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3.xml" ContentType="application/vnd.openxmlformats-officedocument.drawing+xml"/>
  <Override PartName="/xl/tables/table33.xml" ContentType="application/vnd.openxmlformats-officedocument.spreadsheetml.table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drawings/drawing4.xml" ContentType="application/vnd.openxmlformats-officedocument.drawing+xml"/>
  <Override PartName="/xl/tables/table34.xml" ContentType="application/vnd.openxmlformats-officedocument.spreadsheetml.table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5.xml" ContentType="application/vnd.openxmlformats-officedocument.drawing+xml"/>
  <Override PartName="/xl/tables/table35.xml" ContentType="application/vnd.openxmlformats-officedocument.spreadsheetml.table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drawings/drawing6.xml" ContentType="application/vnd.openxmlformats-officedocument.drawing+xml"/>
  <Override PartName="/xl/tables/table36.xml" ContentType="application/vnd.openxmlformats-officedocument.spreadsheetml.table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7.xml" ContentType="application/vnd.openxmlformats-officedocument.drawing+xml"/>
  <Override PartName="/xl/tables/table37.xml" ContentType="application/vnd.openxmlformats-officedocument.spreadsheetml.table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drawings/drawing8.xml" ContentType="application/vnd.openxmlformats-officedocument.drawing+xml"/>
  <Override PartName="/xl/tables/table38.xml" ContentType="application/vnd.openxmlformats-officedocument.spreadsheetml.table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drawings/drawing9.xml" ContentType="application/vnd.openxmlformats-officedocument.drawing+xml"/>
  <Override PartName="/xl/tables/table39.xml" ContentType="application/vnd.openxmlformats-officedocument.spreadsheetml.table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10.xml" ContentType="application/vnd.openxmlformats-officedocument.drawing+xml"/>
  <Override PartName="/xl/tables/table40.xml" ContentType="application/vnd.openxmlformats-officedocument.spreadsheetml.table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drawings/drawing11.xml" ContentType="application/vnd.openxmlformats-officedocument.drawing+xml"/>
  <Override PartName="/xl/tables/table41.xml" ContentType="application/vnd.openxmlformats-officedocument.spreadsheetml.table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drawings/drawing12.xml" ContentType="application/vnd.openxmlformats-officedocument.drawing+xml"/>
  <Override PartName="/xl/tables/table42.xml" ContentType="application/vnd.openxmlformats-officedocument.spreadsheetml.table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13.xml" ContentType="application/vnd.openxmlformats-officedocument.drawing+xml"/>
  <Override PartName="/xl/tables/table43.xml" ContentType="application/vnd.openxmlformats-officedocument.spreadsheetml.table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drawings/drawing14.xml" ContentType="application/vnd.openxmlformats-officedocument.drawing+xml"/>
  <Override PartName="/xl/tables/table44.xml" ContentType="application/vnd.openxmlformats-officedocument.spreadsheetml.table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15.xml" ContentType="application/vnd.openxmlformats-officedocument.drawing+xml"/>
  <Override PartName="/xl/tables/table45.xml" ContentType="application/vnd.openxmlformats-officedocument.spreadsheetml.table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drawings/drawing16.xml" ContentType="application/vnd.openxmlformats-officedocument.drawing+xml"/>
  <Override PartName="/xl/tables/table46.xml" ContentType="application/vnd.openxmlformats-officedocument.spreadsheetml.table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17.xml" ContentType="application/vnd.openxmlformats-officedocument.drawing+xml"/>
  <Override PartName="/xl/tables/table47.xml" ContentType="application/vnd.openxmlformats-officedocument.spreadsheetml.table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drawings/drawing18.xml" ContentType="application/vnd.openxmlformats-officedocument.drawing+xml"/>
  <Override PartName="/xl/tables/table48.xml" ContentType="application/vnd.openxmlformats-officedocument.spreadsheetml.table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drawings/drawing19.xml" ContentType="application/vnd.openxmlformats-officedocument.drawing+xml"/>
  <Override PartName="/xl/tables/table49.xml" ContentType="application/vnd.openxmlformats-officedocument.spreadsheetml.table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20.xml" ContentType="application/vnd.openxmlformats-officedocument.drawing+xml"/>
  <Override PartName="/xl/tables/table50.xml" ContentType="application/vnd.openxmlformats-officedocument.spreadsheetml.table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drawings/drawing21.xml" ContentType="application/vnd.openxmlformats-officedocument.drawing+xml"/>
  <Override PartName="/xl/tables/table51.xml" ContentType="application/vnd.openxmlformats-officedocument.spreadsheetml.table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drawings/drawing22.xml" ContentType="application/vnd.openxmlformats-officedocument.drawing+xml"/>
  <Override PartName="/xl/tables/table52.xml" ContentType="application/vnd.openxmlformats-officedocument.spreadsheetml.table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drawings/drawing23.xml" ContentType="application/vnd.openxmlformats-officedocument.drawing+xml"/>
  <Override PartName="/xl/tables/table53.xml" ContentType="application/vnd.openxmlformats-officedocument.spreadsheetml.table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drawings/drawing24.xml" ContentType="application/vnd.openxmlformats-officedocument.drawing+xml"/>
  <Override PartName="/xl/tables/table54.xml" ContentType="application/vnd.openxmlformats-officedocument.spreadsheetml.table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25.xml" ContentType="application/vnd.openxmlformats-officedocument.drawing+xml"/>
  <Override PartName="/xl/tables/table55.xml" ContentType="application/vnd.openxmlformats-officedocument.spreadsheetml.table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drawings/drawing26.xml" ContentType="application/vnd.openxmlformats-officedocument.drawing+xml"/>
  <Override PartName="/xl/tables/table56.xml" ContentType="application/vnd.openxmlformats-officedocument.spreadsheetml.table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drawings/drawing27.xml" ContentType="application/vnd.openxmlformats-officedocument.drawing+xml"/>
  <Override PartName="/xl/tables/table57.xml" ContentType="application/vnd.openxmlformats-officedocument.spreadsheetml.table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drawings/drawing28.xml" ContentType="application/vnd.openxmlformats-officedocument.drawing+xml"/>
  <Override PartName="/xl/tables/table58.xml" ContentType="application/vnd.openxmlformats-officedocument.spreadsheetml.table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drawings/drawing29.xml" ContentType="application/vnd.openxmlformats-officedocument.drawing+xml"/>
  <Override PartName="/xl/tables/table59.xml" ContentType="application/vnd.openxmlformats-officedocument.spreadsheetml.table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drawings/drawing30.xml" ContentType="application/vnd.openxmlformats-officedocument.drawing+xml"/>
  <Override PartName="/xl/tables/table60.xml" ContentType="application/vnd.openxmlformats-officedocument.spreadsheetml.table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drawings/drawing32.xml" ContentType="application/vnd.openxmlformats-officedocument.drawing+xml"/>
  <Override PartName="/xl/tables/table62.xml" ContentType="application/vnd.openxmlformats-officedocument.spreadsheetml.table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drawings/drawing33.xml" ContentType="application/vnd.openxmlformats-officedocument.drawing+xml"/>
  <Override PartName="/xl/tables/table63.xml" ContentType="application/vnd.openxmlformats-officedocument.spreadsheetml.table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drawings/drawing34.xml" ContentType="application/vnd.openxmlformats-officedocument.drawing+xml"/>
  <Override PartName="/xl/tables/table64.xml" ContentType="application/vnd.openxmlformats-officedocument.spreadsheetml.table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drawings/drawing35.xml" ContentType="application/vnd.openxmlformats-officedocument.drawing+xml"/>
  <Override PartName="/xl/tables/table65.xml" ContentType="application/vnd.openxmlformats-officedocument.spreadsheetml.table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drawings/drawing36.xml" ContentType="application/vnd.openxmlformats-officedocument.drawing+xml"/>
  <Override PartName="/xl/tables/table66.xml" ContentType="application/vnd.openxmlformats-officedocument.spreadsheetml.table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drawings/drawing37.xml" ContentType="application/vnd.openxmlformats-officedocument.drawing+xml"/>
  <Override PartName="/xl/tables/table67.xml" ContentType="application/vnd.openxmlformats-officedocument.spreadsheetml.table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drawings/drawing38.xml" ContentType="application/vnd.openxmlformats-officedocument.drawing+xml"/>
  <Override PartName="/xl/tables/table68.xml" ContentType="application/vnd.openxmlformats-officedocument.spreadsheetml.table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drawings/drawing39.xml" ContentType="application/vnd.openxmlformats-officedocument.drawing+xml"/>
  <Override PartName="/xl/tables/table69.xml" ContentType="application/vnd.openxmlformats-officedocument.spreadsheetml.table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drawings/drawing40.xml" ContentType="application/vnd.openxmlformats-officedocument.drawing+xml"/>
  <Override PartName="/xl/tables/table70.xml" ContentType="application/vnd.openxmlformats-officedocument.spreadsheetml.table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drawings/drawing41.xml" ContentType="application/vnd.openxmlformats-officedocument.drawing+xml"/>
  <Override PartName="/xl/tables/table71.xml" ContentType="application/vnd.openxmlformats-officedocument.spreadsheetml.table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drawings/drawing42.xml" ContentType="application/vnd.openxmlformats-officedocument.drawing+xml"/>
  <Override PartName="/xl/tables/table72.xml" ContentType="application/vnd.openxmlformats-officedocument.spreadsheetml.table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drawings/drawing43.xml" ContentType="application/vnd.openxmlformats-officedocument.drawing+xml"/>
  <Override PartName="/xl/tables/table73.xml" ContentType="application/vnd.openxmlformats-officedocument.spreadsheetml.table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drawings/drawing44.xml" ContentType="application/vnd.openxmlformats-officedocument.drawing+xml"/>
  <Override PartName="/xl/tables/table74.xml" ContentType="application/vnd.openxmlformats-officedocument.spreadsheetml.table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drawings/drawing45.xml" ContentType="application/vnd.openxmlformats-officedocument.drawing+xml"/>
  <Override PartName="/xl/tables/table75.xml" ContentType="application/vnd.openxmlformats-officedocument.spreadsheetml.table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drawings/drawing46.xml" ContentType="application/vnd.openxmlformats-officedocument.drawing+xml"/>
  <Override PartName="/xl/tables/table76.xml" ContentType="application/vnd.openxmlformats-officedocument.spreadsheetml.table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drawings/drawing47.xml" ContentType="application/vnd.openxmlformats-officedocument.drawing+xml"/>
  <Override PartName="/xl/tables/table77.xml" ContentType="application/vnd.openxmlformats-officedocument.spreadsheetml.table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drawings/drawing48.xml" ContentType="application/vnd.openxmlformats-officedocument.drawing+xml"/>
  <Override PartName="/xl/tables/table78.xml" ContentType="application/vnd.openxmlformats-officedocument.spreadsheetml.table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drawings/drawing49.xml" ContentType="application/vnd.openxmlformats-officedocument.drawing+xml"/>
  <Override PartName="/xl/tables/table79.xml" ContentType="application/vnd.openxmlformats-officedocument.spreadsheetml.table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drawings/drawing50.xml" ContentType="application/vnd.openxmlformats-officedocument.drawing+xml"/>
  <Override PartName="/xl/tables/table80.xml" ContentType="application/vnd.openxmlformats-officedocument.spreadsheetml.table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drawings/drawing51.xml" ContentType="application/vnd.openxmlformats-officedocument.drawing+xml"/>
  <Override PartName="/xl/tables/table81.xml" ContentType="application/vnd.openxmlformats-officedocument.spreadsheetml.table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drawings/drawing52.xml" ContentType="application/vnd.openxmlformats-officedocument.drawing+xml"/>
  <Override PartName="/xl/tables/table82.xml" ContentType="application/vnd.openxmlformats-officedocument.spreadsheetml.table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drawings/drawing53.xml" ContentType="application/vnd.openxmlformats-officedocument.drawing+xml"/>
  <Override PartName="/xl/tables/table83.xml" ContentType="application/vnd.openxmlformats-officedocument.spreadsheetml.table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drawings/drawing54.xml" ContentType="application/vnd.openxmlformats-officedocument.drawing+xml"/>
  <Override PartName="/xl/tables/table84.xml" ContentType="application/vnd.openxmlformats-officedocument.spreadsheetml.table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drawings/drawing55.xml" ContentType="application/vnd.openxmlformats-officedocument.drawing+xml"/>
  <Override PartName="/xl/tables/table85.xml" ContentType="application/vnd.openxmlformats-officedocument.spreadsheetml.table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drawings/drawing56.xml" ContentType="application/vnd.openxmlformats-officedocument.drawing+xml"/>
  <Override PartName="/xl/tables/table86.xml" ContentType="application/vnd.openxmlformats-officedocument.spreadsheetml.table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drawings/drawing57.xml" ContentType="application/vnd.openxmlformats-officedocument.drawing+xml"/>
  <Override PartName="/xl/tables/table87.xml" ContentType="application/vnd.openxmlformats-officedocument.spreadsheetml.table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drawings/drawing58.xml" ContentType="application/vnd.openxmlformats-officedocument.drawing+xml"/>
  <Override PartName="/xl/tables/table88.xml" ContentType="application/vnd.openxmlformats-officedocument.spreadsheetml.table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drawings/drawing59.xml" ContentType="application/vnd.openxmlformats-officedocument.drawing+xml"/>
  <Override PartName="/xl/tables/table89.xml" ContentType="application/vnd.openxmlformats-officedocument.spreadsheetml.table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drawings/drawing60.xml" ContentType="application/vnd.openxmlformats-officedocument.drawing+xml"/>
  <Override PartName="/xl/tables/table90.xml" ContentType="application/vnd.openxmlformats-officedocument.spreadsheetml.table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drawings/drawing61.xml" ContentType="application/vnd.openxmlformats-officedocument.drawing+xml"/>
  <Override PartName="/xl/tables/table91.xml" ContentType="application/vnd.openxmlformats-officedocument.spreadsheetml.table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drawings/drawing62.xml" ContentType="application/vnd.openxmlformats-officedocument.drawing+xml"/>
  <Override PartName="/xl/tables/table92.xml" ContentType="application/vnd.openxmlformats-officedocument.spreadsheetml.table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drawings/drawing63.xml" ContentType="application/vnd.openxmlformats-officedocument.drawing+xml"/>
  <Override PartName="/xl/tables/table93.xml" ContentType="application/vnd.openxmlformats-officedocument.spreadsheetml.table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drawings/drawing64.xml" ContentType="application/vnd.openxmlformats-officedocument.drawing+xml"/>
  <Override PartName="/xl/tables/table94.xml" ContentType="application/vnd.openxmlformats-officedocument.spreadsheetml.table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drawings/drawing65.xml" ContentType="application/vnd.openxmlformats-officedocument.drawing+xml"/>
  <Override PartName="/xl/tables/table95.xml" ContentType="application/vnd.openxmlformats-officedocument.spreadsheetml.table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drawings/drawing66.xml" ContentType="application/vnd.openxmlformats-officedocument.drawing+xml"/>
  <Override PartName="/xl/tables/table96.xml" ContentType="application/vnd.openxmlformats-officedocument.spreadsheetml.table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drawings/drawing67.xml" ContentType="application/vnd.openxmlformats-officedocument.drawing+xml"/>
  <Override PartName="/xl/tables/table97.xml" ContentType="application/vnd.openxmlformats-officedocument.spreadsheetml.table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drawings/drawing68.xml" ContentType="application/vnd.openxmlformats-officedocument.drawing+xml"/>
  <Override PartName="/xl/tables/table98.xml" ContentType="application/vnd.openxmlformats-officedocument.spreadsheetml.table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drawings/drawing69.xml" ContentType="application/vnd.openxmlformats-officedocument.drawing+xml"/>
  <Override PartName="/xl/tables/table99.xml" ContentType="application/vnd.openxmlformats-officedocument.spreadsheetml.table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drawings/drawing70.xml" ContentType="application/vnd.openxmlformats-officedocument.drawing+xml"/>
  <Override PartName="/xl/tables/table100.xml" ContentType="application/vnd.openxmlformats-officedocument.spreadsheetml.table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drawings/drawing71.xml" ContentType="application/vnd.openxmlformats-officedocument.drawing+xml"/>
  <Override PartName="/xl/tables/table101.xml" ContentType="application/vnd.openxmlformats-officedocument.spreadsheetml.table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drawings/drawing72.xml" ContentType="application/vnd.openxmlformats-officedocument.drawing+xml"/>
  <Override PartName="/xl/tables/table102.xml" ContentType="application/vnd.openxmlformats-officedocument.spreadsheetml.table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drawings/drawing73.xml" ContentType="application/vnd.openxmlformats-officedocument.drawing+xml"/>
  <Override PartName="/xl/tables/table103.xml" ContentType="application/vnd.openxmlformats-officedocument.spreadsheetml.table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drawings/drawing74.xml" ContentType="application/vnd.openxmlformats-officedocument.drawing+xml"/>
  <Override PartName="/xl/tables/table104.xml" ContentType="application/vnd.openxmlformats-officedocument.spreadsheetml.table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drawings/drawing75.xml" ContentType="application/vnd.openxmlformats-officedocument.drawing+xml"/>
  <Override PartName="/xl/tables/table105.xml" ContentType="application/vnd.openxmlformats-officedocument.spreadsheetml.table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drawings/drawing76.xml" ContentType="application/vnd.openxmlformats-officedocument.drawing+xml"/>
  <Override PartName="/xl/tables/table106.xml" ContentType="application/vnd.openxmlformats-officedocument.spreadsheetml.table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drawings/drawing77.xml" ContentType="application/vnd.openxmlformats-officedocument.drawing+xml"/>
  <Override PartName="/xl/tables/table107.xml" ContentType="application/vnd.openxmlformats-officedocument.spreadsheetml.table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drawings/drawing78.xml" ContentType="application/vnd.openxmlformats-officedocument.drawing+xml"/>
  <Override PartName="/xl/tables/table108.xml" ContentType="application/vnd.openxmlformats-officedocument.spreadsheetml.table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drawings/drawing79.xml" ContentType="application/vnd.openxmlformats-officedocument.drawing+xml"/>
  <Override PartName="/xl/tables/table109.xml" ContentType="application/vnd.openxmlformats-officedocument.spreadsheetml.table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drawings/drawing80.xml" ContentType="application/vnd.openxmlformats-officedocument.drawing+xml"/>
  <Override PartName="/xl/tables/table110.xml" ContentType="application/vnd.openxmlformats-officedocument.spreadsheetml.table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drawings/drawing81.xml" ContentType="application/vnd.openxmlformats-officedocument.drawing+xml"/>
  <Override PartName="/xl/tables/table111.xml" ContentType="application/vnd.openxmlformats-officedocument.spreadsheetml.table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drawings/drawing82.xml" ContentType="application/vnd.openxmlformats-officedocument.drawing+xml"/>
  <Override PartName="/xl/tables/table112.xml" ContentType="application/vnd.openxmlformats-officedocument.spreadsheetml.table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drawings/drawing83.xml" ContentType="application/vnd.openxmlformats-officedocument.drawing+xml"/>
  <Override PartName="/xl/tables/table113.xml" ContentType="application/vnd.openxmlformats-officedocument.spreadsheetml.table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drawings/drawing84.xml" ContentType="application/vnd.openxmlformats-officedocument.drawing+xml"/>
  <Override PartName="/xl/tables/table114.xml" ContentType="application/vnd.openxmlformats-officedocument.spreadsheetml.table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drawings/drawing85.xml" ContentType="application/vnd.openxmlformats-officedocument.drawing+xml"/>
  <Override PartName="/xl/tables/table115.xml" ContentType="application/vnd.openxmlformats-officedocument.spreadsheetml.table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drawings/drawing86.xml" ContentType="application/vnd.openxmlformats-officedocument.drawing+xml"/>
  <Override PartName="/xl/tables/table116.xml" ContentType="application/vnd.openxmlformats-officedocument.spreadsheetml.table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drawings/drawing87.xml" ContentType="application/vnd.openxmlformats-officedocument.drawing+xml"/>
  <Override PartName="/xl/tables/table117.xml" ContentType="application/vnd.openxmlformats-officedocument.spreadsheetml.table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drawings/drawing88.xml" ContentType="application/vnd.openxmlformats-officedocument.drawing+xml"/>
  <Override PartName="/xl/tables/table118.xml" ContentType="application/vnd.openxmlformats-officedocument.spreadsheetml.table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drawings/drawing89.xml" ContentType="application/vnd.openxmlformats-officedocument.drawing+xml"/>
  <Override PartName="/xl/tables/table119.xml" ContentType="application/vnd.openxmlformats-officedocument.spreadsheetml.table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drawings/drawing90.xml" ContentType="application/vnd.openxmlformats-officedocument.drawing+xml"/>
  <Override PartName="/xl/tables/table120.xml" ContentType="application/vnd.openxmlformats-officedocument.spreadsheetml.table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drawings/drawing91.xml" ContentType="application/vnd.openxmlformats-officedocument.drawing+xml"/>
  <Override PartName="/xl/tables/table121.xml" ContentType="application/vnd.openxmlformats-officedocument.spreadsheetml.table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drawings/drawing92.xml" ContentType="application/vnd.openxmlformats-officedocument.drawing+xml"/>
  <Override PartName="/xl/tables/table122.xml" ContentType="application/vnd.openxmlformats-officedocument.spreadsheetml.table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drawings/drawing93.xml" ContentType="application/vnd.openxmlformats-officedocument.drawing+xml"/>
  <Override PartName="/xl/tables/table123.xml" ContentType="application/vnd.openxmlformats-officedocument.spreadsheetml.table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drawings/drawing94.xml" ContentType="application/vnd.openxmlformats-officedocument.drawing+xml"/>
  <Override PartName="/xl/tables/table124.xml" ContentType="application/vnd.openxmlformats-officedocument.spreadsheetml.table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drawings/drawing95.xml" ContentType="application/vnd.openxmlformats-officedocument.drawing+xml"/>
  <Override PartName="/xl/tables/table125.xml" ContentType="application/vnd.openxmlformats-officedocument.spreadsheetml.table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drawings/drawing96.xml" ContentType="application/vnd.openxmlformats-officedocument.drawing+xml"/>
  <Override PartName="/xl/tables/table126.xml" ContentType="application/vnd.openxmlformats-officedocument.spreadsheetml.table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drawings/drawing97.xml" ContentType="application/vnd.openxmlformats-officedocument.drawing+xml"/>
  <Override PartName="/xl/tables/table127.xml" ContentType="application/vnd.openxmlformats-officedocument.spreadsheetml.table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drawings/drawing98.xml" ContentType="application/vnd.openxmlformats-officedocument.drawing+xml"/>
  <Override PartName="/xl/tables/table128.xml" ContentType="application/vnd.openxmlformats-officedocument.spreadsheetml.table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drawings/drawing99.xml" ContentType="application/vnd.openxmlformats-officedocument.drawing+xml"/>
  <Override PartName="/xl/tables/table129.xml" ContentType="application/vnd.openxmlformats-officedocument.spreadsheetml.table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drawings/drawing100.xml" ContentType="application/vnd.openxmlformats-officedocument.drawing+xml"/>
  <Override PartName="/xl/tables/table130.xml" ContentType="application/vnd.openxmlformats-officedocument.spreadsheetml.table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drawings/drawing101.xml" ContentType="application/vnd.openxmlformats-officedocument.drawing+xml"/>
  <Override PartName="/xl/tables/table131.xml" ContentType="application/vnd.openxmlformats-officedocument.spreadsheetml.table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drawings/drawing102.xml" ContentType="application/vnd.openxmlformats-officedocument.drawing+xml"/>
  <Override PartName="/xl/tables/table132.xml" ContentType="application/vnd.openxmlformats-officedocument.spreadsheetml.table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drawings/drawing103.xml" ContentType="application/vnd.openxmlformats-officedocument.drawing+xml"/>
  <Override PartName="/xl/tables/table133.xml" ContentType="application/vnd.openxmlformats-officedocument.spreadsheetml.table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drawings/drawing104.xml" ContentType="application/vnd.openxmlformats-officedocument.drawing+xml"/>
  <Override PartName="/xl/tables/table134.xml" ContentType="application/vnd.openxmlformats-officedocument.spreadsheetml.table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drawings/drawing105.xml" ContentType="application/vnd.openxmlformats-officedocument.drawing+xml"/>
  <Override PartName="/xl/tables/table135.xml" ContentType="application/vnd.openxmlformats-officedocument.spreadsheetml.table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drawings/drawing106.xml" ContentType="application/vnd.openxmlformats-officedocument.drawing+xml"/>
  <Override PartName="/xl/tables/table136.xml" ContentType="application/vnd.openxmlformats-officedocument.spreadsheetml.table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drawings/drawing107.xml" ContentType="application/vnd.openxmlformats-officedocument.drawing+xml"/>
  <Override PartName="/xl/tables/table137.xml" ContentType="application/vnd.openxmlformats-officedocument.spreadsheetml.table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drawings/drawing108.xml" ContentType="application/vnd.openxmlformats-officedocument.drawing+xml"/>
  <Override PartName="/xl/tables/table138.xml" ContentType="application/vnd.openxmlformats-officedocument.spreadsheetml.table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drawings/drawing109.xml" ContentType="application/vnd.openxmlformats-officedocument.drawing+xml"/>
  <Override PartName="/xl/tables/table139.xml" ContentType="application/vnd.openxmlformats-officedocument.spreadsheetml.table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drawings/drawing110.xml" ContentType="application/vnd.openxmlformats-officedocument.drawing+xml"/>
  <Override PartName="/xl/tables/table140.xml" ContentType="application/vnd.openxmlformats-officedocument.spreadsheetml.table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drawings/drawing111.xml" ContentType="application/vnd.openxmlformats-officedocument.drawing+xml"/>
  <Override PartName="/xl/tables/table141.xml" ContentType="application/vnd.openxmlformats-officedocument.spreadsheetml.table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drawings/drawing112.xml" ContentType="application/vnd.openxmlformats-officedocument.drawing+xml"/>
  <Override PartName="/xl/tables/table142.xml" ContentType="application/vnd.openxmlformats-officedocument.spreadsheetml.table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drawings/drawing113.xml" ContentType="application/vnd.openxmlformats-officedocument.drawing+xml"/>
  <Override PartName="/xl/tables/table143.xml" ContentType="application/vnd.openxmlformats-officedocument.spreadsheetml.table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drawings/drawing114.xml" ContentType="application/vnd.openxmlformats-officedocument.drawing+xml"/>
  <Override PartName="/xl/tables/table144.xml" ContentType="application/vnd.openxmlformats-officedocument.spreadsheetml.table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drawings/drawing115.xml" ContentType="application/vnd.openxmlformats-officedocument.drawing+xml"/>
  <Override PartName="/xl/tables/table145.xml" ContentType="application/vnd.openxmlformats-officedocument.spreadsheetml.table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drawings/drawing116.xml" ContentType="application/vnd.openxmlformats-officedocument.drawing+xml"/>
  <Override PartName="/xl/tables/table146.xml" ContentType="application/vnd.openxmlformats-officedocument.spreadsheetml.table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drawings/drawing117.xml" ContentType="application/vnd.openxmlformats-officedocument.drawing+xml"/>
  <Override PartName="/xl/tables/table147.xml" ContentType="application/vnd.openxmlformats-officedocument.spreadsheetml.table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drawings/drawing118.xml" ContentType="application/vnd.openxmlformats-officedocument.drawing+xml"/>
  <Override PartName="/xl/tables/table148.xml" ContentType="application/vnd.openxmlformats-officedocument.spreadsheetml.table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drawings/drawing119.xml" ContentType="application/vnd.openxmlformats-officedocument.drawing+xml"/>
  <Override PartName="/xl/tables/table149.xml" ContentType="application/vnd.openxmlformats-officedocument.spreadsheetml.table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drawings/drawing120.xml" ContentType="application/vnd.openxmlformats-officedocument.drawing+xml"/>
  <Override PartName="/xl/tables/table150.xml" ContentType="application/vnd.openxmlformats-officedocument.spreadsheetml.table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drawings/drawing121.xml" ContentType="application/vnd.openxmlformats-officedocument.drawing+xml"/>
  <Override PartName="/xl/tables/table151.xml" ContentType="application/vnd.openxmlformats-officedocument.spreadsheetml.table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drawings/drawing122.xml" ContentType="application/vnd.openxmlformats-officedocument.drawing+xml"/>
  <Override PartName="/xl/tables/table152.xml" ContentType="application/vnd.openxmlformats-officedocument.spreadsheetml.table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drawings/drawing123.xml" ContentType="application/vnd.openxmlformats-officedocument.drawing+xml"/>
  <Override PartName="/xl/tables/table153.xml" ContentType="application/vnd.openxmlformats-officedocument.spreadsheetml.table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drawings/drawing124.xml" ContentType="application/vnd.openxmlformats-officedocument.drawing+xml"/>
  <Override PartName="/xl/tables/table154.xml" ContentType="application/vnd.openxmlformats-officedocument.spreadsheetml.table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drawings/drawing125.xml" ContentType="application/vnd.openxmlformats-officedocument.drawing+xml"/>
  <Override PartName="/xl/tables/table155.xml" ContentType="application/vnd.openxmlformats-officedocument.spreadsheetml.table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drawings/drawing126.xml" ContentType="application/vnd.openxmlformats-officedocument.drawing+xml"/>
  <Override PartName="/xl/tables/table156.xml" ContentType="application/vnd.openxmlformats-officedocument.spreadsheetml.table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drawings/drawing127.xml" ContentType="application/vnd.openxmlformats-officedocument.drawing+xml"/>
  <Override PartName="/xl/tables/table157.xml" ContentType="application/vnd.openxmlformats-officedocument.spreadsheetml.table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drawings/drawing128.xml" ContentType="application/vnd.openxmlformats-officedocument.drawing+xml"/>
  <Override PartName="/xl/tables/table158.xml" ContentType="application/vnd.openxmlformats-officedocument.spreadsheetml.table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drawings/drawing129.xml" ContentType="application/vnd.openxmlformats-officedocument.drawing+xml"/>
  <Override PartName="/xl/tables/table159.xml" ContentType="application/vnd.openxmlformats-officedocument.spreadsheetml.table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drawings/drawing130.xml" ContentType="application/vnd.openxmlformats-officedocument.drawing+xml"/>
  <Override PartName="/xl/tables/table160.xml" ContentType="application/vnd.openxmlformats-officedocument.spreadsheetml.table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drawings/drawing131.xml" ContentType="application/vnd.openxmlformats-officedocument.drawing+xml"/>
  <Override PartName="/xl/tables/table161.xml" ContentType="application/vnd.openxmlformats-officedocument.spreadsheetml.table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drawings/drawing132.xml" ContentType="application/vnd.openxmlformats-officedocument.drawing+xml"/>
  <Override PartName="/xl/tables/table162.xml" ContentType="application/vnd.openxmlformats-officedocument.spreadsheetml.table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drawings/drawing133.xml" ContentType="application/vnd.openxmlformats-officedocument.drawing+xml"/>
  <Override PartName="/xl/tables/table163.xml" ContentType="application/vnd.openxmlformats-officedocument.spreadsheetml.table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drawings/drawing134.xml" ContentType="application/vnd.openxmlformats-officedocument.drawing+xml"/>
  <Override PartName="/xl/tables/table164.xml" ContentType="application/vnd.openxmlformats-officedocument.spreadsheetml.table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drawings/drawing135.xml" ContentType="application/vnd.openxmlformats-officedocument.drawing+xml"/>
  <Override PartName="/xl/tables/table165.xml" ContentType="application/vnd.openxmlformats-officedocument.spreadsheetml.table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drawings/drawing136.xml" ContentType="application/vnd.openxmlformats-officedocument.drawing+xml"/>
  <Override PartName="/xl/tables/table166.xml" ContentType="application/vnd.openxmlformats-officedocument.spreadsheetml.table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drawings/drawing137.xml" ContentType="application/vnd.openxmlformats-officedocument.drawing+xml"/>
  <Override PartName="/xl/tables/table167.xml" ContentType="application/vnd.openxmlformats-officedocument.spreadsheetml.table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drawings/drawing138.xml" ContentType="application/vnd.openxmlformats-officedocument.drawing+xml"/>
  <Override PartName="/xl/tables/table168.xml" ContentType="application/vnd.openxmlformats-officedocument.spreadsheetml.table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drawings/drawing139.xml" ContentType="application/vnd.openxmlformats-officedocument.drawing+xml"/>
  <Override PartName="/xl/tables/table169.xml" ContentType="application/vnd.openxmlformats-officedocument.spreadsheetml.table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drawings/drawing140.xml" ContentType="application/vnd.openxmlformats-officedocument.drawing+xml"/>
  <Override PartName="/xl/tables/table170.xml" ContentType="application/vnd.openxmlformats-officedocument.spreadsheetml.table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drawings/drawing141.xml" ContentType="application/vnd.openxmlformats-officedocument.drawing+xml"/>
  <Override PartName="/xl/tables/table171.xml" ContentType="application/vnd.openxmlformats-officedocument.spreadsheetml.table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drawings/drawing142.xml" ContentType="application/vnd.openxmlformats-officedocument.drawing+xml"/>
  <Override PartName="/xl/tables/table172.xml" ContentType="application/vnd.openxmlformats-officedocument.spreadsheetml.table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drawings/drawing143.xml" ContentType="application/vnd.openxmlformats-officedocument.drawing+xml"/>
  <Override PartName="/xl/tables/table173.xml" ContentType="application/vnd.openxmlformats-officedocument.spreadsheetml.table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drawings/drawing144.xml" ContentType="application/vnd.openxmlformats-officedocument.drawing+xml"/>
  <Override PartName="/xl/tables/table174.xml" ContentType="application/vnd.openxmlformats-officedocument.spreadsheetml.table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drawings/drawing145.xml" ContentType="application/vnd.openxmlformats-officedocument.drawing+xml"/>
  <Override PartName="/xl/tables/table175.xml" ContentType="application/vnd.openxmlformats-officedocument.spreadsheetml.table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drawings/drawing146.xml" ContentType="application/vnd.openxmlformats-officedocument.drawing+xml"/>
  <Override PartName="/xl/tables/table176.xml" ContentType="application/vnd.openxmlformats-officedocument.spreadsheetml.table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drawings/drawing147.xml" ContentType="application/vnd.openxmlformats-officedocument.drawing+xml"/>
  <Override PartName="/xl/tables/table177.xml" ContentType="application/vnd.openxmlformats-officedocument.spreadsheetml.table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drawings/drawing148.xml" ContentType="application/vnd.openxmlformats-officedocument.drawing+xml"/>
  <Override PartName="/xl/tables/table178.xml" ContentType="application/vnd.openxmlformats-officedocument.spreadsheetml.table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drawings/drawing149.xml" ContentType="application/vnd.openxmlformats-officedocument.drawing+xml"/>
  <Override PartName="/xl/tables/table179.xml" ContentType="application/vnd.openxmlformats-officedocument.spreadsheetml.table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drawings/drawing150.xml" ContentType="application/vnd.openxmlformats-officedocument.drawing+xml"/>
  <Override PartName="/xl/tables/table180.xml" ContentType="application/vnd.openxmlformats-officedocument.spreadsheetml.table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drawings/drawing151.xml" ContentType="application/vnd.openxmlformats-officedocument.drawing+xml"/>
  <Override PartName="/xl/tables/table181.xml" ContentType="application/vnd.openxmlformats-officedocument.spreadsheetml.table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drawings/drawing152.xml" ContentType="application/vnd.openxmlformats-officedocument.drawing+xml"/>
  <Override PartName="/xl/tables/table182.xml" ContentType="application/vnd.openxmlformats-officedocument.spreadsheetml.table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drawings/drawing153.xml" ContentType="application/vnd.openxmlformats-officedocument.drawing+xml"/>
  <Override PartName="/xl/tables/table183.xml" ContentType="application/vnd.openxmlformats-officedocument.spreadsheetml.table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drawings/drawing154.xml" ContentType="application/vnd.openxmlformats-officedocument.drawing+xml"/>
  <Override PartName="/xl/tables/table184.xml" ContentType="application/vnd.openxmlformats-officedocument.spreadsheetml.table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drawings/drawing155.xml" ContentType="application/vnd.openxmlformats-officedocument.drawing+xml"/>
  <Override PartName="/xl/tables/table185.xml" ContentType="application/vnd.openxmlformats-officedocument.spreadsheetml.table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drawings/drawing156.xml" ContentType="application/vnd.openxmlformats-officedocument.drawing+xml"/>
  <Override PartName="/xl/tables/table186.xml" ContentType="application/vnd.openxmlformats-officedocument.spreadsheetml.table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drawings/drawing157.xml" ContentType="application/vnd.openxmlformats-officedocument.drawing+xml"/>
  <Override PartName="/xl/tables/table187.xml" ContentType="application/vnd.openxmlformats-officedocument.spreadsheetml.table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drawings/drawing158.xml" ContentType="application/vnd.openxmlformats-officedocument.drawing+xml"/>
  <Override PartName="/xl/tables/table188.xml" ContentType="application/vnd.openxmlformats-officedocument.spreadsheetml.table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drawings/drawing159.xml" ContentType="application/vnd.openxmlformats-officedocument.drawing+xml"/>
  <Override PartName="/xl/tables/table189.xml" ContentType="application/vnd.openxmlformats-officedocument.spreadsheetml.table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drawings/drawing160.xml" ContentType="application/vnd.openxmlformats-officedocument.drawing+xml"/>
  <Override PartName="/xl/tables/table190.xml" ContentType="application/vnd.openxmlformats-officedocument.spreadsheetml.table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drawings/drawing161.xml" ContentType="application/vnd.openxmlformats-officedocument.drawing+xml"/>
  <Override PartName="/xl/tables/table191.xml" ContentType="application/vnd.openxmlformats-officedocument.spreadsheetml.table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drawings/drawing162.xml" ContentType="application/vnd.openxmlformats-officedocument.drawing+xml"/>
  <Override PartName="/xl/tables/table192.xml" ContentType="application/vnd.openxmlformats-officedocument.spreadsheetml.table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drawings/drawing163.xml" ContentType="application/vnd.openxmlformats-officedocument.drawing+xml"/>
  <Override PartName="/xl/tables/table193.xml" ContentType="application/vnd.openxmlformats-officedocument.spreadsheetml.table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drawings/drawing164.xml" ContentType="application/vnd.openxmlformats-officedocument.drawing+xml"/>
  <Override PartName="/xl/tables/table194.xml" ContentType="application/vnd.openxmlformats-officedocument.spreadsheetml.table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drawings/drawing165.xml" ContentType="application/vnd.openxmlformats-officedocument.drawing+xml"/>
  <Override PartName="/xl/tables/table195.xml" ContentType="application/vnd.openxmlformats-officedocument.spreadsheetml.table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drawings/drawing166.xml" ContentType="application/vnd.openxmlformats-officedocument.drawing+xml"/>
  <Override PartName="/xl/tables/table196.xml" ContentType="application/vnd.openxmlformats-officedocument.spreadsheetml.table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drawings/drawing167.xml" ContentType="application/vnd.openxmlformats-officedocument.drawing+xml"/>
  <Override PartName="/xl/tables/table197.xml" ContentType="application/vnd.openxmlformats-officedocument.spreadsheetml.table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drawings/drawing168.xml" ContentType="application/vnd.openxmlformats-officedocument.drawing+xml"/>
  <Override PartName="/xl/tables/table198.xml" ContentType="application/vnd.openxmlformats-officedocument.spreadsheetml.table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drawings/drawing169.xml" ContentType="application/vnd.openxmlformats-officedocument.drawing+xml"/>
  <Override PartName="/xl/tables/table199.xml" ContentType="application/vnd.openxmlformats-officedocument.spreadsheetml.table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drawings/drawing170.xml" ContentType="application/vnd.openxmlformats-officedocument.drawing+xml"/>
  <Override PartName="/xl/tables/table200.xml" ContentType="application/vnd.openxmlformats-officedocument.spreadsheetml.table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drawings/drawing171.xml" ContentType="application/vnd.openxmlformats-officedocument.drawing+xml"/>
  <Override PartName="/xl/tables/table201.xml" ContentType="application/vnd.openxmlformats-officedocument.spreadsheetml.table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drawings/drawing172.xml" ContentType="application/vnd.openxmlformats-officedocument.drawing+xml"/>
  <Override PartName="/xl/tables/table202.xml" ContentType="application/vnd.openxmlformats-officedocument.spreadsheetml.table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drawings/drawing173.xml" ContentType="application/vnd.openxmlformats-officedocument.drawing+xml"/>
  <Override PartName="/xl/tables/table203.xml" ContentType="application/vnd.openxmlformats-officedocument.spreadsheetml.table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drawings/drawing174.xml" ContentType="application/vnd.openxmlformats-officedocument.drawing+xml"/>
  <Override PartName="/xl/tables/table204.xml" ContentType="application/vnd.openxmlformats-officedocument.spreadsheetml.table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8_{827D69D1-5A5E-4423-841C-3925121B35AB}" xr6:coauthVersionLast="47" xr6:coauthVersionMax="47" xr10:uidLastSave="{00000000-0000-0000-0000-000000000000}"/>
  <bookViews>
    <workbookView xWindow="-110" yWindow="-110" windowWidth="38620" windowHeight="21820" tabRatio="740" firstSheet="18" activeTab="23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74" l="1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E66" i="173"/>
  <c r="C66" i="173"/>
  <c r="A66" i="173"/>
  <c r="E65" i="173"/>
  <c r="C65" i="173"/>
  <c r="A65" i="173"/>
  <c r="E64" i="173"/>
  <c r="C64" i="173"/>
  <c r="A64" i="173"/>
  <c r="C63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C64" i="171"/>
  <c r="C63" i="171" s="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E64" i="168"/>
  <c r="C64" i="168"/>
  <c r="A64" i="168"/>
  <c r="C63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E66" i="167"/>
  <c r="C66" i="167"/>
  <c r="A66" i="167"/>
  <c r="C65" i="167"/>
  <c r="E65" i="167" s="1"/>
  <c r="A65" i="167"/>
  <c r="C64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C63" i="166"/>
  <c r="C62" i="166" s="1"/>
  <c r="C61" i="166" s="1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E63" i="165"/>
  <c r="C63" i="165"/>
  <c r="A63" i="165"/>
  <c r="C62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E66" i="164"/>
  <c r="C66" i="164"/>
  <c r="A66" i="164"/>
  <c r="C65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I5" i="164"/>
  <c r="A5" i="164"/>
  <c r="I4" i="164"/>
  <c r="A4" i="164"/>
  <c r="I3" i="164"/>
  <c r="A3" i="164"/>
  <c r="I2" i="164"/>
  <c r="A2" i="164"/>
  <c r="A67" i="163"/>
  <c r="F66" i="163"/>
  <c r="E66" i="163"/>
  <c r="C66" i="163"/>
  <c r="A66" i="163"/>
  <c r="E65" i="163"/>
  <c r="C65" i="163"/>
  <c r="A65" i="163"/>
  <c r="E64" i="163"/>
  <c r="C64" i="163"/>
  <c r="A64" i="163"/>
  <c r="C63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I3" i="162"/>
  <c r="A3" i="162"/>
  <c r="I2" i="162"/>
  <c r="A2" i="162"/>
  <c r="A67" i="161"/>
  <c r="F66" i="161"/>
  <c r="E66" i="161"/>
  <c r="C66" i="161"/>
  <c r="A66" i="161"/>
  <c r="C65" i="161"/>
  <c r="E65" i="161" s="1"/>
  <c r="A65" i="161"/>
  <c r="C64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E66" i="160"/>
  <c r="C66" i="160"/>
  <c r="A66" i="160"/>
  <c r="C65" i="160"/>
  <c r="C64" i="160" s="1"/>
  <c r="A65" i="160"/>
  <c r="E64" i="160"/>
  <c r="A64" i="160"/>
  <c r="E63" i="160"/>
  <c r="C63" i="160"/>
  <c r="C62" i="160" s="1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E64" i="159"/>
  <c r="C64" i="159"/>
  <c r="A64" i="159"/>
  <c r="C63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I4" i="158"/>
  <c r="A4" i="158"/>
  <c r="I3" i="158"/>
  <c r="A3" i="158"/>
  <c r="I2" i="158"/>
  <c r="A2" i="158"/>
  <c r="A67" i="157"/>
  <c r="F66" i="157"/>
  <c r="C66" i="157"/>
  <c r="E66" i="157" s="1"/>
  <c r="A66" i="157"/>
  <c r="E65" i="157"/>
  <c r="C65" i="157"/>
  <c r="A65" i="157"/>
  <c r="C64" i="157"/>
  <c r="E64" i="157" s="1"/>
  <c r="A64" i="157"/>
  <c r="C63" i="157"/>
  <c r="E63" i="157" s="1"/>
  <c r="A63" i="157"/>
  <c r="E62" i="157"/>
  <c r="C62" i="157"/>
  <c r="C61" i="157" s="1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I3" i="157"/>
  <c r="I4" i="157" s="1"/>
  <c r="A3" i="157"/>
  <c r="I2" i="157"/>
  <c r="A2" i="157"/>
  <c r="A67" i="156"/>
  <c r="F66" i="156"/>
  <c r="E66" i="156"/>
  <c r="C66" i="156"/>
  <c r="A66" i="156"/>
  <c r="C65" i="156"/>
  <c r="E65" i="156" s="1"/>
  <c r="A65" i="156"/>
  <c r="E64" i="156"/>
  <c r="C64" i="156"/>
  <c r="A64" i="156"/>
  <c r="C63" i="156"/>
  <c r="E63" i="156" s="1"/>
  <c r="A63" i="156"/>
  <c r="E62" i="156"/>
  <c r="C62" i="156"/>
  <c r="C61" i="156" s="1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I4" i="156"/>
  <c r="I5" i="156" s="1"/>
  <c r="A4" i="156"/>
  <c r="A3" i="156"/>
  <c r="I2" i="156"/>
  <c r="I3" i="156" s="1"/>
  <c r="A2" i="156"/>
  <c r="A67" i="155"/>
  <c r="F66" i="155"/>
  <c r="C66" i="155"/>
  <c r="E66" i="155" s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I2" i="155"/>
  <c r="I3" i="155" s="1"/>
  <c r="A2" i="155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C65" i="153"/>
  <c r="E65" i="153" s="1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I3" i="152"/>
  <c r="I4" i="152" s="1"/>
  <c r="I5" i="152" s="1"/>
  <c r="A3" i="152"/>
  <c r="I2" i="152"/>
  <c r="A2" i="152"/>
  <c r="A67" i="151"/>
  <c r="F66" i="151"/>
  <c r="C66" i="151"/>
  <c r="E66" i="151" s="1"/>
  <c r="A66" i="151"/>
  <c r="C65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I3" i="151"/>
  <c r="A3" i="151"/>
  <c r="I2" i="151"/>
  <c r="A2" i="151"/>
  <c r="A67" i="150"/>
  <c r="F66" i="150"/>
  <c r="E66" i="150"/>
  <c r="C66" i="150"/>
  <c r="A66" i="150"/>
  <c r="E65" i="150"/>
  <c r="C65" i="150"/>
  <c r="C64" i="150" s="1"/>
  <c r="E64" i="150" s="1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I20" i="150"/>
  <c r="I21" i="150" s="1"/>
  <c r="A20" i="150"/>
  <c r="A19" i="150"/>
  <c r="I18" i="150"/>
  <c r="I19" i="150" s="1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I3" i="150"/>
  <c r="I4" i="150" s="1"/>
  <c r="I5" i="150" s="1"/>
  <c r="A3" i="150"/>
  <c r="I2" i="150"/>
  <c r="A2" i="150"/>
  <c r="A67" i="149"/>
  <c r="F66" i="149"/>
  <c r="E66" i="149"/>
  <c r="C66" i="149"/>
  <c r="A66" i="149"/>
  <c r="E65" i="149"/>
  <c r="C65" i="149"/>
  <c r="C64" i="149" s="1"/>
  <c r="A65" i="149"/>
  <c r="E64" i="149"/>
  <c r="A64" i="149"/>
  <c r="C63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I4" i="149"/>
  <c r="A4" i="149"/>
  <c r="I3" i="149"/>
  <c r="A3" i="149"/>
  <c r="I2" i="149"/>
  <c r="A2" i="149"/>
  <c r="A67" i="148"/>
  <c r="F66" i="148"/>
  <c r="E66" i="148"/>
  <c r="C66" i="148"/>
  <c r="A66" i="148"/>
  <c r="C65" i="148"/>
  <c r="E65" i="148" s="1"/>
  <c r="A65" i="148"/>
  <c r="C64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E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C64" i="146"/>
  <c r="E64" i="146" s="1"/>
  <c r="A64" i="146"/>
  <c r="E63" i="146"/>
  <c r="C63" i="146"/>
  <c r="A63" i="146"/>
  <c r="C62" i="146"/>
  <c r="C61" i="146" s="1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C65" i="145"/>
  <c r="E65" i="145" s="1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I4" i="145"/>
  <c r="I5" i="145" s="1"/>
  <c r="I6" i="145" s="1"/>
  <c r="I7" i="145" s="1"/>
  <c r="A4" i="145"/>
  <c r="I3" i="145"/>
  <c r="A3" i="145"/>
  <c r="I2" i="145"/>
  <c r="A2" i="145"/>
  <c r="A67" i="144"/>
  <c r="F66" i="144"/>
  <c r="C66" i="144"/>
  <c r="E66" i="144" s="1"/>
  <c r="A66" i="144"/>
  <c r="C65" i="144"/>
  <c r="C64" i="144" s="1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E66" i="142"/>
  <c r="C66" i="142"/>
  <c r="A66" i="142"/>
  <c r="C65" i="142"/>
  <c r="E65" i="142" s="1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I5" i="142"/>
  <c r="A5" i="142"/>
  <c r="A4" i="142"/>
  <c r="A3" i="142"/>
  <c r="I2" i="142"/>
  <c r="I3" i="142" s="1"/>
  <c r="I4" i="142" s="1"/>
  <c r="A2" i="142"/>
  <c r="A67" i="141"/>
  <c r="F66" i="141"/>
  <c r="E66" i="141"/>
  <c r="C66" i="141"/>
  <c r="C65" i="141" s="1"/>
  <c r="A66" i="141"/>
  <c r="E65" i="141"/>
  <c r="A65" i="141"/>
  <c r="E64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A66" i="140"/>
  <c r="C65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E65" i="139"/>
  <c r="C65" i="139"/>
  <c r="C64" i="139" s="1"/>
  <c r="E64" i="139" s="1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I4" i="139"/>
  <c r="A4" i="139"/>
  <c r="I3" i="139"/>
  <c r="A3" i="139"/>
  <c r="I2" i="139"/>
  <c r="A2" i="139"/>
  <c r="A67" i="138"/>
  <c r="F66" i="138"/>
  <c r="E66" i="138"/>
  <c r="C66" i="138"/>
  <c r="A66" i="138"/>
  <c r="C65" i="138"/>
  <c r="E65" i="138" s="1"/>
  <c r="A65" i="138"/>
  <c r="C64" i="138"/>
  <c r="E64" i="138" s="1"/>
  <c r="A64" i="138"/>
  <c r="C63" i="138"/>
  <c r="C62" i="138" s="1"/>
  <c r="E62" i="138" s="1"/>
  <c r="A63" i="138"/>
  <c r="A62" i="138"/>
  <c r="C61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A66" i="137"/>
  <c r="E65" i="137"/>
  <c r="C65" i="137"/>
  <c r="C64" i="137" s="1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C64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I4" i="135"/>
  <c r="I5" i="135" s="1"/>
  <c r="A4" i="135"/>
  <c r="I3" i="135"/>
  <c r="A3" i="135"/>
  <c r="I2" i="135"/>
  <c r="A2" i="135"/>
  <c r="A67" i="134"/>
  <c r="F66" i="134"/>
  <c r="C66" i="134"/>
  <c r="E66" i="134" s="1"/>
  <c r="A66" i="134"/>
  <c r="C65" i="134"/>
  <c r="E65" i="134" s="1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I6" i="134"/>
  <c r="I7" i="134" s="1"/>
  <c r="A6" i="134"/>
  <c r="I5" i="134"/>
  <c r="A5" i="134"/>
  <c r="A4" i="134"/>
  <c r="A3" i="134"/>
  <c r="I2" i="134"/>
  <c r="I3" i="134" s="1"/>
  <c r="I4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I7" i="133"/>
  <c r="A7" i="133"/>
  <c r="A6" i="133"/>
  <c r="I5" i="133"/>
  <c r="I6" i="133" s="1"/>
  <c r="A5" i="133"/>
  <c r="I4" i="133"/>
  <c r="A4" i="133"/>
  <c r="I3" i="133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I3" i="132"/>
  <c r="I4" i="132" s="1"/>
  <c r="I5" i="132" s="1"/>
  <c r="A3" i="132"/>
  <c r="I2" i="132"/>
  <c r="A2" i="132"/>
  <c r="A67" i="131"/>
  <c r="F66" i="131"/>
  <c r="E66" i="131"/>
  <c r="C66" i="131"/>
  <c r="C65" i="131" s="1"/>
  <c r="E65" i="131" s="1"/>
  <c r="A66" i="131"/>
  <c r="A65" i="131"/>
  <c r="C64" i="131"/>
  <c r="C63" i="131" s="1"/>
  <c r="C62" i="131" s="1"/>
  <c r="A64" i="131"/>
  <c r="E63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I3" i="131"/>
  <c r="A3" i="131"/>
  <c r="I2" i="131"/>
  <c r="A2" i="131"/>
  <c r="A67" i="130"/>
  <c r="F66" i="130"/>
  <c r="C66" i="130"/>
  <c r="E66" i="130" s="1"/>
  <c r="A66" i="130"/>
  <c r="C65" i="130"/>
  <c r="C64" i="130" s="1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E66" i="129"/>
  <c r="C66" i="129"/>
  <c r="A66" i="129"/>
  <c r="C65" i="129"/>
  <c r="E65" i="129" s="1"/>
  <c r="A65" i="129"/>
  <c r="C64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I3" i="129"/>
  <c r="I4" i="129" s="1"/>
  <c r="A3" i="129"/>
  <c r="I2" i="129"/>
  <c r="A2" i="129"/>
  <c r="A67" i="128"/>
  <c r="F66" i="128"/>
  <c r="E66" i="128"/>
  <c r="C66" i="128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I4" i="128"/>
  <c r="I5" i="128" s="1"/>
  <c r="A4" i="128"/>
  <c r="I3" i="128"/>
  <c r="A3" i="128"/>
  <c r="I2" i="128"/>
  <c r="A2" i="128"/>
  <c r="A67" i="127"/>
  <c r="F66" i="127"/>
  <c r="E66" i="127"/>
  <c r="C66" i="127"/>
  <c r="A66" i="127"/>
  <c r="E65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E66" i="126"/>
  <c r="C66" i="126"/>
  <c r="A66" i="126"/>
  <c r="C65" i="126"/>
  <c r="E65" i="126" s="1"/>
  <c r="A65" i="126"/>
  <c r="C64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I3" i="126"/>
  <c r="A3" i="126"/>
  <c r="I2" i="126"/>
  <c r="A2" i="126"/>
  <c r="A67" i="125"/>
  <c r="F66" i="125"/>
  <c r="E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E66" i="124"/>
  <c r="C66" i="124"/>
  <c r="A66" i="124"/>
  <c r="E65" i="124"/>
  <c r="C65" i="124"/>
  <c r="C64" i="124" s="1"/>
  <c r="E64" i="124" s="1"/>
  <c r="A65" i="124"/>
  <c r="A64" i="124"/>
  <c r="C63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I3" i="123"/>
  <c r="A3" i="123"/>
  <c r="I2" i="123"/>
  <c r="A2" i="123"/>
  <c r="A67" i="122"/>
  <c r="F66" i="122"/>
  <c r="C66" i="122"/>
  <c r="E66" i="122" s="1"/>
  <c r="A66" i="122"/>
  <c r="C65" i="122"/>
  <c r="E65" i="122" s="1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I4" i="122"/>
  <c r="I5" i="122" s="1"/>
  <c r="A4" i="122"/>
  <c r="I3" i="122"/>
  <c r="A3" i="122"/>
  <c r="I2" i="122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I3" i="121"/>
  <c r="A3" i="121"/>
  <c r="I2" i="121"/>
  <c r="A2" i="121"/>
  <c r="A67" i="120"/>
  <c r="F66" i="120"/>
  <c r="E66" i="120"/>
  <c r="C66" i="120"/>
  <c r="C65" i="120" s="1"/>
  <c r="A66" i="120"/>
  <c r="E65" i="120"/>
  <c r="A65" i="120"/>
  <c r="C64" i="120"/>
  <c r="E64" i="120" s="1"/>
  <c r="A64" i="120"/>
  <c r="C63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E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I3" i="119"/>
  <c r="A3" i="119"/>
  <c r="I2" i="119"/>
  <c r="A2" i="119"/>
  <c r="A67" i="118"/>
  <c r="F66" i="118"/>
  <c r="E66" i="118"/>
  <c r="C66" i="118"/>
  <c r="A66" i="118"/>
  <c r="C65" i="118"/>
  <c r="E65" i="118" s="1"/>
  <c r="A65" i="118"/>
  <c r="C64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I5" i="117"/>
  <c r="A5" i="117"/>
  <c r="A4" i="117"/>
  <c r="I3" i="117"/>
  <c r="I4" i="117" s="1"/>
  <c r="A3" i="117"/>
  <c r="I2" i="117"/>
  <c r="A2" i="117"/>
  <c r="A67" i="116"/>
  <c r="F66" i="116"/>
  <c r="E66" i="116"/>
  <c r="C66" i="116"/>
  <c r="A66" i="116"/>
  <c r="E65" i="116"/>
  <c r="C65" i="116"/>
  <c r="A65" i="116"/>
  <c r="C64" i="116"/>
  <c r="E64" i="116" s="1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I3" i="116"/>
  <c r="A3" i="116"/>
  <c r="I2" i="116"/>
  <c r="A2" i="116"/>
  <c r="A67" i="115"/>
  <c r="F66" i="115"/>
  <c r="E66" i="115"/>
  <c r="C66" i="115"/>
  <c r="A66" i="115"/>
  <c r="E65" i="115"/>
  <c r="C65" i="115"/>
  <c r="A65" i="115"/>
  <c r="C64" i="115"/>
  <c r="E64" i="115" s="1"/>
  <c r="A64" i="115"/>
  <c r="C63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I4" i="113"/>
  <c r="A4" i="113"/>
  <c r="A3" i="113"/>
  <c r="I2" i="113"/>
  <c r="I3" i="113" s="1"/>
  <c r="A2" i="113"/>
  <c r="A67" i="112"/>
  <c r="F66" i="112"/>
  <c r="E66" i="112"/>
  <c r="C66" i="112"/>
  <c r="A66" i="112"/>
  <c r="E65" i="112"/>
  <c r="C65" i="112"/>
  <c r="A65" i="112"/>
  <c r="C64" i="112"/>
  <c r="E64" i="112" s="1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A65" i="111"/>
  <c r="E64" i="111"/>
  <c r="A64" i="111"/>
  <c r="C63" i="111"/>
  <c r="E63" i="111" s="1"/>
  <c r="A63" i="111"/>
  <c r="C62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E66" i="110"/>
  <c r="C66" i="110"/>
  <c r="C65" i="110" s="1"/>
  <c r="A66" i="110"/>
  <c r="E65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I4" i="107"/>
  <c r="I5" i="107" s="1"/>
  <c r="A4" i="107"/>
  <c r="I3" i="107"/>
  <c r="A3" i="107"/>
  <c r="I2" i="107"/>
  <c r="A2" i="107"/>
  <c r="A67" i="106"/>
  <c r="F66" i="106"/>
  <c r="E66" i="106"/>
  <c r="C66" i="106"/>
  <c r="A66" i="106"/>
  <c r="C65" i="106"/>
  <c r="C64" i="106" s="1"/>
  <c r="E64" i="106" s="1"/>
  <c r="A65" i="106"/>
  <c r="A64" i="106"/>
  <c r="C63" i="106"/>
  <c r="E63" i="106" s="1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E66" i="105"/>
  <c r="C66" i="105"/>
  <c r="A66" i="105"/>
  <c r="C65" i="105"/>
  <c r="E65" i="105" s="1"/>
  <c r="A65" i="105"/>
  <c r="E64" i="105"/>
  <c r="C64" i="105"/>
  <c r="C63" i="105" s="1"/>
  <c r="A64" i="105"/>
  <c r="E63" i="105"/>
  <c r="A63" i="105"/>
  <c r="C62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E66" i="104"/>
  <c r="C66" i="104"/>
  <c r="C65" i="104" s="1"/>
  <c r="C64" i="104" s="1"/>
  <c r="A66" i="104"/>
  <c r="E65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E66" i="103"/>
  <c r="C66" i="103"/>
  <c r="A66" i="103"/>
  <c r="E65" i="103"/>
  <c r="C65" i="103"/>
  <c r="A65" i="103"/>
  <c r="C64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C64" i="102"/>
  <c r="E64" i="102" s="1"/>
  <c r="A64" i="102"/>
  <c r="E63" i="102"/>
  <c r="C63" i="102"/>
  <c r="A63" i="102"/>
  <c r="C62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C66" i="101"/>
  <c r="A66" i="101"/>
  <c r="C65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I5" i="101"/>
  <c r="A5" i="101"/>
  <c r="I4" i="101"/>
  <c r="A4" i="101"/>
  <c r="A3" i="101"/>
  <c r="I2" i="101"/>
  <c r="I3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I3" i="99"/>
  <c r="I4" i="99" s="1"/>
  <c r="A3" i="99"/>
  <c r="I2" i="99"/>
  <c r="A2" i="99"/>
  <c r="A67" i="98"/>
  <c r="F66" i="98"/>
  <c r="E66" i="98"/>
  <c r="C66" i="98"/>
  <c r="A66" i="98"/>
  <c r="E65" i="98"/>
  <c r="C65" i="98"/>
  <c r="C64" i="98" s="1"/>
  <c r="C63" i="98" s="1"/>
  <c r="C62" i="98" s="1"/>
  <c r="C61" i="98" s="1"/>
  <c r="A65" i="98"/>
  <c r="E64" i="98"/>
  <c r="A64" i="98"/>
  <c r="A63" i="98"/>
  <c r="E62" i="98"/>
  <c r="A62" i="98"/>
  <c r="E61" i="98"/>
  <c r="A61" i="98"/>
  <c r="C60" i="98"/>
  <c r="E60" i="98" s="1"/>
  <c r="A60" i="98"/>
  <c r="C59" i="98"/>
  <c r="E59" i="98" s="1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I4" i="98"/>
  <c r="I5" i="98" s="1"/>
  <c r="A4" i="98"/>
  <c r="A3" i="98"/>
  <c r="I2" i="98"/>
  <c r="I3" i="98" s="1"/>
  <c r="A2" i="98"/>
  <c r="A67" i="97"/>
  <c r="F66" i="97"/>
  <c r="C66" i="97"/>
  <c r="E66" i="97" s="1"/>
  <c r="A66" i="97"/>
  <c r="C65" i="97"/>
  <c r="E65" i="97" s="1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C65" i="96"/>
  <c r="E65" i="96" s="1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C65" i="95"/>
  <c r="E65" i="95" s="1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I6" i="94"/>
  <c r="A6" i="94"/>
  <c r="A5" i="94"/>
  <c r="A4" i="94"/>
  <c r="A3" i="94"/>
  <c r="I2" i="94"/>
  <c r="I3" i="94" s="1"/>
  <c r="I4" i="94" s="1"/>
  <c r="I5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I4" i="93"/>
  <c r="A4" i="93"/>
  <c r="A3" i="93"/>
  <c r="I2" i="93"/>
  <c r="I3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A66" i="89"/>
  <c r="C65" i="89"/>
  <c r="E65" i="89" s="1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I4" i="89"/>
  <c r="I5" i="89" s="1"/>
  <c r="A4" i="89"/>
  <c r="I3" i="89"/>
  <c r="A3" i="89"/>
  <c r="I2" i="89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E66" i="87"/>
  <c r="C66" i="87"/>
  <c r="A66" i="87"/>
  <c r="C65" i="87"/>
  <c r="E65" i="87" s="1"/>
  <c r="A65" i="87"/>
  <c r="C64" i="87"/>
  <c r="E64" i="87" s="1"/>
  <c r="A64" i="87"/>
  <c r="E63" i="87"/>
  <c r="C63" i="87"/>
  <c r="A63" i="87"/>
  <c r="C62" i="87"/>
  <c r="E62" i="87" s="1"/>
  <c r="A62" i="87"/>
  <c r="C61" i="87"/>
  <c r="E61" i="87" s="1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C65" i="85"/>
  <c r="C64" i="85" s="1"/>
  <c r="E64" i="85" s="1"/>
  <c r="A65" i="85"/>
  <c r="A64" i="85"/>
  <c r="C63" i="85"/>
  <c r="E63" i="85" s="1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C65" i="84"/>
  <c r="E65" i="84" s="1"/>
  <c r="A65" i="84"/>
  <c r="C64" i="84"/>
  <c r="E64" i="84" s="1"/>
  <c r="A64" i="84"/>
  <c r="C63" i="84"/>
  <c r="E63" i="84" s="1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I4" i="83"/>
  <c r="A4" i="83"/>
  <c r="A3" i="83"/>
  <c r="I2" i="83"/>
  <c r="I3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C63" i="82"/>
  <c r="C62" i="82" s="1"/>
  <c r="C61" i="82" s="1"/>
  <c r="C60" i="82" s="1"/>
  <c r="E60" i="82" s="1"/>
  <c r="A63" i="82"/>
  <c r="A62" i="82"/>
  <c r="A61" i="82"/>
  <c r="A60" i="82"/>
  <c r="C59" i="82"/>
  <c r="E59" i="82" s="1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I5" i="82"/>
  <c r="I6" i="82" s="1"/>
  <c r="A5" i="82"/>
  <c r="I4" i="82"/>
  <c r="A4" i="82"/>
  <c r="I3" i="82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A66" i="79"/>
  <c r="C65" i="79"/>
  <c r="E65" i="79" s="1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I4" i="79"/>
  <c r="I5" i="79" s="1"/>
  <c r="I6" i="79" s="1"/>
  <c r="A4" i="79"/>
  <c r="I3" i="79"/>
  <c r="A3" i="79"/>
  <c r="I2" i="79"/>
  <c r="A2" i="79"/>
  <c r="A67" i="78"/>
  <c r="F66" i="78"/>
  <c r="C66" i="78"/>
  <c r="E66" i="78" s="1"/>
  <c r="A66" i="78"/>
  <c r="C65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I3" i="78"/>
  <c r="I4" i="78" s="1"/>
  <c r="I5" i="78" s="1"/>
  <c r="A3" i="78"/>
  <c r="I2" i="78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I4" i="77"/>
  <c r="I5" i="77" s="1"/>
  <c r="A4" i="77"/>
  <c r="A3" i="77"/>
  <c r="I2" i="77"/>
  <c r="I3" i="77" s="1"/>
  <c r="A2" i="77"/>
  <c r="A67" i="76"/>
  <c r="F66" i="76"/>
  <c r="C66" i="76"/>
  <c r="E66" i="76" s="1"/>
  <c r="A66" i="76"/>
  <c r="C65" i="76"/>
  <c r="E65" i="76" s="1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C64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I4" i="75"/>
  <c r="I5" i="75" s="1"/>
  <c r="I6" i="75" s="1"/>
  <c r="I7" i="75" s="1"/>
  <c r="A4" i="75"/>
  <c r="I3" i="75"/>
  <c r="A3" i="75"/>
  <c r="I2" i="75"/>
  <c r="A2" i="75"/>
  <c r="A67" i="74"/>
  <c r="F66" i="74"/>
  <c r="C66" i="74"/>
  <c r="E66" i="74" s="1"/>
  <c r="A66" i="74"/>
  <c r="E65" i="74"/>
  <c r="C65" i="74"/>
  <c r="A65" i="74"/>
  <c r="C64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I5" i="74"/>
  <c r="I6" i="74" s="1"/>
  <c r="I7" i="74" s="1"/>
  <c r="A5" i="74"/>
  <c r="A4" i="74"/>
  <c r="A3" i="74"/>
  <c r="I2" i="74"/>
  <c r="I3" i="74" s="1"/>
  <c r="I4" i="74" s="1"/>
  <c r="A2" i="74"/>
  <c r="A67" i="73"/>
  <c r="F66" i="73"/>
  <c r="C66" i="73"/>
  <c r="C65" i="73" s="1"/>
  <c r="E65" i="73" s="1"/>
  <c r="A66" i="73"/>
  <c r="A65" i="73"/>
  <c r="E64" i="73"/>
  <c r="C64" i="73"/>
  <c r="C63" i="73" s="1"/>
  <c r="E63" i="73" s="1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E65" i="72"/>
  <c r="C65" i="72"/>
  <c r="C64" i="72" s="1"/>
  <c r="E64" i="72" s="1"/>
  <c r="A65" i="72"/>
  <c r="A64" i="72"/>
  <c r="C63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I4" i="72"/>
  <c r="A4" i="72"/>
  <c r="I3" i="72"/>
  <c r="A3" i="72"/>
  <c r="I2" i="72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I5" i="71"/>
  <c r="I6" i="71" s="1"/>
  <c r="A5" i="71"/>
  <c r="A4" i="71"/>
  <c r="I3" i="71"/>
  <c r="I4" i="71" s="1"/>
  <c r="A3" i="71"/>
  <c r="I2" i="7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C63" i="69"/>
  <c r="E63" i="69" s="1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I2" i="69"/>
  <c r="A2" i="69"/>
  <c r="A67" i="68"/>
  <c r="F66" i="68"/>
  <c r="E66" i="68"/>
  <c r="C66" i="68"/>
  <c r="A66" i="68"/>
  <c r="C65" i="68"/>
  <c r="E65" i="68" s="1"/>
  <c r="A65" i="68"/>
  <c r="C64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E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A66" i="66"/>
  <c r="C65" i="66"/>
  <c r="E65" i="66" s="1"/>
  <c r="A65" i="66"/>
  <c r="C64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C64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E66" i="64"/>
  <c r="C66" i="64"/>
  <c r="A66" i="64"/>
  <c r="C65" i="64"/>
  <c r="E65" i="64" s="1"/>
  <c r="A65" i="64"/>
  <c r="C64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E66" i="63"/>
  <c r="C66" i="63"/>
  <c r="A66" i="63"/>
  <c r="C65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E66" i="62"/>
  <c r="C66" i="62"/>
  <c r="C65" i="62" s="1"/>
  <c r="A66" i="62"/>
  <c r="E65" i="62"/>
  <c r="A65" i="62"/>
  <c r="C64" i="62"/>
  <c r="E64" i="62" s="1"/>
  <c r="A64" i="62"/>
  <c r="C63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E66" i="61"/>
  <c r="C66" i="61"/>
  <c r="A66" i="61"/>
  <c r="C65" i="61"/>
  <c r="E65" i="61" s="1"/>
  <c r="A65" i="61"/>
  <c r="E64" i="61"/>
  <c r="C64" i="61"/>
  <c r="C63" i="61" s="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I5" i="61"/>
  <c r="I6" i="61" s="1"/>
  <c r="I7" i="61" s="1"/>
  <c r="A5" i="61"/>
  <c r="I4" i="61"/>
  <c r="A4" i="61"/>
  <c r="I3" i="61"/>
  <c r="A3" i="61"/>
  <c r="I2" i="61"/>
  <c r="A2" i="61"/>
  <c r="A67" i="60"/>
  <c r="F66" i="60"/>
  <c r="E66" i="60"/>
  <c r="C66" i="60"/>
  <c r="A66" i="60"/>
  <c r="E65" i="60"/>
  <c r="C65" i="60"/>
  <c r="A65" i="60"/>
  <c r="C64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I4" i="60"/>
  <c r="A4" i="60"/>
  <c r="A3" i="60"/>
  <c r="I2" i="60"/>
  <c r="I3" i="60" s="1"/>
  <c r="A2" i="60"/>
  <c r="A67" i="59"/>
  <c r="F66" i="59"/>
  <c r="C66" i="59"/>
  <c r="E66" i="59" s="1"/>
  <c r="A66" i="59"/>
  <c r="E65" i="59"/>
  <c r="C65" i="59"/>
  <c r="A65" i="59"/>
  <c r="E64" i="59"/>
  <c r="C64" i="59"/>
  <c r="C63" i="59" s="1"/>
  <c r="C62" i="59" s="1"/>
  <c r="A64" i="59"/>
  <c r="E63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I5" i="59"/>
  <c r="I6" i="59" s="1"/>
  <c r="A5" i="59"/>
  <c r="I4" i="59"/>
  <c r="A4" i="59"/>
  <c r="I3" i="59"/>
  <c r="A3" i="59"/>
  <c r="I2" i="59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E66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C65" i="54"/>
  <c r="C64" i="54" s="1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E66" i="51"/>
  <c r="C66" i="51"/>
  <c r="A66" i="51"/>
  <c r="C65" i="51"/>
  <c r="E65" i="51" s="1"/>
  <c r="A65" i="51"/>
  <c r="C64" i="51"/>
  <c r="E64" i="51" s="1"/>
  <c r="A64" i="51"/>
  <c r="C63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I4" i="51"/>
  <c r="I5" i="51" s="1"/>
  <c r="A4" i="51"/>
  <c r="I3" i="51"/>
  <c r="A3" i="51"/>
  <c r="I2" i="5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I3" i="49"/>
  <c r="A3" i="49"/>
  <c r="I2" i="49"/>
  <c r="A2" i="49"/>
  <c r="A67" i="48"/>
  <c r="C66" i="48"/>
  <c r="E66" i="48" s="1"/>
  <c r="A66" i="48"/>
  <c r="C65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A65" i="47"/>
  <c r="C64" i="47"/>
  <c r="E64" i="47" s="1"/>
  <c r="A64" i="47"/>
  <c r="C63" i="47"/>
  <c r="E63" i="47" s="1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I5" i="46"/>
  <c r="I6" i="46" s="1"/>
  <c r="I7" i="46" s="1"/>
  <c r="A5" i="46"/>
  <c r="A4" i="46"/>
  <c r="I3" i="46"/>
  <c r="I4" i="46" s="1"/>
  <c r="A3" i="46"/>
  <c r="I2" i="46"/>
  <c r="A2" i="46"/>
  <c r="A67" i="45"/>
  <c r="E66" i="45"/>
  <c r="C66" i="45"/>
  <c r="A66" i="45"/>
  <c r="E65" i="45"/>
  <c r="C65" i="45"/>
  <c r="A65" i="45"/>
  <c r="E64" i="45"/>
  <c r="C64" i="45"/>
  <c r="A64" i="45"/>
  <c r="E63" i="45"/>
  <c r="C63" i="45"/>
  <c r="C62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E66" i="44"/>
  <c r="C66" i="44"/>
  <c r="A66" i="44"/>
  <c r="C65" i="44"/>
  <c r="E65" i="44" s="1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I3" i="44"/>
  <c r="I4" i="44" s="1"/>
  <c r="A3" i="44"/>
  <c r="I2" i="44"/>
  <c r="A2" i="44"/>
  <c r="A67" i="43"/>
  <c r="C66" i="43"/>
  <c r="C65" i="43" s="1"/>
  <c r="A66" i="43"/>
  <c r="E65" i="43"/>
  <c r="A65" i="43"/>
  <c r="E64" i="43"/>
  <c r="C64" i="43"/>
  <c r="A64" i="43"/>
  <c r="E63" i="43"/>
  <c r="C63" i="43"/>
  <c r="C62" i="43" s="1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I5" i="42"/>
  <c r="I6" i="42" s="1"/>
  <c r="A5" i="42"/>
  <c r="I4" i="42"/>
  <c r="A4" i="42"/>
  <c r="I3" i="42"/>
  <c r="A3" i="42"/>
  <c r="I2" i="42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I4" i="41"/>
  <c r="A4" i="41"/>
  <c r="A3" i="41"/>
  <c r="I2" i="41"/>
  <c r="I3" i="41" s="1"/>
  <c r="A2" i="41"/>
  <c r="A67" i="40"/>
  <c r="C66" i="40"/>
  <c r="C65" i="40" s="1"/>
  <c r="C64" i="40" s="1"/>
  <c r="E64" i="40" s="1"/>
  <c r="A66" i="40"/>
  <c r="E65" i="40"/>
  <c r="A65" i="40"/>
  <c r="A64" i="40"/>
  <c r="C63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3" i="40"/>
  <c r="I2" i="40"/>
  <c r="A2" i="40"/>
  <c r="A67" i="39"/>
  <c r="C66" i="39"/>
  <c r="C65" i="39" s="1"/>
  <c r="C64" i="39" s="1"/>
  <c r="C63" i="39" s="1"/>
  <c r="A66" i="39"/>
  <c r="E65" i="39"/>
  <c r="A65" i="39"/>
  <c r="E64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C65" i="38"/>
  <c r="E65" i="38" s="1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E66" i="37"/>
  <c r="C66" i="37"/>
  <c r="A66" i="37"/>
  <c r="C65" i="37"/>
  <c r="E65" i="37" s="1"/>
  <c r="A65" i="37"/>
  <c r="C64" i="37"/>
  <c r="C63" i="37" s="1"/>
  <c r="E63" i="37" s="1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E66" i="36"/>
  <c r="C66" i="36"/>
  <c r="A66" i="36"/>
  <c r="C65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E66" i="35"/>
  <c r="C66" i="35"/>
  <c r="A66" i="35"/>
  <c r="C65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E65" i="34"/>
  <c r="A65" i="34"/>
  <c r="E64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C64" i="32"/>
  <c r="C63" i="32" s="1"/>
  <c r="C62" i="32" s="1"/>
  <c r="E62" i="32" s="1"/>
  <c r="A64" i="32"/>
  <c r="E63" i="32"/>
  <c r="A63" i="32"/>
  <c r="A62" i="32"/>
  <c r="C61" i="32"/>
  <c r="E61" i="32" s="1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I4" i="32"/>
  <c r="I5" i="32" s="1"/>
  <c r="I6" i="32" s="1"/>
  <c r="A4" i="32"/>
  <c r="I3" i="32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E64" i="30"/>
  <c r="A64" i="30"/>
  <c r="A63" i="30"/>
  <c r="C62" i="30"/>
  <c r="C61" i="30" s="1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I4" i="29"/>
  <c r="I5" i="29" s="1"/>
  <c r="A4" i="29"/>
  <c r="A3" i="29"/>
  <c r="I2" i="29"/>
  <c r="I3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I5" i="27"/>
  <c r="I6" i="27" s="1"/>
  <c r="A5" i="27"/>
  <c r="A4" i="27"/>
  <c r="A3" i="27"/>
  <c r="I2" i="27"/>
  <c r="I3" i="27" s="1"/>
  <c r="I4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I4" i="26"/>
  <c r="I5" i="26" s="1"/>
  <c r="A4" i="26"/>
  <c r="I3" i="26"/>
  <c r="A3" i="26"/>
  <c r="I2" i="26"/>
  <c r="A2" i="26"/>
  <c r="A67" i="25"/>
  <c r="E66" i="25"/>
  <c r="C66" i="25"/>
  <c r="A66" i="25"/>
  <c r="C65" i="25"/>
  <c r="E65" i="25" s="1"/>
  <c r="A65" i="25"/>
  <c r="C64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I3" i="25"/>
  <c r="I4" i="25" s="1"/>
  <c r="A3" i="25"/>
  <c r="I2" i="25"/>
  <c r="A2" i="25"/>
  <c r="A117" i="24"/>
  <c r="C116" i="24"/>
  <c r="E116" i="24" s="1"/>
  <c r="A116" i="24"/>
  <c r="A115" i="24"/>
  <c r="A114" i="24"/>
  <c r="A113" i="24"/>
  <c r="A112" i="24"/>
  <c r="A111" i="24"/>
  <c r="A110" i="24"/>
  <c r="A109" i="24"/>
  <c r="A108" i="24"/>
  <c r="A107" i="24"/>
  <c r="A106" i="24"/>
  <c r="E105" i="24"/>
  <c r="C105" i="24"/>
  <c r="C104" i="24" s="1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I3" i="24"/>
  <c r="I4" i="24" s="1"/>
  <c r="I5" i="24" s="1"/>
  <c r="I6" i="24" s="1"/>
  <c r="A3" i="24"/>
  <c r="I2" i="24"/>
  <c r="A2" i="24"/>
  <c r="A67" i="23"/>
  <c r="E66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E66" i="22"/>
  <c r="C66" i="22"/>
  <c r="A66" i="22"/>
  <c r="E65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I6" i="22"/>
  <c r="A6" i="22"/>
  <c r="A5" i="22"/>
  <c r="I4" i="22"/>
  <c r="I5" i="22" s="1"/>
  <c r="A4" i="22"/>
  <c r="I3" i="22"/>
  <c r="A3" i="22"/>
  <c r="I2" i="22"/>
  <c r="A2" i="22"/>
  <c r="A67" i="21"/>
  <c r="E66" i="21"/>
  <c r="C66" i="2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E66" i="20"/>
  <c r="C66" i="20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C65" i="18"/>
  <c r="C64" i="18" s="1"/>
  <c r="E64" i="18" s="1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I3" i="18"/>
  <c r="I4" i="18" s="1"/>
  <c r="A3" i="18"/>
  <c r="I2" i="18"/>
  <c r="A2" i="18"/>
  <c r="A67" i="17"/>
  <c r="C66" i="17"/>
  <c r="E66" i="17" s="1"/>
  <c r="A66" i="17"/>
  <c r="C65" i="17"/>
  <c r="E65" i="17" s="1"/>
  <c r="A65" i="17"/>
  <c r="C64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C65" i="16"/>
  <c r="C64" i="16" s="1"/>
  <c r="E64" i="16" s="1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I4" i="16"/>
  <c r="I5" i="16" s="1"/>
  <c r="A4" i="16"/>
  <c r="I3" i="16"/>
  <c r="A3" i="16"/>
  <c r="I2" i="16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I5" i="15"/>
  <c r="I6" i="15" s="1"/>
  <c r="I7" i="15" s="1"/>
  <c r="A5" i="15"/>
  <c r="A4" i="15"/>
  <c r="I3" i="15"/>
  <c r="I4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I5" i="14"/>
  <c r="I6" i="14" s="1"/>
  <c r="A5" i="14"/>
  <c r="I4" i="14"/>
  <c r="A4" i="14"/>
  <c r="A3" i="14"/>
  <c r="I2" i="14"/>
  <c r="I3" i="14" s="1"/>
  <c r="A2" i="14"/>
  <c r="A67" i="13"/>
  <c r="C66" i="13"/>
  <c r="E66" i="13" s="1"/>
  <c r="A66" i="13"/>
  <c r="C65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I5" i="12"/>
  <c r="I6" i="12" s="1"/>
  <c r="I7" i="12" s="1"/>
  <c r="A5" i="12"/>
  <c r="A4" i="12"/>
  <c r="A3" i="12"/>
  <c r="I2" i="12"/>
  <c r="I3" i="12" s="1"/>
  <c r="I4" i="12" s="1"/>
  <c r="A2" i="12"/>
  <c r="A67" i="11"/>
  <c r="E66" i="11"/>
  <c r="C66" i="11"/>
  <c r="A66" i="11"/>
  <c r="E65" i="11"/>
  <c r="C65" i="11"/>
  <c r="A65" i="11"/>
  <c r="C64" i="11"/>
  <c r="E64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E66" i="10"/>
  <c r="C66" i="10"/>
  <c r="A66" i="10"/>
  <c r="C65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I4" i="9"/>
  <c r="I5" i="9" s="1"/>
  <c r="A4" i="9"/>
  <c r="I3" i="9"/>
  <c r="A3" i="9"/>
  <c r="I2" i="9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I7" i="7"/>
  <c r="A7" i="7"/>
  <c r="I6" i="7"/>
  <c r="A6" i="7"/>
  <c r="I5" i="7"/>
  <c r="A5" i="7"/>
  <c r="A4" i="7"/>
  <c r="I3" i="7"/>
  <c r="I4" i="7" s="1"/>
  <c r="A3" i="7"/>
  <c r="I2" i="7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E65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I3" i="3"/>
  <c r="A3" i="3"/>
  <c r="I2" i="3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L66" i="2" s="1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K66" i="2"/>
  <c r="IJ66" i="2"/>
  <c r="IH66" i="2"/>
  <c r="HY66" i="2"/>
  <c r="HW66" i="2"/>
  <c r="HN66" i="2"/>
  <c r="HL66" i="2"/>
  <c r="HD66" i="2"/>
  <c r="HC66" i="2"/>
  <c r="HA66" i="2"/>
  <c r="GS66" i="2"/>
  <c r="GR66" i="2"/>
  <c r="GP66" i="2"/>
  <c r="GE66" i="2"/>
  <c r="FV66" i="2"/>
  <c r="FW66" i="2" s="1"/>
  <c r="FT66" i="2"/>
  <c r="FK66" i="2"/>
  <c r="FI66" i="2"/>
  <c r="EZ66" i="2"/>
  <c r="FA66" i="2" s="1"/>
  <c r="EX66" i="2"/>
  <c r="EM66" i="2"/>
  <c r="ED66" i="2"/>
  <c r="EB66" i="2"/>
  <c r="DS66" i="2"/>
  <c r="DT65" i="2" s="1"/>
  <c r="DQ66" i="2"/>
  <c r="DH66" i="2"/>
  <c r="DI66" i="2" s="1"/>
  <c r="DF66" i="2"/>
  <c r="CW66" i="2"/>
  <c r="CU66" i="2"/>
  <c r="CL66" i="2"/>
  <c r="CJ66" i="2"/>
  <c r="CA66" i="2"/>
  <c r="BY66" i="2"/>
  <c r="BQ66" i="2"/>
  <c r="BP66" i="2"/>
  <c r="BN66" i="2"/>
  <c r="BE66" i="2"/>
  <c r="BC66" i="2"/>
  <c r="AT66" i="2"/>
  <c r="AR66" i="2"/>
  <c r="AJ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Z65" i="2"/>
  <c r="EX65" i="2"/>
  <c r="EM65" i="2"/>
  <c r="EB65" i="2"/>
  <c r="DS65" i="2"/>
  <c r="DQ65" i="2"/>
  <c r="DI65" i="2"/>
  <c r="DH65" i="2"/>
  <c r="DF65" i="2"/>
  <c r="CW65" i="2"/>
  <c r="CX65" i="2" s="1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T64" i="2"/>
  <c r="DS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P66" i="1"/>
  <c r="BN66" i="1"/>
  <c r="BC66" i="1"/>
  <c r="AR66" i="1"/>
  <c r="AI66" i="1"/>
  <c r="AG66" i="1"/>
  <c r="X66" i="1"/>
  <c r="V66" i="1"/>
  <c r="M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I4" i="4" l="1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CM66" i="2"/>
  <c r="HO66" i="2"/>
  <c r="HZ66" i="2"/>
  <c r="FA65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C64" i="13"/>
  <c r="E66" i="14"/>
  <c r="C65" i="14"/>
  <c r="C63" i="11"/>
  <c r="I3" i="17"/>
  <c r="I3" i="11"/>
  <c r="I6" i="13"/>
  <c r="I8" i="12"/>
  <c r="C64" i="15"/>
  <c r="E65" i="15"/>
  <c r="I8" i="15"/>
  <c r="I6" i="9"/>
  <c r="C65" i="8"/>
  <c r="E65" i="10"/>
  <c r="C64" i="10"/>
  <c r="C65" i="12"/>
  <c r="E66" i="12"/>
  <c r="I6" i="16"/>
  <c r="I5" i="18"/>
  <c r="I7" i="24"/>
  <c r="C63" i="25"/>
  <c r="E64" i="25"/>
  <c r="I7" i="27"/>
  <c r="I5" i="25"/>
  <c r="I4" i="20"/>
  <c r="I4" i="19"/>
  <c r="C63" i="16"/>
  <c r="E104" i="24"/>
  <c r="C103" i="24"/>
  <c r="C63" i="17"/>
  <c r="E64" i="17"/>
  <c r="I6" i="29"/>
  <c r="I7" i="22"/>
  <c r="I6" i="26"/>
  <c r="C64" i="20"/>
  <c r="E65" i="20"/>
  <c r="C63" i="18"/>
  <c r="E65" i="16"/>
  <c r="E65" i="23"/>
  <c r="C64" i="23"/>
  <c r="I5" i="23"/>
  <c r="E65" i="18"/>
  <c r="C64" i="21"/>
  <c r="I4" i="31"/>
  <c r="I4" i="21"/>
  <c r="E64" i="19"/>
  <c r="C63" i="19"/>
  <c r="E65" i="19"/>
  <c r="C115" i="24"/>
  <c r="I5" i="28"/>
  <c r="C62" i="26"/>
  <c r="I4" i="33"/>
  <c r="C65" i="27"/>
  <c r="E65" i="26"/>
  <c r="C65" i="28"/>
  <c r="C65" i="29"/>
  <c r="C63" i="22"/>
  <c r="C60" i="30"/>
  <c r="E61" i="30"/>
  <c r="E62" i="30"/>
  <c r="I7" i="32"/>
  <c r="I5" i="30"/>
  <c r="C60" i="32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E63" i="40"/>
  <c r="C62" i="40"/>
  <c r="C64" i="38"/>
  <c r="E64" i="37"/>
  <c r="I3" i="43"/>
  <c r="I3" i="40"/>
  <c r="E66" i="40"/>
  <c r="I5" i="37"/>
  <c r="E66" i="42"/>
  <c r="C65" i="42"/>
  <c r="E62" i="43"/>
  <c r="C61" i="43"/>
  <c r="C64" i="44"/>
  <c r="I8" i="46"/>
  <c r="I6" i="48"/>
  <c r="E62" i="45"/>
  <c r="C61" i="45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3" i="51"/>
  <c r="C62" i="51"/>
  <c r="E66" i="43"/>
  <c r="C62" i="47"/>
  <c r="E63" i="61"/>
  <c r="C62" i="61"/>
  <c r="I4" i="53"/>
  <c r="C61" i="59"/>
  <c r="E62" i="59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C62" i="62"/>
  <c r="E63" i="62"/>
  <c r="I4" i="57"/>
  <c r="I6" i="62"/>
  <c r="I8" i="61"/>
  <c r="I3" i="65"/>
  <c r="C63" i="67"/>
  <c r="E64" i="67"/>
  <c r="I5" i="63"/>
  <c r="E64" i="60"/>
  <c r="C63" i="60"/>
  <c r="C64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4" i="64"/>
  <c r="C63" i="64"/>
  <c r="E65" i="67"/>
  <c r="I4" i="76"/>
  <c r="E66" i="73"/>
  <c r="C63" i="74"/>
  <c r="E64" i="74"/>
  <c r="I4" i="70"/>
  <c r="E65" i="70"/>
  <c r="C64" i="70"/>
  <c r="I5" i="72"/>
  <c r="C64" i="71"/>
  <c r="C62" i="69"/>
  <c r="I8" i="74"/>
  <c r="E63" i="72"/>
  <c r="C62" i="72"/>
  <c r="E65" i="69"/>
  <c r="C62" i="73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C58" i="82"/>
  <c r="I4" i="84"/>
  <c r="C62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C60" i="87"/>
  <c r="E66" i="90"/>
  <c r="C65" i="90"/>
  <c r="C64" i="89"/>
  <c r="I5" i="93"/>
  <c r="C62" i="85"/>
  <c r="I5" i="92"/>
  <c r="I3" i="90"/>
  <c r="I4" i="97"/>
  <c r="I3" i="95"/>
  <c r="I6" i="98"/>
  <c r="I5" i="99"/>
  <c r="I3" i="91"/>
  <c r="C58" i="98"/>
  <c r="C64" i="97"/>
  <c r="C65" i="93"/>
  <c r="I7" i="94"/>
  <c r="C65" i="91"/>
  <c r="E66" i="92"/>
  <c r="C65" i="92"/>
  <c r="I4" i="103"/>
  <c r="I3" i="100"/>
  <c r="I3" i="96"/>
  <c r="E63" i="98"/>
  <c r="E62" i="102"/>
  <c r="C61" i="102"/>
  <c r="C63" i="99"/>
  <c r="I6" i="101"/>
  <c r="C64" i="95"/>
  <c r="C64" i="96"/>
  <c r="E65" i="99"/>
  <c r="C64" i="101"/>
  <c r="E65" i="101"/>
  <c r="E66" i="99"/>
  <c r="I4" i="104"/>
  <c r="C65" i="100"/>
  <c r="C63" i="94"/>
  <c r="I3" i="102"/>
  <c r="E62" i="105"/>
  <c r="C61" i="105"/>
  <c r="C65" i="107"/>
  <c r="E66" i="107"/>
  <c r="E65" i="108"/>
  <c r="C64" i="108"/>
  <c r="E66" i="108"/>
  <c r="I4" i="108"/>
  <c r="E64" i="104"/>
  <c r="C63" i="104"/>
  <c r="I4" i="106"/>
  <c r="I6" i="107"/>
  <c r="I3" i="105"/>
  <c r="E64" i="103"/>
  <c r="C63" i="103"/>
  <c r="I3" i="110"/>
  <c r="C63" i="110"/>
  <c r="E64" i="110"/>
  <c r="E62" i="111"/>
  <c r="C61" i="111"/>
  <c r="C62" i="106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E63" i="120"/>
  <c r="C62" i="120"/>
  <c r="I3" i="120"/>
  <c r="C63" i="118"/>
  <c r="E64" i="118"/>
  <c r="I6" i="122"/>
  <c r="E65" i="125"/>
  <c r="C64" i="125"/>
  <c r="I6" i="127"/>
  <c r="C63" i="130"/>
  <c r="E64" i="130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E64" i="129"/>
  <c r="C63" i="129"/>
  <c r="I8" i="133"/>
  <c r="I4" i="137"/>
  <c r="C64" i="134"/>
  <c r="I5" i="139"/>
  <c r="I6" i="136"/>
  <c r="C63" i="137"/>
  <c r="E64" i="137"/>
  <c r="C64" i="133"/>
  <c r="E65" i="133"/>
  <c r="C60" i="138"/>
  <c r="E61" i="138"/>
  <c r="E64" i="131"/>
  <c r="E66" i="133"/>
  <c r="E66" i="136"/>
  <c r="C65" i="136"/>
  <c r="E64" i="135"/>
  <c r="C63" i="135"/>
  <c r="C62" i="141"/>
  <c r="E63" i="141"/>
  <c r="E63" i="138"/>
  <c r="I3" i="140"/>
  <c r="I6" i="142"/>
  <c r="I4" i="144"/>
  <c r="I4" i="138"/>
  <c r="C63" i="139"/>
  <c r="I3" i="141"/>
  <c r="I8" i="145"/>
  <c r="I22" i="150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E63" i="149"/>
  <c r="C62" i="149"/>
  <c r="C64" i="142"/>
  <c r="E61" i="146"/>
  <c r="C60" i="146"/>
  <c r="E62" i="146"/>
  <c r="I4" i="151"/>
  <c r="I3" i="146"/>
  <c r="C64" i="147"/>
  <c r="E65" i="147"/>
  <c r="I6" i="150"/>
  <c r="I6" i="152"/>
  <c r="I4" i="153"/>
  <c r="C63" i="150"/>
  <c r="E64" i="148"/>
  <c r="C63" i="148"/>
  <c r="C64" i="151"/>
  <c r="E65" i="151"/>
  <c r="I6" i="156"/>
  <c r="C64" i="153"/>
  <c r="I5" i="159"/>
  <c r="I5" i="157"/>
  <c r="C64" i="154"/>
  <c r="E65" i="154"/>
  <c r="E61" i="156"/>
  <c r="C60" i="156"/>
  <c r="I5" i="158"/>
  <c r="I4" i="154"/>
  <c r="C60" i="157"/>
  <c r="E61" i="157"/>
  <c r="C65" i="158"/>
  <c r="E62" i="160"/>
  <c r="C61" i="160"/>
  <c r="C65" i="155"/>
  <c r="C63" i="161"/>
  <c r="E64" i="161"/>
  <c r="C62" i="159"/>
  <c r="E63" i="159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E65" i="160"/>
  <c r="I3" i="166"/>
  <c r="E63" i="168"/>
  <c r="C62" i="168"/>
  <c r="I5" i="167"/>
  <c r="C61" i="165"/>
  <c r="E62" i="165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3" i="173"/>
  <c r="C62" i="173"/>
  <c r="E64" i="171"/>
  <c r="E65" i="169"/>
  <c r="C64" i="169"/>
  <c r="E66" i="166"/>
  <c r="C65" i="172"/>
  <c r="E66" i="172"/>
  <c r="I3" i="174"/>
  <c r="C65" i="174"/>
  <c r="C64" i="109" l="1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C59" i="156"/>
  <c r="E60" i="156"/>
  <c r="I4" i="125"/>
  <c r="C62" i="112"/>
  <c r="E63" i="112"/>
  <c r="C64" i="92"/>
  <c r="E65" i="92"/>
  <c r="HN65" i="2"/>
  <c r="E62" i="85"/>
  <c r="C61" i="85"/>
  <c r="I5" i="70"/>
  <c r="I7" i="172"/>
  <c r="E64" i="63"/>
  <c r="C63" i="63"/>
  <c r="I8" i="59"/>
  <c r="I7" i="48"/>
  <c r="E64" i="33"/>
  <c r="C63" i="33"/>
  <c r="C61" i="149"/>
  <c r="E62" i="149"/>
  <c r="E65" i="107"/>
  <c r="C64" i="107"/>
  <c r="I6" i="93"/>
  <c r="E63" i="74"/>
  <c r="C62" i="74"/>
  <c r="I7" i="51"/>
  <c r="I9" i="46"/>
  <c r="C63" i="21"/>
  <c r="E64" i="21"/>
  <c r="I4" i="17"/>
  <c r="E63" i="4"/>
  <c r="C62" i="4"/>
  <c r="I5" i="121"/>
  <c r="I4" i="146"/>
  <c r="I7" i="117"/>
  <c r="C60" i="105"/>
  <c r="E61" i="105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C62" i="60"/>
  <c r="E63" i="60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C62" i="130"/>
  <c r="E63" i="130"/>
  <c r="I5" i="111"/>
  <c r="I8" i="94"/>
  <c r="C60" i="43"/>
  <c r="E61" i="43"/>
  <c r="C62" i="25"/>
  <c r="E63" i="25"/>
  <c r="I23" i="150"/>
  <c r="C62" i="167"/>
  <c r="E63" i="167"/>
  <c r="E65" i="93"/>
  <c r="C64" i="93"/>
  <c r="I5" i="50"/>
  <c r="E64" i="31"/>
  <c r="C63" i="31"/>
  <c r="E65" i="29"/>
  <c r="C64" i="29"/>
  <c r="X65" i="1"/>
  <c r="C62" i="11"/>
  <c r="E63" i="11"/>
  <c r="E60" i="138"/>
  <c r="C59" i="138"/>
  <c r="I6" i="129"/>
  <c r="C61" i="106"/>
  <c r="E62" i="106"/>
  <c r="E60" i="87"/>
  <c r="C59" i="87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DH64" i="2"/>
  <c r="I7" i="135"/>
  <c r="E63" i="137"/>
  <c r="C62" i="137"/>
  <c r="E64" i="80"/>
  <c r="C63" i="80"/>
  <c r="I5" i="76"/>
  <c r="I7" i="132"/>
  <c r="E61" i="165"/>
  <c r="C60" i="165"/>
  <c r="I4" i="160"/>
  <c r="I5" i="151"/>
  <c r="I4" i="141"/>
  <c r="I7" i="136"/>
  <c r="C62" i="116"/>
  <c r="E63" i="116"/>
  <c r="C63" i="97"/>
  <c r="E64" i="97"/>
  <c r="EO64" i="2"/>
  <c r="C57" i="82"/>
  <c r="E58" i="82"/>
  <c r="I6" i="60"/>
  <c r="I4" i="36"/>
  <c r="E64" i="23"/>
  <c r="C63" i="23"/>
  <c r="I8" i="24"/>
  <c r="C61" i="171"/>
  <c r="E62" i="171"/>
  <c r="E62" i="163"/>
  <c r="C61" i="163"/>
  <c r="I4" i="102"/>
  <c r="C61" i="84"/>
  <c r="E62" i="84"/>
  <c r="I7" i="127"/>
  <c r="I6" i="118"/>
  <c r="E63" i="94"/>
  <c r="C62" i="94"/>
  <c r="C64" i="172"/>
  <c r="E65" i="172"/>
  <c r="I6" i="167"/>
  <c r="C62" i="139"/>
  <c r="E63" i="139"/>
  <c r="E64" i="125"/>
  <c r="C63" i="125"/>
  <c r="I6" i="115"/>
  <c r="E65" i="100"/>
  <c r="C64" i="100"/>
  <c r="C57" i="98"/>
  <c r="E58" i="98"/>
  <c r="I5" i="87"/>
  <c r="I7" i="77"/>
  <c r="C62" i="67"/>
  <c r="E63" i="67"/>
  <c r="I5" i="52"/>
  <c r="I6" i="37"/>
  <c r="I4" i="34"/>
  <c r="I5" i="138"/>
  <c r="C62" i="110"/>
  <c r="E63" i="110"/>
  <c r="E63" i="64"/>
  <c r="C62" i="64"/>
  <c r="E63" i="54"/>
  <c r="C62" i="54"/>
  <c r="E65" i="27"/>
  <c r="C64" i="27"/>
  <c r="IJ64" i="2" s="1"/>
  <c r="IJ65" i="2"/>
  <c r="I6" i="18"/>
  <c r="E60" i="146"/>
  <c r="C59" i="146"/>
  <c r="I6" i="139"/>
  <c r="I7" i="122"/>
  <c r="I5" i="104"/>
  <c r="I5" i="86"/>
  <c r="I4" i="65"/>
  <c r="I4" i="45"/>
  <c r="E64" i="36"/>
  <c r="C63" i="36"/>
  <c r="CW64" i="2"/>
  <c r="I5" i="33"/>
  <c r="E63" i="18"/>
  <c r="C62" i="18"/>
  <c r="I7" i="16"/>
  <c r="C63" i="13"/>
  <c r="E64" i="13"/>
  <c r="IU64" i="2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103"/>
  <c r="C62" i="103"/>
  <c r="E63" i="83"/>
  <c r="C62" i="83"/>
  <c r="I8" i="82"/>
  <c r="E63" i="66"/>
  <c r="C62" i="66"/>
  <c r="I5" i="54"/>
  <c r="I4" i="43"/>
  <c r="E64" i="20"/>
  <c r="C63" i="20"/>
  <c r="C62" i="118"/>
  <c r="E63" i="118"/>
  <c r="I9" i="75"/>
  <c r="C64" i="53"/>
  <c r="E65" i="53"/>
  <c r="BE65" i="2"/>
  <c r="E65" i="12"/>
  <c r="C64" i="12"/>
  <c r="X65" i="2"/>
  <c r="M65" i="1"/>
  <c r="C61" i="73"/>
  <c r="E62" i="73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E63" i="129"/>
  <c r="C62" i="129"/>
  <c r="DS63" i="2"/>
  <c r="C62" i="126"/>
  <c r="E63" i="126"/>
  <c r="C61" i="115"/>
  <c r="E62" i="115"/>
  <c r="I7" i="101"/>
  <c r="I4" i="95"/>
  <c r="I7" i="89"/>
  <c r="I8" i="71"/>
  <c r="I5" i="57"/>
  <c r="E61" i="59"/>
  <c r="C60" i="59"/>
  <c r="E62" i="40"/>
  <c r="C61" i="40"/>
  <c r="I8" i="14"/>
  <c r="C63" i="162"/>
  <c r="E64" i="162"/>
  <c r="E63" i="161"/>
  <c r="C62" i="161"/>
  <c r="E62" i="86"/>
  <c r="C61" i="86"/>
  <c r="E62" i="72"/>
  <c r="C61" i="72"/>
  <c r="I8" i="42"/>
  <c r="I6" i="28"/>
  <c r="I7" i="29"/>
  <c r="I9" i="15"/>
  <c r="E62" i="159"/>
  <c r="C61" i="159"/>
  <c r="I5" i="168"/>
  <c r="C64" i="155"/>
  <c r="E65" i="155"/>
  <c r="CL65" i="2"/>
  <c r="E63" i="150"/>
  <c r="C62" i="150"/>
  <c r="C61" i="120"/>
  <c r="E62" i="120"/>
  <c r="I7" i="107"/>
  <c r="E63" i="99"/>
  <c r="C62" i="99"/>
  <c r="I5" i="97"/>
  <c r="I6" i="68"/>
  <c r="I5" i="53"/>
  <c r="E62" i="37"/>
  <c r="C61" i="37"/>
  <c r="C59" i="32"/>
  <c r="E60" i="32"/>
  <c r="EP66" i="2"/>
  <c r="E61" i="160"/>
  <c r="C60" i="160"/>
  <c r="E62" i="141"/>
  <c r="C61" i="141"/>
  <c r="I5" i="131"/>
  <c r="I6" i="113"/>
  <c r="I5" i="106"/>
  <c r="E61" i="102"/>
  <c r="C60" i="102"/>
  <c r="I9" i="74"/>
  <c r="C61" i="61"/>
  <c r="E62" i="61"/>
  <c r="C61" i="39"/>
  <c r="E62" i="39"/>
  <c r="C114" i="24"/>
  <c r="E115" i="24"/>
  <c r="E65" i="7"/>
  <c r="C64" i="7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62"/>
  <c r="C61" i="62"/>
  <c r="E62" i="47"/>
  <c r="C61" i="47"/>
  <c r="E103" i="24"/>
  <c r="C102" i="24"/>
  <c r="I9" i="12"/>
  <c r="I5" i="144"/>
  <c r="E62" i="173"/>
  <c r="C61" i="173"/>
  <c r="I6" i="149"/>
  <c r="I9" i="134"/>
  <c r="E64" i="117"/>
  <c r="C63" i="117"/>
  <c r="I4" i="96"/>
  <c r="I4" i="90"/>
  <c r="E62" i="69"/>
  <c r="C61" i="69"/>
  <c r="C63" i="41"/>
  <c r="E64" i="41"/>
  <c r="BE64" i="2"/>
  <c r="I8" i="32"/>
  <c r="E60" i="157"/>
  <c r="C59" i="157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C61" i="51"/>
  <c r="E62" i="51"/>
  <c r="E63" i="19"/>
  <c r="C62" i="19"/>
  <c r="Y66" i="2"/>
  <c r="E62" i="168"/>
  <c r="C61" i="168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E61" i="45"/>
  <c r="C60" i="45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FL64" i="2" l="1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C61" i="118"/>
  <c r="E62" i="118"/>
  <c r="I6" i="104"/>
  <c r="I5" i="174"/>
  <c r="I10" i="46"/>
  <c r="C61" i="112"/>
  <c r="E62" i="112"/>
  <c r="E61" i="173"/>
  <c r="C60" i="173"/>
  <c r="I8" i="150"/>
  <c r="I7" i="30"/>
  <c r="I8" i="107"/>
  <c r="I9" i="14"/>
  <c r="E63" i="38"/>
  <c r="C62" i="38"/>
  <c r="I6" i="56"/>
  <c r="E57" i="98"/>
  <c r="C56" i="98"/>
  <c r="DI64" i="2"/>
  <c r="E62" i="128"/>
  <c r="C61" i="128"/>
  <c r="I5" i="125"/>
  <c r="E64" i="170"/>
  <c r="C63" i="170"/>
  <c r="I6" i="144"/>
  <c r="E61" i="61"/>
  <c r="C60" i="61"/>
  <c r="I8" i="142"/>
  <c r="E63" i="20"/>
  <c r="C62" i="20"/>
  <c r="I8" i="122"/>
  <c r="E64" i="100"/>
  <c r="C63" i="100"/>
  <c r="I5" i="36"/>
  <c r="C62" i="133"/>
  <c r="E63" i="133"/>
  <c r="DH63" i="2"/>
  <c r="C58" i="138"/>
  <c r="E59" i="138"/>
  <c r="I8" i="51"/>
  <c r="E59" i="166"/>
  <c r="C58" i="166"/>
  <c r="I5" i="64"/>
  <c r="I7" i="44"/>
  <c r="I10" i="74"/>
  <c r="C60" i="120"/>
  <c r="E61" i="120"/>
  <c r="E61" i="40"/>
  <c r="C60" i="40"/>
  <c r="E63" i="48"/>
  <c r="C62" i="48"/>
  <c r="E62" i="57"/>
  <c r="C61" i="57"/>
  <c r="I10" i="145"/>
  <c r="I9" i="27"/>
  <c r="C61" i="74"/>
  <c r="E62" i="74"/>
  <c r="C61" i="150"/>
  <c r="E62" i="150"/>
  <c r="C62" i="145"/>
  <c r="E63" i="145"/>
  <c r="I5" i="91"/>
  <c r="I7" i="139"/>
  <c r="I7" i="60"/>
  <c r="I7" i="41"/>
  <c r="C58" i="156"/>
  <c r="E59" i="156"/>
  <c r="I6" i="73"/>
  <c r="I10" i="12"/>
  <c r="E62" i="65"/>
  <c r="C61" i="65"/>
  <c r="E60" i="102"/>
  <c r="C59" i="102"/>
  <c r="C59" i="59"/>
  <c r="E60" i="59"/>
  <c r="I8" i="62"/>
  <c r="I6" i="155"/>
  <c r="I5" i="43"/>
  <c r="I5" i="110"/>
  <c r="C58" i="146"/>
  <c r="E59" i="146"/>
  <c r="I7" i="115"/>
  <c r="I6" i="5"/>
  <c r="E62" i="11"/>
  <c r="C61" i="11"/>
  <c r="CM65" i="2"/>
  <c r="E63" i="125"/>
  <c r="C62" i="125"/>
  <c r="E57" i="82"/>
  <c r="C56" i="82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0" i="168"/>
  <c r="E61" i="168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C101" i="24"/>
  <c r="E102" i="24"/>
  <c r="I6" i="85"/>
  <c r="E60" i="45"/>
  <c r="C59" i="45"/>
  <c r="I5" i="47"/>
  <c r="I7" i="113"/>
  <c r="I6" i="80"/>
  <c r="IK65" i="2"/>
  <c r="E62" i="139"/>
  <c r="C61" i="139"/>
  <c r="E63" i="97"/>
  <c r="C62" i="97"/>
  <c r="HZ65" i="2"/>
  <c r="E63" i="88"/>
  <c r="C62" i="88"/>
  <c r="E61" i="127"/>
  <c r="C60" i="127"/>
  <c r="E61" i="62"/>
  <c r="C60" i="62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1" i="149"/>
  <c r="C60" i="149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C60" i="159"/>
  <c r="E61" i="159"/>
  <c r="I8" i="89"/>
  <c r="E62" i="54"/>
  <c r="C61" i="54"/>
  <c r="I6" i="20"/>
  <c r="I5" i="11"/>
  <c r="I9" i="32"/>
  <c r="C62" i="119"/>
  <c r="E63" i="119"/>
  <c r="I6" i="153"/>
  <c r="I6" i="4"/>
  <c r="E63" i="13"/>
  <c r="C62" i="13"/>
  <c r="E62" i="64"/>
  <c r="C61" i="64"/>
  <c r="C61" i="94"/>
  <c r="E62" i="94"/>
  <c r="I8" i="136"/>
  <c r="FW65" i="2"/>
  <c r="E64" i="93"/>
  <c r="C63" i="93"/>
  <c r="I8" i="48"/>
  <c r="I7" i="25"/>
  <c r="E62" i="148"/>
  <c r="C61" i="148"/>
  <c r="C61" i="19"/>
  <c r="E62" i="19"/>
  <c r="E59" i="157"/>
  <c r="C58" i="157"/>
  <c r="C59" i="131"/>
  <c r="E60" i="131"/>
  <c r="I6" i="131"/>
  <c r="I5" i="8"/>
  <c r="IV64" i="2"/>
  <c r="I6" i="21"/>
  <c r="E61" i="51"/>
  <c r="C60" i="51"/>
  <c r="E63" i="114"/>
  <c r="C62" i="114"/>
  <c r="FL65" i="2"/>
  <c r="E62" i="103"/>
  <c r="C61" i="103"/>
  <c r="E64" i="42"/>
  <c r="C63" i="42"/>
  <c r="FV64" i="2"/>
  <c r="E63" i="147"/>
  <c r="C62" i="147"/>
  <c r="E64" i="91"/>
  <c r="C63" i="91"/>
  <c r="E60" i="160"/>
  <c r="C59" i="160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E60" i="105"/>
  <c r="C59" i="105"/>
  <c r="FA64" i="2"/>
  <c r="E61" i="115"/>
  <c r="C60" i="115"/>
  <c r="I5" i="140"/>
  <c r="I5" i="109"/>
  <c r="C61" i="18"/>
  <c r="E62" i="18"/>
  <c r="I6" i="138"/>
  <c r="I8" i="127"/>
  <c r="I6" i="151"/>
  <c r="I6" i="49"/>
  <c r="I24" i="150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60" i="84"/>
  <c r="E61" i="84"/>
  <c r="E60" i="165"/>
  <c r="C59" i="165"/>
  <c r="C59" i="111"/>
  <c r="E60" i="111"/>
  <c r="E62" i="25"/>
  <c r="C61" i="25"/>
  <c r="C63" i="50"/>
  <c r="E64" i="50"/>
  <c r="AT64" i="2"/>
  <c r="I5" i="55"/>
  <c r="I7" i="37"/>
  <c r="I6" i="121"/>
  <c r="I8" i="172"/>
  <c r="C61" i="135"/>
  <c r="E62" i="135"/>
  <c r="DT63" i="2"/>
  <c r="I6" i="116"/>
  <c r="E63" i="153"/>
  <c r="C62" i="153"/>
  <c r="C60" i="72"/>
  <c r="E61" i="72"/>
  <c r="C62" i="151"/>
  <c r="E63" i="151"/>
  <c r="Y65" i="2"/>
  <c r="N65" i="2"/>
  <c r="C62" i="36"/>
  <c r="CW62" i="2" s="1"/>
  <c r="E63" i="36"/>
  <c r="I5" i="102"/>
  <c r="I8" i="132"/>
  <c r="C59" i="43"/>
  <c r="E60" i="43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C58" i="32"/>
  <c r="E59" i="3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1" i="85"/>
  <c r="C60" i="85"/>
  <c r="E63" i="122"/>
  <c r="C62" i="122"/>
  <c r="C58" i="30"/>
  <c r="E59" i="30"/>
  <c r="E63" i="79"/>
  <c r="C62" i="79"/>
  <c r="I5" i="147"/>
  <c r="C60" i="123"/>
  <c r="E61" i="123"/>
  <c r="E64" i="143"/>
  <c r="C63" i="143"/>
  <c r="E62" i="129"/>
  <c r="C61" i="129"/>
  <c r="DS62" i="2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E59" i="87"/>
  <c r="C58" i="87"/>
  <c r="I6" i="111"/>
  <c r="C61" i="60"/>
  <c r="E62" i="60"/>
  <c r="HO65" i="2"/>
  <c r="EE65" i="2"/>
  <c r="C60" i="73"/>
  <c r="E61" i="73"/>
  <c r="I5" i="90"/>
  <c r="E61" i="37"/>
  <c r="C60" i="37"/>
  <c r="I7" i="66"/>
  <c r="N65" i="1"/>
  <c r="I8" i="156"/>
  <c r="I8" i="128"/>
  <c r="I6" i="123"/>
  <c r="I6" i="154"/>
  <c r="I5" i="100"/>
  <c r="I10" i="134"/>
  <c r="C61" i="161"/>
  <c r="E62" i="161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C113" i="24"/>
  <c r="E114" i="24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C61" i="130"/>
  <c r="E62" i="130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E61" i="106"/>
  <c r="C60" i="106"/>
  <c r="I7" i="157"/>
  <c r="E64" i="90"/>
  <c r="C63" i="90"/>
  <c r="CL63" i="2" s="1"/>
  <c r="E63" i="21"/>
  <c r="C62" i="21"/>
  <c r="CW63" i="2"/>
  <c r="AI64" i="1"/>
  <c r="AJ63" i="2" l="1"/>
  <c r="HO63" i="2"/>
  <c r="N63" i="2"/>
  <c r="CX62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C59" i="73"/>
  <c r="E60" i="73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DH62" i="2"/>
  <c r="I9" i="9"/>
  <c r="I7" i="86"/>
  <c r="I8" i="10"/>
  <c r="C60" i="135"/>
  <c r="E61" i="135"/>
  <c r="C58" i="160"/>
  <c r="E59" i="160"/>
  <c r="I9" i="89"/>
  <c r="E61" i="68"/>
  <c r="C60" i="68"/>
  <c r="I9" i="98"/>
  <c r="C57" i="146"/>
  <c r="E58" i="146"/>
  <c r="E61" i="150"/>
  <c r="C60" i="150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I25" i="150"/>
  <c r="E63" i="91"/>
  <c r="C62" i="91"/>
  <c r="I8" i="25"/>
  <c r="E62" i="31"/>
  <c r="C61" i="31"/>
  <c r="E62" i="97"/>
  <c r="C61" i="97"/>
  <c r="E61" i="74"/>
  <c r="C60" i="74"/>
  <c r="E63" i="100"/>
  <c r="C62" i="100"/>
  <c r="I8" i="30"/>
  <c r="I10" i="22"/>
  <c r="I6" i="120"/>
  <c r="I7" i="53"/>
  <c r="I7" i="33"/>
  <c r="I7" i="49"/>
  <c r="I9" i="164"/>
  <c r="C59" i="159"/>
  <c r="E60" i="159"/>
  <c r="E62" i="33"/>
  <c r="C61" i="33"/>
  <c r="I7" i="57"/>
  <c r="E62" i="101"/>
  <c r="C61" i="101"/>
  <c r="I9" i="150"/>
  <c r="E62" i="162"/>
  <c r="C61" i="162"/>
  <c r="C112" i="24"/>
  <c r="E113" i="24"/>
  <c r="C60" i="17"/>
  <c r="E61" i="17"/>
  <c r="E62" i="15"/>
  <c r="C61" i="15"/>
  <c r="E60" i="85"/>
  <c r="C59" i="85"/>
  <c r="I7" i="67"/>
  <c r="I7" i="121"/>
  <c r="E62" i="147"/>
  <c r="C61" i="147"/>
  <c r="I9" i="48"/>
  <c r="I8" i="23"/>
  <c r="C60" i="139"/>
  <c r="E61" i="139"/>
  <c r="E63" i="155"/>
  <c r="C62" i="155"/>
  <c r="I6" i="43"/>
  <c r="I10" i="27"/>
  <c r="I9" i="122"/>
  <c r="E60" i="69"/>
  <c r="C59" i="69"/>
  <c r="E61" i="60"/>
  <c r="C60" i="60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C59" i="173"/>
  <c r="E60" i="173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7" i="80"/>
  <c r="I9" i="13"/>
  <c r="AU64" i="2"/>
  <c r="E61" i="126"/>
  <c r="C60" i="126"/>
  <c r="E61" i="103"/>
  <c r="C60" i="103"/>
  <c r="I9" i="136"/>
  <c r="E62" i="89"/>
  <c r="C61" i="89"/>
  <c r="E63" i="28"/>
  <c r="C62" i="28"/>
  <c r="AI62" i="2" s="1"/>
  <c r="I8" i="83"/>
  <c r="I8" i="93"/>
  <c r="E62" i="48"/>
  <c r="C61" i="48"/>
  <c r="I9" i="142"/>
  <c r="I11" i="134"/>
  <c r="AU64" i="1"/>
  <c r="I6" i="45"/>
  <c r="I8" i="92"/>
  <c r="E59" i="43"/>
  <c r="C58" i="43"/>
  <c r="I7" i="138"/>
  <c r="I6" i="130"/>
  <c r="I8" i="113"/>
  <c r="I10" i="79"/>
  <c r="E59" i="59"/>
  <c r="C58" i="59"/>
  <c r="E61" i="112"/>
  <c r="C60" i="112"/>
  <c r="CW61" i="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C58" i="102"/>
  <c r="E59" i="102"/>
  <c r="E60" i="61"/>
  <c r="C59" i="61"/>
  <c r="I7" i="170"/>
  <c r="C62" i="152"/>
  <c r="E63" i="152"/>
  <c r="E61" i="25"/>
  <c r="C60" i="25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C57" i="32"/>
  <c r="E58" i="32"/>
  <c r="I6" i="102"/>
  <c r="E62" i="63"/>
  <c r="C61" i="63"/>
  <c r="E61" i="18"/>
  <c r="C60" i="18"/>
  <c r="E62" i="114"/>
  <c r="C61" i="114"/>
  <c r="C60" i="64"/>
  <c r="E61" i="64"/>
  <c r="I10" i="82"/>
  <c r="I6" i="47"/>
  <c r="E61" i="75"/>
  <c r="C60" i="75"/>
  <c r="E62" i="154"/>
  <c r="C61" i="154"/>
  <c r="IJ62" i="2"/>
  <c r="C60" i="65"/>
  <c r="E61" i="65"/>
  <c r="E61" i="144"/>
  <c r="C60" i="144"/>
  <c r="EE64" i="2"/>
  <c r="C60" i="83"/>
  <c r="E61" i="83"/>
  <c r="C62" i="136"/>
  <c r="E63" i="136"/>
  <c r="E59" i="45"/>
  <c r="C58" i="45"/>
  <c r="I7" i="144"/>
  <c r="I6" i="174"/>
  <c r="I10" i="59"/>
  <c r="C60" i="130"/>
  <c r="E61" i="130"/>
  <c r="I7" i="154"/>
  <c r="I8" i="165"/>
  <c r="C61" i="134"/>
  <c r="E62" i="134"/>
  <c r="EZ62" i="2"/>
  <c r="C58" i="111"/>
  <c r="E59" i="111"/>
  <c r="C59" i="51"/>
  <c r="E60" i="51"/>
  <c r="E62" i="13"/>
  <c r="C61" i="13"/>
  <c r="I7" i="114"/>
  <c r="E60" i="168"/>
  <c r="C59" i="168"/>
  <c r="E60" i="120"/>
  <c r="C59" i="120"/>
  <c r="C62" i="170"/>
  <c r="E63" i="170"/>
  <c r="I7" i="104"/>
  <c r="I8" i="149"/>
  <c r="E62" i="140"/>
  <c r="C61" i="140"/>
  <c r="E62" i="36"/>
  <c r="C61" i="36"/>
  <c r="C58" i="165"/>
  <c r="E59" i="165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E58" i="87"/>
  <c r="C57" i="87"/>
  <c r="I7" i="103"/>
  <c r="I7" i="70"/>
  <c r="E60" i="115"/>
  <c r="C59" i="115"/>
  <c r="I6" i="141"/>
  <c r="I7" i="21"/>
  <c r="I7" i="73"/>
  <c r="I8" i="44"/>
  <c r="I6" i="125"/>
  <c r="C60" i="118"/>
  <c r="E61" i="118"/>
  <c r="I8" i="72"/>
  <c r="CX63" i="2"/>
  <c r="C60" i="4"/>
  <c r="E61" i="4"/>
  <c r="E60" i="84"/>
  <c r="C59" i="84"/>
  <c r="I6" i="58"/>
  <c r="I9" i="16"/>
  <c r="I6" i="105"/>
  <c r="E62" i="95"/>
  <c r="C61" i="95"/>
  <c r="E101" i="24"/>
  <c r="C100" i="24"/>
  <c r="C55" i="82"/>
  <c r="E56" i="82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E58" i="156"/>
  <c r="C57" i="156"/>
  <c r="I7" i="137"/>
  <c r="AJ64" i="1"/>
  <c r="I10" i="24"/>
  <c r="I7" i="39"/>
  <c r="I8" i="28"/>
  <c r="DT62" i="2"/>
  <c r="BE63" i="2"/>
  <c r="E63" i="55"/>
  <c r="C62" i="55"/>
  <c r="I10" i="71"/>
  <c r="I6" i="69"/>
  <c r="E62" i="125"/>
  <c r="C61" i="125"/>
  <c r="I8" i="41"/>
  <c r="I6" i="64"/>
  <c r="E63" i="158"/>
  <c r="C62" i="158"/>
  <c r="E59" i="105"/>
  <c r="C58" i="105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56" i="98"/>
  <c r="C55" i="98"/>
  <c r="E63" i="143"/>
  <c r="C62" i="143"/>
  <c r="I9" i="152"/>
  <c r="E60" i="72"/>
  <c r="C59" i="72"/>
  <c r="I6" i="171"/>
  <c r="I9" i="78"/>
  <c r="E61" i="167"/>
  <c r="C60" i="167"/>
  <c r="I9" i="26"/>
  <c r="I7" i="131"/>
  <c r="I10" i="32"/>
  <c r="C60" i="104"/>
  <c r="E61" i="104"/>
  <c r="C60" i="113"/>
  <c r="E61" i="113"/>
  <c r="E60" i="62"/>
  <c r="C59" i="62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C59" i="106"/>
  <c r="E60" i="106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C60" i="161"/>
  <c r="E61" i="161"/>
  <c r="I8" i="68"/>
  <c r="C60" i="67"/>
  <c r="E61" i="67"/>
  <c r="I6" i="148"/>
  <c r="FA63" i="2"/>
  <c r="C62" i="90"/>
  <c r="CL62" i="2" s="1"/>
  <c r="E63" i="90"/>
  <c r="E61" i="129"/>
  <c r="C60" i="129"/>
  <c r="DS61" i="2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58" i="157"/>
  <c r="C57" i="157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E60" i="149"/>
  <c r="C59" i="149"/>
  <c r="FK63" i="2"/>
  <c r="C62" i="14"/>
  <c r="E63" i="14"/>
  <c r="GR63" i="2"/>
  <c r="I7" i="5"/>
  <c r="I6" i="91"/>
  <c r="C57" i="138"/>
  <c r="E58" i="138"/>
  <c r="C61" i="23"/>
  <c r="E62" i="23"/>
  <c r="AJ62" i="2" l="1"/>
  <c r="CM62" i="2"/>
  <c r="IV62" i="2"/>
  <c r="C59" i="103"/>
  <c r="E60" i="103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E60" i="118"/>
  <c r="C59" i="118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C59" i="161"/>
  <c r="E60" i="161"/>
  <c r="E59" i="123"/>
  <c r="C58" i="123"/>
  <c r="C61" i="58"/>
  <c r="E62" i="58"/>
  <c r="AU63" i="1"/>
  <c r="I8" i="108"/>
  <c r="E61" i="63"/>
  <c r="C60" i="63"/>
  <c r="C61" i="152"/>
  <c r="E62" i="152"/>
  <c r="I9" i="113"/>
  <c r="E60" i="126"/>
  <c r="C59" i="126"/>
  <c r="E58" i="160"/>
  <c r="C57" i="160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C58" i="173"/>
  <c r="E59" i="173"/>
  <c r="I12" i="145"/>
  <c r="I8" i="121"/>
  <c r="I8" i="53"/>
  <c r="I10" i="29"/>
  <c r="I12" i="15"/>
  <c r="I9" i="124"/>
  <c r="I9" i="158"/>
  <c r="I7" i="91"/>
  <c r="E61" i="38"/>
  <c r="C60" i="38"/>
  <c r="E61" i="151"/>
  <c r="C60" i="151"/>
  <c r="E60" i="129"/>
  <c r="C59" i="129"/>
  <c r="DS60" i="2"/>
  <c r="E62" i="90"/>
  <c r="C61" i="90"/>
  <c r="I7" i="163"/>
  <c r="I7" i="64"/>
  <c r="C59" i="167"/>
  <c r="E60" i="167"/>
  <c r="I10" i="156"/>
  <c r="I9" i="149"/>
  <c r="E58" i="45"/>
  <c r="C57" i="45"/>
  <c r="I7" i="102"/>
  <c r="I8" i="170"/>
  <c r="I7" i="130"/>
  <c r="E60" i="135"/>
  <c r="C59" i="135"/>
  <c r="E60" i="110"/>
  <c r="C59" i="110"/>
  <c r="I7" i="38"/>
  <c r="E60" i="67"/>
  <c r="C59" i="67"/>
  <c r="E59" i="106"/>
  <c r="C58" i="106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E59" i="61"/>
  <c r="C58" i="61"/>
  <c r="I8" i="138"/>
  <c r="C58" i="85"/>
  <c r="E59" i="85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E57" i="32"/>
  <c r="C56" i="32"/>
  <c r="E58" i="43"/>
  <c r="C57" i="43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E59" i="120"/>
  <c r="C58" i="120"/>
  <c r="C57" i="102"/>
  <c r="E58" i="102"/>
  <c r="I8" i="80"/>
  <c r="I8" i="161"/>
  <c r="I9" i="30"/>
  <c r="I10" i="9"/>
  <c r="C60" i="70"/>
  <c r="E61" i="70"/>
  <c r="E59" i="72"/>
  <c r="C58" i="72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59" i="168"/>
  <c r="C58" i="168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E60" i="74"/>
  <c r="C59" i="74"/>
  <c r="I8" i="97"/>
  <c r="C60" i="133"/>
  <c r="E61" i="133"/>
  <c r="DH61" i="2"/>
  <c r="E59" i="124"/>
  <c r="C58" i="124"/>
  <c r="E100" i="24"/>
  <c r="C99" i="24"/>
  <c r="I8" i="114"/>
  <c r="E60" i="144"/>
  <c r="C59" i="144"/>
  <c r="I8" i="52"/>
  <c r="I7" i="143"/>
  <c r="I8" i="3"/>
  <c r="E112" i="24"/>
  <c r="C111" i="24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59" i="60"/>
  <c r="E60" i="60"/>
  <c r="C60" i="162"/>
  <c r="E61" i="162"/>
  <c r="EO62" i="2"/>
  <c r="E60" i="99"/>
  <c r="C59" i="99"/>
  <c r="C59" i="66"/>
  <c r="E60" i="66"/>
  <c r="I10" i="152"/>
  <c r="E55" i="82"/>
  <c r="C54" i="8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4" i="98"/>
  <c r="E55" i="98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DT61" i="2"/>
  <c r="E57" i="87"/>
  <c r="C56" i="87"/>
  <c r="E59" i="51"/>
  <c r="C58" i="51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C56" i="156"/>
  <c r="E57" i="156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IU61" i="2"/>
  <c r="E62" i="6"/>
  <c r="C61" i="6"/>
  <c r="CA62" i="1"/>
  <c r="C57" i="105"/>
  <c r="E58" i="105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C59" i="150"/>
  <c r="E60" i="150"/>
  <c r="E61" i="132"/>
  <c r="C60" i="132"/>
  <c r="E59" i="84"/>
  <c r="C58" i="84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M61" i="2"/>
  <c r="I8" i="84"/>
  <c r="N63" i="1"/>
  <c r="C61" i="158"/>
  <c r="E62" i="158"/>
  <c r="I8" i="20"/>
  <c r="E59" i="62"/>
  <c r="C58" i="62"/>
  <c r="BE62" i="2"/>
  <c r="I7" i="95"/>
  <c r="IK63" i="2"/>
  <c r="C61" i="155"/>
  <c r="E62" i="155"/>
  <c r="I26" i="150"/>
  <c r="E62" i="46"/>
  <c r="C61" i="46"/>
  <c r="Y63" i="2"/>
  <c r="GS63" i="2"/>
  <c r="E62" i="28"/>
  <c r="C61" i="28"/>
  <c r="E61" i="76"/>
  <c r="C60" i="76"/>
  <c r="C56" i="146"/>
  <c r="E57" i="146"/>
  <c r="E62" i="107"/>
  <c r="C61" i="107"/>
  <c r="I7" i="8"/>
  <c r="C58" i="149"/>
  <c r="E59" i="149"/>
  <c r="I7" i="140"/>
  <c r="C60" i="96"/>
  <c r="E61" i="96"/>
  <c r="CX61" i="2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64"/>
  <c r="C59" i="64"/>
  <c r="E60" i="94"/>
  <c r="C59" i="94"/>
  <c r="C59" i="112"/>
  <c r="E60" i="112"/>
  <c r="CW60" i="2"/>
  <c r="HN62" i="2"/>
  <c r="I11" i="94"/>
  <c r="C59" i="139"/>
  <c r="E60" i="139"/>
  <c r="E59" i="159"/>
  <c r="C58" i="159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E58" i="165"/>
  <c r="C57" i="165"/>
  <c r="E60" i="130"/>
  <c r="C59" i="130"/>
  <c r="C57" i="59"/>
  <c r="E58" i="59"/>
  <c r="I8" i="111"/>
  <c r="I10" i="164"/>
  <c r="I7" i="36"/>
  <c r="C58" i="73"/>
  <c r="E59" i="73"/>
  <c r="I11" i="42"/>
  <c r="E57" i="138"/>
  <c r="C56" i="138"/>
  <c r="Y63" i="1"/>
  <c r="C56" i="157"/>
  <c r="E57" i="157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BE61" i="2"/>
  <c r="I11" i="32"/>
  <c r="I7" i="69"/>
  <c r="I9" i="72"/>
  <c r="I11" i="59"/>
  <c r="E60" i="18"/>
  <c r="C59" i="18"/>
  <c r="C59" i="25"/>
  <c r="E60" i="25"/>
  <c r="I11" i="79"/>
  <c r="C60" i="142"/>
  <c r="E61" i="142"/>
  <c r="I10" i="48"/>
  <c r="I8" i="49"/>
  <c r="I10" i="89"/>
  <c r="I11" i="14"/>
  <c r="IK61" i="2" l="1"/>
  <c r="HZ61" i="2"/>
  <c r="CX60" i="2"/>
  <c r="I9" i="76"/>
  <c r="I27" i="150"/>
  <c r="I10" i="159"/>
  <c r="I13" i="46"/>
  <c r="CB61" i="2"/>
  <c r="EP61" i="2"/>
  <c r="I10" i="66"/>
  <c r="I11" i="9"/>
  <c r="C57" i="171"/>
  <c r="E58" i="171"/>
  <c r="I11" i="128"/>
  <c r="I10" i="139"/>
  <c r="C58" i="118"/>
  <c r="E59" i="118"/>
  <c r="C59" i="97"/>
  <c r="E60" i="97"/>
  <c r="C60" i="143"/>
  <c r="E61" i="143"/>
  <c r="DI61" i="2"/>
  <c r="C60" i="170"/>
  <c r="E61" i="170"/>
  <c r="AJ62" i="1"/>
  <c r="DT60" i="2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C58" i="129"/>
  <c r="E59" i="129"/>
  <c r="DS59" i="2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DH60" i="2"/>
  <c r="E59" i="137"/>
  <c r="C58" i="137"/>
  <c r="I11" i="78"/>
  <c r="C58" i="81"/>
  <c r="E59" i="81"/>
  <c r="E58" i="106"/>
  <c r="C57" i="106"/>
  <c r="I11" i="127"/>
  <c r="C59" i="145"/>
  <c r="E60" i="145"/>
  <c r="I9" i="161"/>
  <c r="C59" i="151"/>
  <c r="E60" i="151"/>
  <c r="BF61" i="2"/>
  <c r="E59" i="94"/>
  <c r="C58" i="94"/>
  <c r="C58" i="64"/>
  <c r="E59" i="6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8" i="74"/>
  <c r="E59" i="74"/>
  <c r="C57" i="127"/>
  <c r="E58" i="127"/>
  <c r="E60" i="38"/>
  <c r="C59" i="38"/>
  <c r="E59" i="161"/>
  <c r="C58" i="161"/>
  <c r="I10" i="165"/>
  <c r="I8" i="95"/>
  <c r="E56" i="138"/>
  <c r="C55" i="138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C57" i="62"/>
  <c r="E58" i="62"/>
  <c r="E60" i="132"/>
  <c r="C59" i="132"/>
  <c r="I11" i="142"/>
  <c r="E60" i="117"/>
  <c r="C59" i="117"/>
  <c r="I8" i="112"/>
  <c r="E57" i="102"/>
  <c r="C56" i="102"/>
  <c r="I8" i="120"/>
  <c r="I8" i="38"/>
  <c r="C57" i="163"/>
  <c r="E58" i="163"/>
  <c r="I8" i="166"/>
  <c r="E58" i="84"/>
  <c r="C57" i="84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7" i="120"/>
  <c r="E58" i="12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8" i="73"/>
  <c r="C57" i="73"/>
  <c r="E59" i="4"/>
  <c r="C58" i="4"/>
  <c r="C60" i="91"/>
  <c r="E61" i="91"/>
  <c r="E58" i="26"/>
  <c r="C57" i="26"/>
  <c r="E58" i="51"/>
  <c r="C57" i="51"/>
  <c r="E60" i="13"/>
  <c r="C59" i="13"/>
  <c r="I8" i="11"/>
  <c r="I9" i="21"/>
  <c r="E61" i="172"/>
  <c r="C60" i="172"/>
  <c r="I10" i="118"/>
  <c r="C53" i="82"/>
  <c r="E54" i="82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HY60" i="2"/>
  <c r="I9" i="20"/>
  <c r="I8" i="8"/>
  <c r="N62" i="2"/>
  <c r="C55" i="87"/>
  <c r="E56" i="87"/>
  <c r="E58" i="69"/>
  <c r="C57" i="69"/>
  <c r="I11" i="117"/>
  <c r="I10" i="92"/>
  <c r="I8" i="40"/>
  <c r="I10" i="63"/>
  <c r="E61" i="174"/>
  <c r="C60" i="174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CW59" i="2" s="1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E111" i="24"/>
  <c r="C110" i="24"/>
  <c r="FK61" i="2"/>
  <c r="I8" i="102"/>
  <c r="C56" i="160"/>
  <c r="E57" i="160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E56" i="146"/>
  <c r="C55" i="146"/>
  <c r="C59" i="108"/>
  <c r="E60" i="108"/>
  <c r="E59" i="17"/>
  <c r="C58" i="17"/>
  <c r="I10" i="44"/>
  <c r="C56" i="45"/>
  <c r="E57" i="45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6" i="59"/>
  <c r="E57" i="5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C58" i="130"/>
  <c r="E59" i="130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E58" i="149"/>
  <c r="C57" i="149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59" i="25"/>
  <c r="C58" i="25"/>
  <c r="E57" i="165"/>
  <c r="C56" i="165"/>
  <c r="E60" i="95"/>
  <c r="C59" i="95"/>
  <c r="C60" i="28"/>
  <c r="E61" i="28"/>
  <c r="I13" i="12"/>
  <c r="E60" i="162"/>
  <c r="C59" i="162"/>
  <c r="EE62" i="2"/>
  <c r="C57" i="86"/>
  <c r="E58" i="86"/>
  <c r="E58" i="85"/>
  <c r="C57" i="85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C58" i="103"/>
  <c r="E59" i="103"/>
  <c r="E57" i="105"/>
  <c r="C56" i="105"/>
  <c r="E58" i="159"/>
  <c r="C57" i="159"/>
  <c r="I9" i="57"/>
  <c r="E59" i="60"/>
  <c r="C58" i="60"/>
  <c r="E59" i="144"/>
  <c r="C58" i="144"/>
  <c r="E56" i="30"/>
  <c r="C55" i="30"/>
  <c r="C56" i="43"/>
  <c r="E57" i="43"/>
  <c r="CL61" i="2"/>
  <c r="FA61" i="2"/>
  <c r="E59" i="18"/>
  <c r="C58" i="18"/>
  <c r="FW62" i="2"/>
  <c r="I8" i="146"/>
  <c r="I9" i="169"/>
  <c r="I8" i="58"/>
  <c r="I12" i="27"/>
  <c r="I10" i="60"/>
  <c r="E59" i="57"/>
  <c r="C58" i="57"/>
  <c r="E54" i="98"/>
  <c r="C53" i="98"/>
  <c r="X61" i="1"/>
  <c r="C57" i="168"/>
  <c r="E58" i="168"/>
  <c r="I10" i="28"/>
  <c r="I8" i="100"/>
  <c r="E59" i="167"/>
  <c r="C58" i="167"/>
  <c r="C57" i="173"/>
  <c r="E58" i="173"/>
  <c r="C59" i="63"/>
  <c r="E60" i="63"/>
  <c r="CL60" i="2"/>
  <c r="I8" i="174"/>
  <c r="I9" i="85"/>
  <c r="E61" i="56"/>
  <c r="C60" i="56"/>
  <c r="E58" i="72"/>
  <c r="C57" i="72"/>
  <c r="E60" i="15"/>
  <c r="C59" i="15"/>
  <c r="E56" i="32"/>
  <c r="C55" i="32"/>
  <c r="E58" i="61"/>
  <c r="C57" i="61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56" i="157"/>
  <c r="C55" i="157"/>
  <c r="E59" i="150"/>
  <c r="C58" i="150"/>
  <c r="E60" i="10"/>
  <c r="C59" i="10"/>
  <c r="I12" i="59"/>
  <c r="C59" i="125"/>
  <c r="E60" i="125"/>
  <c r="I13" i="75"/>
  <c r="E59" i="104"/>
  <c r="C58" i="104"/>
  <c r="E59" i="139"/>
  <c r="C58" i="139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C98" i="24"/>
  <c r="E99" i="24"/>
  <c r="I10" i="167"/>
  <c r="I8" i="163"/>
  <c r="I8" i="125"/>
  <c r="I9" i="108"/>
  <c r="E60" i="140"/>
  <c r="C59" i="140"/>
  <c r="I10" i="68"/>
  <c r="E56" i="156"/>
  <c r="C55" i="156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CX59" i="2" l="1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E57" i="61"/>
  <c r="C56" i="61"/>
  <c r="E56" i="105"/>
  <c r="C55" i="105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E55" i="146"/>
  <c r="C54" i="146"/>
  <c r="FL61" i="2"/>
  <c r="I12" i="142"/>
  <c r="C58" i="119"/>
  <c r="E59" i="119"/>
  <c r="C59" i="155"/>
  <c r="E60" i="155"/>
  <c r="E58" i="118"/>
  <c r="C57" i="118"/>
  <c r="E60" i="46"/>
  <c r="C59" i="46"/>
  <c r="AI60" i="1"/>
  <c r="I10" i="4"/>
  <c r="C59" i="136"/>
  <c r="E60" i="136"/>
  <c r="E98" i="24"/>
  <c r="C97" i="24"/>
  <c r="E59" i="10"/>
  <c r="C58" i="10"/>
  <c r="E55" i="32"/>
  <c r="C54" i="32"/>
  <c r="I11" i="60"/>
  <c r="I14" i="74"/>
  <c r="E110" i="24"/>
  <c r="C109" i="24"/>
  <c r="I9" i="81"/>
  <c r="I11" i="63"/>
  <c r="C57" i="5"/>
  <c r="E58" i="5"/>
  <c r="E59" i="35"/>
  <c r="C58" i="35"/>
  <c r="C59" i="92"/>
  <c r="E60" i="92"/>
  <c r="C58" i="132"/>
  <c r="E59" i="132"/>
  <c r="E58" i="161"/>
  <c r="C57" i="161"/>
  <c r="I14" i="133"/>
  <c r="I11" i="139"/>
  <c r="I13" i="24"/>
  <c r="C58" i="70"/>
  <c r="E59" i="70"/>
  <c r="E58" i="150"/>
  <c r="C57" i="150"/>
  <c r="E58" i="103"/>
  <c r="C57" i="103"/>
  <c r="E57" i="85"/>
  <c r="C56" i="85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E60" i="152"/>
  <c r="I11" i="83"/>
  <c r="E55" i="157"/>
  <c r="C54" i="157"/>
  <c r="I9" i="143"/>
  <c r="I9" i="65"/>
  <c r="C59" i="107"/>
  <c r="E60" i="107"/>
  <c r="I10" i="126"/>
  <c r="E57" i="62"/>
  <c r="C56" i="62"/>
  <c r="I10" i="131"/>
  <c r="I12" i="128"/>
  <c r="C56" i="72"/>
  <c r="E57" i="72"/>
  <c r="I9" i="58"/>
  <c r="I10" i="138"/>
  <c r="E57" i="86"/>
  <c r="C56" i="86"/>
  <c r="I10" i="103"/>
  <c r="I12" i="77"/>
  <c r="I12" i="62"/>
  <c r="I11" i="92"/>
  <c r="E53" i="82"/>
  <c r="C52" i="82"/>
  <c r="I9" i="55"/>
  <c r="I10" i="87"/>
  <c r="I10" i="154"/>
  <c r="E58" i="64"/>
  <c r="C57" i="6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C55" i="59"/>
  <c r="E56" i="59"/>
  <c r="FK60" i="2"/>
  <c r="E60" i="6"/>
  <c r="C59" i="6"/>
  <c r="CA60" i="1"/>
  <c r="IU60" i="2"/>
  <c r="E57" i="69"/>
  <c r="C56" i="69"/>
  <c r="E60" i="172"/>
  <c r="C59" i="172"/>
  <c r="HN60" i="2"/>
  <c r="E58" i="74"/>
  <c r="C57" i="74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CW58" i="2" s="1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HN59" i="2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E55" i="87"/>
  <c r="C54" i="87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M59" i="2"/>
  <c r="BQ61" i="2"/>
  <c r="I9" i="11"/>
  <c r="I10" i="151"/>
  <c r="E58" i="129"/>
  <c r="C57" i="129"/>
  <c r="DS58" i="2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8" i="130"/>
  <c r="C57" i="130"/>
  <c r="E59" i="23"/>
  <c r="C58" i="23"/>
  <c r="C58" i="114"/>
  <c r="E59" i="114"/>
  <c r="E59" i="13"/>
  <c r="C58" i="13"/>
  <c r="IU59" i="2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7" i="84"/>
  <c r="C56" i="84"/>
  <c r="E59" i="145"/>
  <c r="C58" i="145"/>
  <c r="C59" i="58"/>
  <c r="E60" i="58"/>
  <c r="I14" i="46"/>
  <c r="I12" i="136"/>
  <c r="E57" i="51"/>
  <c r="C56" i="51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E58" i="25"/>
  <c r="C57" i="25"/>
  <c r="I11" i="41"/>
  <c r="I13" i="79"/>
  <c r="C56" i="115"/>
  <c r="E57" i="115"/>
  <c r="I9" i="47"/>
  <c r="I10" i="119"/>
  <c r="HZ60" i="2"/>
  <c r="E57" i="26"/>
  <c r="C56" i="26"/>
  <c r="I9" i="91"/>
  <c r="I9" i="166"/>
  <c r="I12" i="26"/>
  <c r="C56" i="106"/>
  <c r="E57" i="10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28" i="150"/>
  <c r="I11" i="72"/>
  <c r="C56" i="173"/>
  <c r="E57" i="173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E58" i="60"/>
  <c r="C57" i="60"/>
  <c r="I12" i="122"/>
  <c r="I10" i="111"/>
  <c r="I10" i="104"/>
  <c r="C57" i="137"/>
  <c r="E58" i="137"/>
  <c r="I10" i="137"/>
  <c r="C57" i="144"/>
  <c r="E58" i="144"/>
  <c r="I11" i="18"/>
  <c r="E57" i="73"/>
  <c r="C56" i="73"/>
  <c r="I10" i="116"/>
  <c r="E59" i="164"/>
  <c r="C58" i="164"/>
  <c r="C55" i="102"/>
  <c r="E56" i="102"/>
  <c r="I9" i="171"/>
  <c r="CA60" i="2"/>
  <c r="E59" i="140"/>
  <c r="C58" i="140"/>
  <c r="E58" i="139"/>
  <c r="C57" i="139"/>
  <c r="I9" i="100"/>
  <c r="I9" i="125"/>
  <c r="I10" i="144"/>
  <c r="E57" i="168"/>
  <c r="C56" i="168"/>
  <c r="I10" i="57"/>
  <c r="I10" i="31"/>
  <c r="I10" i="121"/>
  <c r="I11" i="44"/>
  <c r="C55" i="34"/>
  <c r="E56" i="34"/>
  <c r="I9" i="130"/>
  <c r="I13" i="71"/>
  <c r="E55" i="138"/>
  <c r="C54" i="138"/>
  <c r="DI60" i="2"/>
  <c r="E56" i="43"/>
  <c r="C55" i="43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E57" i="120"/>
  <c r="C56" i="120"/>
  <c r="I10" i="80"/>
  <c r="E59" i="31"/>
  <c r="C58" i="31"/>
  <c r="E60" i="143"/>
  <c r="C59" i="143"/>
  <c r="C54" i="156"/>
  <c r="E55" i="156"/>
  <c r="FW61" i="2"/>
  <c r="C56" i="141"/>
  <c r="E57" i="141"/>
  <c r="C55" i="165"/>
  <c r="E56" i="165"/>
  <c r="I9" i="34"/>
  <c r="E58" i="68"/>
  <c r="C57" i="68"/>
  <c r="E57" i="37"/>
  <c r="C56" i="37"/>
  <c r="AJ61" i="2"/>
  <c r="E56" i="45"/>
  <c r="C55" i="45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E57" i="149"/>
  <c r="C56" i="149"/>
  <c r="I12" i="132"/>
  <c r="I9" i="163"/>
  <c r="E53" i="98"/>
  <c r="C52" i="98"/>
  <c r="I12" i="89"/>
  <c r="I10" i="5"/>
  <c r="E59" i="125"/>
  <c r="C58" i="125"/>
  <c r="I12" i="135"/>
  <c r="E57" i="159"/>
  <c r="C56" i="159"/>
  <c r="C55" i="160"/>
  <c r="E56" i="160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FL59" i="2" l="1"/>
  <c r="IK59" i="2"/>
  <c r="CX58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E57" i="103"/>
  <c r="C56" i="103"/>
  <c r="I11" i="123"/>
  <c r="I12" i="149"/>
  <c r="C55" i="120"/>
  <c r="E56" i="120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C56" i="150"/>
  <c r="E57" i="150"/>
  <c r="E54" i="32"/>
  <c r="C53" i="32"/>
  <c r="I12" i="165"/>
  <c r="I11" i="116"/>
  <c r="I12" i="30"/>
  <c r="I15" i="46"/>
  <c r="C58" i="50"/>
  <c r="E59" i="50"/>
  <c r="AT59" i="2"/>
  <c r="I12" i="23"/>
  <c r="E59" i="6"/>
  <c r="C58" i="6"/>
  <c r="CA59" i="1"/>
  <c r="E58" i="96"/>
  <c r="C57" i="96"/>
  <c r="I12" i="99"/>
  <c r="I12" i="167"/>
  <c r="I11" i="170"/>
  <c r="I29" i="150"/>
  <c r="C58" i="53"/>
  <c r="E59" i="53"/>
  <c r="I10" i="130"/>
  <c r="E58" i="125"/>
  <c r="C57" i="125"/>
  <c r="C57" i="78"/>
  <c r="E58" i="78"/>
  <c r="E58" i="20"/>
  <c r="C57" i="20"/>
  <c r="E56" i="73"/>
  <c r="C55" i="73"/>
  <c r="I11" i="53"/>
  <c r="I10" i="45"/>
  <c r="E57" i="25"/>
  <c r="C56" i="2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E56" i="72"/>
  <c r="C55" i="72"/>
  <c r="C96" i="24"/>
  <c r="E97" i="24"/>
  <c r="I14" i="14"/>
  <c r="E59" i="52"/>
  <c r="C58" i="52"/>
  <c r="BP59" i="2"/>
  <c r="C57" i="89"/>
  <c r="E58" i="89"/>
  <c r="E55" i="59"/>
  <c r="C54" i="59"/>
  <c r="I13" i="128"/>
  <c r="C57" i="38"/>
  <c r="E58" i="38"/>
  <c r="I14" i="24"/>
  <c r="E59" i="42"/>
  <c r="C58" i="42"/>
  <c r="FV59" i="2"/>
  <c r="E55" i="45"/>
  <c r="C54" i="45"/>
  <c r="E56" i="47"/>
  <c r="C55" i="47"/>
  <c r="I11" i="121"/>
  <c r="E56" i="163"/>
  <c r="C55" i="163"/>
  <c r="I13" i="150"/>
  <c r="I13" i="127"/>
  <c r="E56" i="84"/>
  <c r="C55" i="84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2" i="98"/>
  <c r="C51" i="98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E56" i="62"/>
  <c r="C55" i="62"/>
  <c r="I13" i="89"/>
  <c r="I13" i="78"/>
  <c r="IV59" i="2"/>
  <c r="GS60" i="2"/>
  <c r="E56" i="37"/>
  <c r="C55" i="37"/>
  <c r="E57" i="148"/>
  <c r="C56" i="148"/>
  <c r="I10" i="69"/>
  <c r="I10" i="8"/>
  <c r="E58" i="13"/>
  <c r="C57" i="13"/>
  <c r="IU58" i="2"/>
  <c r="C57" i="21"/>
  <c r="E58" i="21"/>
  <c r="AJ60" i="1"/>
  <c r="C57" i="97"/>
  <c r="E58" i="97"/>
  <c r="I14" i="82"/>
  <c r="E58" i="88"/>
  <c r="C57" i="88"/>
  <c r="C56" i="64"/>
  <c r="E57" i="64"/>
  <c r="E57" i="161"/>
  <c r="C56" i="161"/>
  <c r="E59" i="46"/>
  <c r="C58" i="46"/>
  <c r="I13" i="152"/>
  <c r="C57" i="80"/>
  <c r="E58" i="80"/>
  <c r="I11" i="54"/>
  <c r="C56" i="129"/>
  <c r="E57" i="129"/>
  <c r="DS57" i="2"/>
  <c r="I13" i="117"/>
  <c r="I11" i="126"/>
  <c r="I14" i="71"/>
  <c r="C58" i="170"/>
  <c r="E59" i="170"/>
  <c r="E57" i="54"/>
  <c r="C56" i="54"/>
  <c r="E56" i="106"/>
  <c r="C55" i="106"/>
  <c r="HD60" i="2"/>
  <c r="C57" i="114"/>
  <c r="E58" i="114"/>
  <c r="I10" i="146"/>
  <c r="I11" i="154"/>
  <c r="I11" i="73"/>
  <c r="E57" i="118"/>
  <c r="C56" i="118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E56" i="149"/>
  <c r="C55" i="149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E57" i="130"/>
  <c r="C56" i="130"/>
  <c r="I11" i="84"/>
  <c r="I11" i="86"/>
  <c r="C58" i="92"/>
  <c r="E59" i="92"/>
  <c r="E59" i="155"/>
  <c r="C58" i="155"/>
  <c r="C56" i="128"/>
  <c r="E57" i="128"/>
  <c r="E56" i="159"/>
  <c r="C55" i="159"/>
  <c r="I11" i="80"/>
  <c r="I13" i="135"/>
  <c r="C55" i="39"/>
  <c r="E56" i="39"/>
  <c r="I11" i="5"/>
  <c r="C54" i="165"/>
  <c r="E55" i="16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DT58" i="2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C56" i="60"/>
  <c r="E57" i="60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2" i="82"/>
  <c r="C51" i="82"/>
  <c r="C53" i="157"/>
  <c r="E54" i="157"/>
  <c r="E55" i="111"/>
  <c r="C54" i="111"/>
  <c r="I15" i="7"/>
  <c r="I12" i="157"/>
  <c r="C55" i="168"/>
  <c r="E56" i="168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M58" i="2"/>
  <c r="E56" i="124"/>
  <c r="C55" i="124"/>
  <c r="Y60" i="1"/>
  <c r="I11" i="33"/>
  <c r="C54" i="105"/>
  <c r="E55" i="105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4" i="146"/>
  <c r="C53" i="146"/>
  <c r="E59" i="91"/>
  <c r="C58" i="91"/>
  <c r="X58" i="1" s="1"/>
  <c r="C54" i="43"/>
  <c r="E55" i="43"/>
  <c r="E58" i="140"/>
  <c r="C57" i="140"/>
  <c r="C57" i="153"/>
  <c r="E58" i="153"/>
  <c r="I12" i="115"/>
  <c r="I10" i="112"/>
  <c r="C58" i="143"/>
  <c r="E59" i="143"/>
  <c r="C56" i="104"/>
  <c r="E57" i="104"/>
  <c r="C58" i="121"/>
  <c r="AI58" i="2" s="1"/>
  <c r="E59" i="121"/>
  <c r="I10" i="141"/>
  <c r="E57" i="74"/>
  <c r="C56" i="74"/>
  <c r="I13" i="62"/>
  <c r="C58" i="152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C55" i="61"/>
  <c r="E56" i="61"/>
  <c r="E57" i="137"/>
  <c r="C56" i="137"/>
  <c r="E54" i="87"/>
  <c r="C53" i="8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E109" i="24"/>
  <c r="C108" i="24"/>
  <c r="I11" i="106"/>
  <c r="I10" i="109"/>
  <c r="E54" i="156"/>
  <c r="C53" i="156"/>
  <c r="E57" i="4"/>
  <c r="C56" i="4"/>
  <c r="I13" i="101"/>
  <c r="I10" i="147"/>
  <c r="C58" i="172"/>
  <c r="E59" i="172"/>
  <c r="C57" i="15"/>
  <c r="E58" i="15"/>
  <c r="I12" i="113"/>
  <c r="C56" i="139"/>
  <c r="E57" i="139"/>
  <c r="I12" i="28"/>
  <c r="C57" i="31"/>
  <c r="E58" i="31"/>
  <c r="CA58" i="2"/>
  <c r="E55" i="160"/>
  <c r="C54" i="160"/>
  <c r="E57" i="17"/>
  <c r="C56" i="17"/>
  <c r="C53" i="138"/>
  <c r="E54" i="138"/>
  <c r="E56" i="173"/>
  <c r="C55" i="173"/>
  <c r="Y60" i="2"/>
  <c r="C55" i="51"/>
  <c r="E56" i="51"/>
  <c r="E59" i="14"/>
  <c r="C58" i="14"/>
  <c r="E58" i="162"/>
  <c r="C57" i="162"/>
  <c r="I14" i="32"/>
  <c r="I11" i="103"/>
  <c r="E56" i="85"/>
  <c r="C55" i="85"/>
  <c r="I13" i="156"/>
  <c r="I14" i="59"/>
  <c r="E58" i="71"/>
  <c r="C57" i="71"/>
  <c r="E55" i="102"/>
  <c r="C54" i="102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EP58" i="2" l="1"/>
  <c r="Y58" i="1"/>
  <c r="AJ58" i="2"/>
  <c r="C56" i="142"/>
  <c r="E57" i="142"/>
  <c r="E57" i="140"/>
  <c r="C56" i="140"/>
  <c r="I11" i="81"/>
  <c r="E57" i="169"/>
  <c r="C56" i="169"/>
  <c r="HY57" i="2"/>
  <c r="DT57" i="2"/>
  <c r="I12" i="31"/>
  <c r="I12" i="131"/>
  <c r="I12" i="162"/>
  <c r="I11" i="96"/>
  <c r="I13" i="158"/>
  <c r="CM59" i="2"/>
  <c r="I12" i="153"/>
  <c r="I12" i="80"/>
  <c r="E54" i="45"/>
  <c r="C53" i="45"/>
  <c r="I11" i="110"/>
  <c r="E58" i="53"/>
  <c r="C57" i="53"/>
  <c r="E58" i="55"/>
  <c r="C57" i="55"/>
  <c r="AJ59" i="2"/>
  <c r="E55" i="26"/>
  <c r="C54" i="26"/>
  <c r="I12" i="108"/>
  <c r="I13" i="129"/>
  <c r="I11" i="35"/>
  <c r="I11" i="163"/>
  <c r="E56" i="129"/>
  <c r="C55" i="129"/>
  <c r="DS56" i="2"/>
  <c r="I11" i="69"/>
  <c r="E58" i="27"/>
  <c r="C57" i="27"/>
  <c r="BF59" i="2"/>
  <c r="C57" i="58"/>
  <c r="E58" i="58"/>
  <c r="I30" i="150"/>
  <c r="C54" i="120"/>
  <c r="E55" i="120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C54" i="159"/>
  <c r="E55" i="159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C54" i="168"/>
  <c r="E55" i="168"/>
  <c r="E58" i="155"/>
  <c r="C57" i="155"/>
  <c r="E56" i="81"/>
  <c r="C55" i="81"/>
  <c r="I14" i="16"/>
  <c r="I16" i="133"/>
  <c r="I15" i="24"/>
  <c r="E56" i="67"/>
  <c r="C55" i="67"/>
  <c r="I13" i="167"/>
  <c r="C55" i="103"/>
  <c r="E56" i="103"/>
  <c r="I14" i="51"/>
  <c r="I13" i="92"/>
  <c r="E55" i="141"/>
  <c r="C54" i="141"/>
  <c r="I13" i="18"/>
  <c r="E56" i="118"/>
  <c r="C55" i="118"/>
  <c r="I14" i="152"/>
  <c r="E57" i="154"/>
  <c r="C56" i="154"/>
  <c r="IJ57" i="2"/>
  <c r="I11" i="58"/>
  <c r="I11" i="171"/>
  <c r="I12" i="161"/>
  <c r="I12" i="33"/>
  <c r="E55" i="51"/>
  <c r="C54" i="51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E53" i="156"/>
  <c r="C52" i="156"/>
  <c r="I12" i="119"/>
  <c r="I11" i="17"/>
  <c r="I11" i="38"/>
  <c r="I12" i="86"/>
  <c r="I12" i="111"/>
  <c r="E57" i="132"/>
  <c r="C56" i="132"/>
  <c r="E56" i="161"/>
  <c r="C55" i="161"/>
  <c r="I14" i="78"/>
  <c r="E54" i="59"/>
  <c r="C53" i="59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C55" i="60"/>
  <c r="E56" i="60"/>
  <c r="C55" i="130"/>
  <c r="E56" i="130"/>
  <c r="I11" i="146"/>
  <c r="E56" i="64"/>
  <c r="C55" i="64"/>
  <c r="C54" i="62"/>
  <c r="E55" i="62"/>
  <c r="I13" i="23"/>
  <c r="E57" i="95"/>
  <c r="C56" i="95"/>
  <c r="E53" i="30"/>
  <c r="C52" i="30"/>
  <c r="E58" i="107"/>
  <c r="C57" i="107"/>
  <c r="E56" i="11"/>
  <c r="C55" i="11"/>
  <c r="C57" i="28"/>
  <c r="AI57" i="2" s="1"/>
  <c r="E58" i="28"/>
  <c r="C56" i="89"/>
  <c r="E57" i="89"/>
  <c r="HN57" i="2"/>
  <c r="C57" i="158"/>
  <c r="E58" i="158"/>
  <c r="C55" i="25"/>
  <c r="E56" i="25"/>
  <c r="I13" i="60"/>
  <c r="I16" i="74"/>
  <c r="C54" i="69"/>
  <c r="E55" i="69"/>
  <c r="E54" i="105"/>
  <c r="C53" i="105"/>
  <c r="I11" i="109"/>
  <c r="C55" i="113"/>
  <c r="E56" i="113"/>
  <c r="I11" i="90"/>
  <c r="E57" i="114"/>
  <c r="C56" i="114"/>
  <c r="C56" i="88"/>
  <c r="E57" i="88"/>
  <c r="FK57" i="2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4" i="106"/>
  <c r="E55" i="106"/>
  <c r="C56" i="48"/>
  <c r="E57" i="48"/>
  <c r="I15" i="14"/>
  <c r="I12" i="53"/>
  <c r="DI58" i="2"/>
  <c r="I14" i="172"/>
  <c r="C53" i="160"/>
  <c r="E54" i="160"/>
  <c r="C54" i="171"/>
  <c r="E55" i="171"/>
  <c r="E57" i="133"/>
  <c r="C56" i="133"/>
  <c r="DH57" i="2"/>
  <c r="I14" i="122"/>
  <c r="I14" i="48"/>
  <c r="E56" i="99"/>
  <c r="C55" i="99"/>
  <c r="C54" i="84"/>
  <c r="E55" i="84"/>
  <c r="I16" i="46"/>
  <c r="C56" i="44"/>
  <c r="E57" i="44"/>
  <c r="I14" i="101"/>
  <c r="I11" i="95"/>
  <c r="I13" i="72"/>
  <c r="I12" i="57"/>
  <c r="E53" i="146"/>
  <c r="C52" i="146"/>
  <c r="C53" i="102"/>
  <c r="E54" i="102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4" i="73"/>
  <c r="E55" i="73"/>
  <c r="C56" i="164"/>
  <c r="E57" i="164"/>
  <c r="AJ59" i="1"/>
  <c r="I11" i="112"/>
  <c r="I13" i="83"/>
  <c r="I13" i="37"/>
  <c r="E57" i="35"/>
  <c r="C56" i="35"/>
  <c r="C107" i="24"/>
  <c r="E108" i="24"/>
  <c r="C50" i="82"/>
  <c r="E51" i="82"/>
  <c r="CB58" i="2"/>
  <c r="E58" i="93"/>
  <c r="C57" i="93"/>
  <c r="E55" i="40"/>
  <c r="C54" i="40"/>
  <c r="I11" i="55"/>
  <c r="I11" i="125"/>
  <c r="E57" i="97"/>
  <c r="C56" i="97"/>
  <c r="E96" i="24"/>
  <c r="C95" i="24"/>
  <c r="E57" i="70"/>
  <c r="C56" i="70"/>
  <c r="I13" i="30"/>
  <c r="I12" i="155"/>
  <c r="I11" i="147"/>
  <c r="E53" i="138"/>
  <c r="C52" i="138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E51" i="98"/>
  <c r="C50" i="98"/>
  <c r="I14" i="127"/>
  <c r="E55" i="72"/>
  <c r="C54" i="72"/>
  <c r="C56" i="20"/>
  <c r="E57" i="20"/>
  <c r="E58" i="143"/>
  <c r="C57" i="143"/>
  <c r="I14" i="164"/>
  <c r="E58" i="14"/>
  <c r="C57" i="14"/>
  <c r="GR57" i="2" s="1"/>
  <c r="GR58" i="2"/>
  <c r="AU59" i="1"/>
  <c r="C53" i="165"/>
  <c r="E54" i="165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C54" i="173"/>
  <c r="E55" i="173"/>
  <c r="I11" i="160"/>
  <c r="E54" i="43"/>
  <c r="C53" i="43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CW56" i="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C52" i="32"/>
  <c r="E53" i="32"/>
  <c r="I14" i="136"/>
  <c r="I12" i="39"/>
  <c r="I12" i="76"/>
  <c r="I12" i="52"/>
  <c r="E55" i="149"/>
  <c r="C54" i="149"/>
  <c r="Y59" i="1"/>
  <c r="E56" i="139"/>
  <c r="C55" i="139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E53" i="157"/>
  <c r="C52" i="157"/>
  <c r="I14" i="142"/>
  <c r="I15" i="59"/>
  <c r="EE59" i="2"/>
  <c r="I12" i="5"/>
  <c r="I14" i="156"/>
  <c r="C55" i="74"/>
  <c r="E56" i="74"/>
  <c r="I12" i="19"/>
  <c r="GS59" i="2"/>
  <c r="C56" i="147"/>
  <c r="E57" i="147"/>
  <c r="C54" i="85"/>
  <c r="E55" i="85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C52" i="87"/>
  <c r="E53" i="87"/>
  <c r="E56" i="19"/>
  <c r="C55" i="19"/>
  <c r="I13" i="28"/>
  <c r="I13" i="25"/>
  <c r="C54" i="61"/>
  <c r="E55" i="61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5" i="150"/>
  <c r="E56" i="150"/>
  <c r="C57" i="12"/>
  <c r="E58" i="12"/>
  <c r="M58" i="1"/>
  <c r="X58" i="2"/>
  <c r="EP57" i="2" l="1"/>
  <c r="N57" i="2"/>
  <c r="GS57" i="2"/>
  <c r="AJ57" i="2"/>
  <c r="C53" i="61"/>
  <c r="E54" i="61"/>
  <c r="E52" i="157"/>
  <c r="C51" i="157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2" i="156"/>
  <c r="C51" i="156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E54" i="62"/>
  <c r="C53" i="62"/>
  <c r="C54" i="135"/>
  <c r="E55" i="135"/>
  <c r="I14" i="93"/>
  <c r="E55" i="4"/>
  <c r="C54" i="4"/>
  <c r="I17" i="61"/>
  <c r="E55" i="22"/>
  <c r="C54" i="22"/>
  <c r="C52" i="165"/>
  <c r="E53" i="165"/>
  <c r="I15" i="122"/>
  <c r="E55" i="57"/>
  <c r="C54" i="57"/>
  <c r="I12" i="45"/>
  <c r="E55" i="113"/>
  <c r="C54" i="113"/>
  <c r="E55" i="64"/>
  <c r="C54" i="64"/>
  <c r="E57" i="49"/>
  <c r="C56" i="49"/>
  <c r="I12" i="174"/>
  <c r="C53" i="51"/>
  <c r="E54" i="51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DH56" i="2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C52" i="105"/>
  <c r="E53" i="105"/>
  <c r="I12" i="146"/>
  <c r="C55" i="101"/>
  <c r="E56" i="101"/>
  <c r="I17" i="134"/>
  <c r="I13" i="85"/>
  <c r="I13" i="33"/>
  <c r="I12" i="69"/>
  <c r="I13" i="161"/>
  <c r="I15" i="16"/>
  <c r="I13" i="3"/>
  <c r="C53" i="159"/>
  <c r="E54" i="159"/>
  <c r="DT56" i="2"/>
  <c r="I12" i="96"/>
  <c r="I12" i="11"/>
  <c r="C54" i="130"/>
  <c r="E55" i="130"/>
  <c r="I16" i="42"/>
  <c r="I13" i="169"/>
  <c r="E55" i="81"/>
  <c r="C54" i="81"/>
  <c r="I12" i="100"/>
  <c r="C54" i="5"/>
  <c r="E55" i="5"/>
  <c r="E55" i="129"/>
  <c r="C54" i="129"/>
  <c r="DS55" i="2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E53" i="43"/>
  <c r="C52" i="43"/>
  <c r="I15" i="164"/>
  <c r="I17" i="15"/>
  <c r="E55" i="19"/>
  <c r="C54" i="19"/>
  <c r="I13" i="97"/>
  <c r="I12" i="43"/>
  <c r="E56" i="35"/>
  <c r="C55" i="35"/>
  <c r="AU58" i="2"/>
  <c r="I17" i="74"/>
  <c r="E55" i="60"/>
  <c r="C54" i="60"/>
  <c r="E55" i="9"/>
  <c r="C54" i="9"/>
  <c r="I12" i="171"/>
  <c r="E57" i="155"/>
  <c r="C56" i="155"/>
  <c r="I14" i="149"/>
  <c r="C53" i="85"/>
  <c r="E54" i="85"/>
  <c r="I14" i="68"/>
  <c r="E57" i="14"/>
  <c r="C56" i="14"/>
  <c r="E106" i="24"/>
  <c r="E107" i="24"/>
  <c r="E57" i="12"/>
  <c r="M57" i="1"/>
  <c r="C56" i="12"/>
  <c r="X57" i="2"/>
  <c r="E54" i="39"/>
  <c r="C53" i="39"/>
  <c r="I12" i="40"/>
  <c r="I12" i="160"/>
  <c r="E57" i="143"/>
  <c r="C56" i="143"/>
  <c r="I14" i="63"/>
  <c r="E53" i="160"/>
  <c r="C52" i="160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0" i="82"/>
  <c r="C49" i="82"/>
  <c r="E57" i="50"/>
  <c r="C56" i="50"/>
  <c r="AT57" i="2"/>
  <c r="EE58" i="2"/>
  <c r="I14" i="37"/>
  <c r="E56" i="33"/>
  <c r="C55" i="33"/>
  <c r="C52" i="59"/>
  <c r="E53" i="59"/>
  <c r="IK57" i="2"/>
  <c r="E54" i="168"/>
  <c r="C53" i="168"/>
  <c r="I13" i="31"/>
  <c r="I14" i="113"/>
  <c r="C54" i="74"/>
  <c r="E55" i="74"/>
  <c r="C56" i="109"/>
  <c r="E57" i="109"/>
  <c r="ED57" i="2"/>
  <c r="E56" i="20"/>
  <c r="C55" i="20"/>
  <c r="I12" i="147"/>
  <c r="I14" i="83"/>
  <c r="C51" i="146"/>
  <c r="E52" i="146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E55" i="25"/>
  <c r="C54" i="25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E55" i="139"/>
  <c r="C54" i="139"/>
  <c r="I14" i="165"/>
  <c r="I12" i="64"/>
  <c r="CM58" i="2"/>
  <c r="I15" i="152"/>
  <c r="I13" i="123"/>
  <c r="FW58" i="2"/>
  <c r="I15" i="77"/>
  <c r="HZ57" i="2"/>
  <c r="C51" i="138"/>
  <c r="E52" i="138"/>
  <c r="C55" i="117"/>
  <c r="E56" i="117"/>
  <c r="C54" i="150"/>
  <c r="E55" i="150"/>
  <c r="E52" i="87"/>
  <c r="C51" i="87"/>
  <c r="E55" i="128"/>
  <c r="C54" i="128"/>
  <c r="E57" i="158"/>
  <c r="C56" i="158"/>
  <c r="I13" i="103"/>
  <c r="I12" i="143"/>
  <c r="I14" i="99"/>
  <c r="I12" i="47"/>
  <c r="I13" i="108"/>
  <c r="C55" i="169"/>
  <c r="E56" i="169"/>
  <c r="HY56" i="2"/>
  <c r="BF58" i="2"/>
  <c r="I13" i="20"/>
  <c r="HO57" i="2"/>
  <c r="I13" i="84"/>
  <c r="E55" i="161"/>
  <c r="C54" i="161"/>
  <c r="E55" i="118"/>
  <c r="C54" i="118"/>
  <c r="E57" i="42"/>
  <c r="C56" i="42"/>
  <c r="FV57" i="2"/>
  <c r="C53" i="26"/>
  <c r="E54" i="26"/>
  <c r="C53" i="173"/>
  <c r="E54" i="173"/>
  <c r="I12" i="140"/>
  <c r="E50" i="98"/>
  <c r="C49" i="98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E95" i="24"/>
  <c r="C94" i="24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4" i="106"/>
  <c r="C53" i="106"/>
  <c r="E56" i="77"/>
  <c r="C55" i="77"/>
  <c r="E56" i="36"/>
  <c r="C55" i="36"/>
  <c r="I13" i="86"/>
  <c r="I14" i="41"/>
  <c r="C55" i="79"/>
  <c r="E56" i="79"/>
  <c r="I14" i="92"/>
  <c r="E54" i="86"/>
  <c r="C53" i="86"/>
  <c r="C56" i="174"/>
  <c r="E57" i="174"/>
  <c r="E57" i="53"/>
  <c r="C56" i="53"/>
  <c r="BE56" i="2" s="1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E54" i="72"/>
  <c r="C53" i="7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E54" i="120"/>
  <c r="C53" i="120"/>
  <c r="E53" i="45"/>
  <c r="C52" i="45"/>
  <c r="I13" i="155"/>
  <c r="I15" i="127"/>
  <c r="I13" i="53"/>
  <c r="E54" i="149"/>
  <c r="C53" i="149"/>
  <c r="I13" i="116"/>
  <c r="HZ58" i="2"/>
  <c r="I17" i="12"/>
  <c r="I13" i="106"/>
  <c r="I16" i="71"/>
  <c r="I13" i="56"/>
  <c r="AJ58" i="1"/>
  <c r="CX57" i="2"/>
  <c r="I16" i="22"/>
  <c r="C53" i="84"/>
  <c r="E54" i="84"/>
  <c r="E55" i="144"/>
  <c r="C54" i="144"/>
  <c r="E56" i="88"/>
  <c r="C55" i="88"/>
  <c r="C55" i="95"/>
  <c r="E56" i="95"/>
  <c r="I12" i="17"/>
  <c r="I16" i="94"/>
  <c r="I14" i="115"/>
  <c r="E55" i="103"/>
  <c r="C54" i="103"/>
  <c r="I12" i="102"/>
  <c r="I13" i="19"/>
  <c r="CX56" i="2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31" i="150"/>
  <c r="I13" i="80"/>
  <c r="E56" i="13"/>
  <c r="C55" i="13"/>
  <c r="IU56" i="2"/>
  <c r="C52" i="102"/>
  <c r="E53" i="102"/>
  <c r="I12" i="112"/>
  <c r="E54" i="73"/>
  <c r="C53" i="73"/>
  <c r="I15" i="132"/>
  <c r="I13" i="87"/>
  <c r="E55" i="167"/>
  <c r="C54" i="167"/>
  <c r="C51" i="32"/>
  <c r="E52" i="32"/>
  <c r="I15" i="62"/>
  <c r="I17" i="145"/>
  <c r="CL57" i="2"/>
  <c r="FA57" i="2"/>
  <c r="E53" i="111"/>
  <c r="C52" i="111"/>
  <c r="I15" i="98"/>
  <c r="E57" i="56"/>
  <c r="C56" i="56"/>
  <c r="EP56" i="2" l="1"/>
  <c r="BF56" i="2"/>
  <c r="I16" i="132"/>
  <c r="I18" i="46"/>
  <c r="I14" i="31"/>
  <c r="C52" i="163"/>
  <c r="E53" i="163"/>
  <c r="I14" i="86"/>
  <c r="I15" i="60"/>
  <c r="E55" i="89"/>
  <c r="C54" i="89"/>
  <c r="E53" i="173"/>
  <c r="C52" i="173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I32" i="150"/>
  <c r="C52" i="149"/>
  <c r="E53" i="149"/>
  <c r="I14" i="138"/>
  <c r="I13" i="166"/>
  <c r="I17" i="32"/>
  <c r="C55" i="42"/>
  <c r="E56" i="42"/>
  <c r="FV56" i="2"/>
  <c r="E51" i="87"/>
  <c r="C50" i="87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E53" i="106"/>
  <c r="C52" i="106"/>
  <c r="I15" i="18"/>
  <c r="C54" i="70"/>
  <c r="E55" i="70"/>
  <c r="I15" i="25"/>
  <c r="I14" i="151"/>
  <c r="E54" i="9"/>
  <c r="C53" i="9"/>
  <c r="I14" i="114"/>
  <c r="E55" i="76"/>
  <c r="C54" i="76"/>
  <c r="C55" i="27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4" i="118"/>
  <c r="C53" i="118"/>
  <c r="C50" i="146"/>
  <c r="E51" i="146"/>
  <c r="E49" i="82"/>
  <c r="C48" i="82"/>
  <c r="E55" i="63"/>
  <c r="C54" i="63"/>
  <c r="I14" i="119"/>
  <c r="E53" i="141"/>
  <c r="C52" i="141"/>
  <c r="I14" i="57"/>
  <c r="C53" i="150"/>
  <c r="E54" i="150"/>
  <c r="I15" i="129"/>
  <c r="E52" i="160"/>
  <c r="C51" i="160"/>
  <c r="C53" i="60"/>
  <c r="E54" i="60"/>
  <c r="I15" i="28"/>
  <c r="E53" i="159"/>
  <c r="C52" i="159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E53" i="62"/>
  <c r="C52" i="62"/>
  <c r="I13" i="148"/>
  <c r="I14" i="155"/>
  <c r="CM57" i="2"/>
  <c r="I16" i="51"/>
  <c r="C54" i="153"/>
  <c r="E55" i="153"/>
  <c r="E54" i="161"/>
  <c r="C53" i="161"/>
  <c r="C54" i="117"/>
  <c r="E55" i="117"/>
  <c r="E56" i="52"/>
  <c r="C55" i="52"/>
  <c r="BP56" i="2"/>
  <c r="I17" i="24"/>
  <c r="I13" i="91"/>
  <c r="I14" i="154"/>
  <c r="C55" i="172"/>
  <c r="E56" i="172"/>
  <c r="E55" i="88"/>
  <c r="C54" i="88"/>
  <c r="FK55" i="2"/>
  <c r="C51" i="45"/>
  <c r="E52" i="45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E51" i="138"/>
  <c r="C50" i="138"/>
  <c r="I17" i="27"/>
  <c r="E53" i="51"/>
  <c r="C52" i="51"/>
  <c r="HD57" i="2"/>
  <c r="E55" i="125"/>
  <c r="C54" i="125"/>
  <c r="E53" i="120"/>
  <c r="C52" i="120"/>
  <c r="I16" i="78"/>
  <c r="EE57" i="2"/>
  <c r="C53" i="94"/>
  <c r="E54" i="94"/>
  <c r="E55" i="35"/>
  <c r="C54" i="35"/>
  <c r="I14" i="162"/>
  <c r="I14" i="161"/>
  <c r="DI56" i="2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DT55" i="2"/>
  <c r="C55" i="49"/>
  <c r="E56" i="49"/>
  <c r="E56" i="93"/>
  <c r="C55" i="93"/>
  <c r="I15" i="173"/>
  <c r="AU57" i="1"/>
  <c r="E56" i="152"/>
  <c r="C55" i="152"/>
  <c r="C53" i="129"/>
  <c r="E54" i="129"/>
  <c r="DS54" i="2"/>
  <c r="E54" i="126"/>
  <c r="C53" i="126"/>
  <c r="E51" i="157"/>
  <c r="C50" i="157"/>
  <c r="E55" i="48"/>
  <c r="C54" i="48"/>
  <c r="E54" i="167"/>
  <c r="C53" i="167"/>
  <c r="E55" i="23"/>
  <c r="C54" i="23"/>
  <c r="I17" i="22"/>
  <c r="C55" i="7"/>
  <c r="E56" i="7"/>
  <c r="AT56" i="1"/>
  <c r="I16" i="101"/>
  <c r="CA56" i="2"/>
  <c r="E54" i="74"/>
  <c r="C53" i="74"/>
  <c r="C52" i="39"/>
  <c r="E53" i="39"/>
  <c r="I14" i="33"/>
  <c r="E54" i="64"/>
  <c r="C53" i="64"/>
  <c r="I16" i="29"/>
  <c r="I14" i="5"/>
  <c r="E51" i="32"/>
  <c r="C50" i="32"/>
  <c r="I14" i="87"/>
  <c r="I14" i="49"/>
  <c r="E55" i="119"/>
  <c r="C54" i="119"/>
  <c r="C53" i="18"/>
  <c r="E54" i="18"/>
  <c r="I14" i="70"/>
  <c r="E55" i="31"/>
  <c r="C54" i="31"/>
  <c r="CA55" i="2"/>
  <c r="E53" i="115"/>
  <c r="C52" i="115"/>
  <c r="I14" i="97"/>
  <c r="C54" i="71"/>
  <c r="E55" i="71"/>
  <c r="E54" i="137"/>
  <c r="C53" i="137"/>
  <c r="AJ57" i="1"/>
  <c r="C93" i="24"/>
  <c r="E94" i="24"/>
  <c r="HZ56" i="2"/>
  <c r="I14" i="123"/>
  <c r="E54" i="25"/>
  <c r="C53" i="25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C52" i="61"/>
  <c r="E53" i="61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E53" i="168"/>
  <c r="C52" i="168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2" i="73"/>
  <c r="E53" i="73"/>
  <c r="C55" i="136"/>
  <c r="E56" i="136"/>
  <c r="I13" i="125"/>
  <c r="I15" i="30"/>
  <c r="E54" i="104"/>
  <c r="C53" i="104"/>
  <c r="I14" i="131"/>
  <c r="C55" i="14"/>
  <c r="E56" i="14"/>
  <c r="GR56" i="2"/>
  <c r="E52" i="43"/>
  <c r="C51" i="43"/>
  <c r="I16" i="122"/>
  <c r="X56" i="1"/>
  <c r="I13" i="65"/>
  <c r="I13" i="112"/>
  <c r="I17" i="71"/>
  <c r="C53" i="116"/>
  <c r="E54" i="116"/>
  <c r="C54" i="132"/>
  <c r="E55" i="132"/>
  <c r="C48" i="98"/>
  <c r="E49" i="98"/>
  <c r="I14" i="169"/>
  <c r="I18" i="133"/>
  <c r="I15" i="118"/>
  <c r="C50" i="156"/>
  <c r="E51" i="156"/>
  <c r="I17" i="79"/>
  <c r="E54" i="16"/>
  <c r="C53" i="16"/>
  <c r="I13" i="130"/>
  <c r="C53" i="99"/>
  <c r="E54" i="99"/>
  <c r="E53" i="84"/>
  <c r="C52" i="84"/>
  <c r="C55" i="53"/>
  <c r="E56" i="53"/>
  <c r="E54" i="11"/>
  <c r="C53" i="11"/>
  <c r="I16" i="150"/>
  <c r="I13" i="64"/>
  <c r="I14" i="19"/>
  <c r="I16" i="136"/>
  <c r="E55" i="142"/>
  <c r="C54" i="142"/>
  <c r="C54" i="78"/>
  <c r="E55" i="78"/>
  <c r="C54" i="154"/>
  <c r="E55" i="154"/>
  <c r="IJ55" i="2"/>
  <c r="C51" i="59"/>
  <c r="E52" i="59"/>
  <c r="I13" i="163"/>
  <c r="I15" i="68"/>
  <c r="E56" i="90"/>
  <c r="C55" i="90"/>
  <c r="I17" i="42"/>
  <c r="C51" i="105"/>
  <c r="E52" i="105"/>
  <c r="IK56" i="2"/>
  <c r="C51" i="102"/>
  <c r="E52" i="102"/>
  <c r="I14" i="106"/>
  <c r="IV56" i="2"/>
  <c r="E55" i="79"/>
  <c r="C54" i="79"/>
  <c r="E55" i="147"/>
  <c r="C54" i="147"/>
  <c r="I17" i="59"/>
  <c r="CB57" i="1"/>
  <c r="I15" i="165"/>
  <c r="M56" i="2"/>
  <c r="I13" i="109"/>
  <c r="E52" i="165"/>
  <c r="C51" i="165"/>
  <c r="FA56" i="2"/>
  <c r="I14" i="144"/>
  <c r="I15" i="99"/>
  <c r="C52" i="72"/>
  <c r="E53" i="72"/>
  <c r="E55" i="13"/>
  <c r="C54" i="13"/>
  <c r="I18" i="12"/>
  <c r="I14" i="39"/>
  <c r="E55" i="15"/>
  <c r="C54" i="15"/>
  <c r="I15" i="41"/>
  <c r="I13" i="140"/>
  <c r="I13" i="143"/>
  <c r="E54" i="139"/>
  <c r="C53" i="139"/>
  <c r="E55" i="151"/>
  <c r="C54" i="151"/>
  <c r="E55" i="33"/>
  <c r="C54" i="33"/>
  <c r="M55" i="2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C52" i="85"/>
  <c r="E53" i="85"/>
  <c r="E54" i="130"/>
  <c r="C53" i="130"/>
  <c r="E55" i="134"/>
  <c r="C54" i="134"/>
  <c r="EZ55" i="2"/>
  <c r="I14" i="52"/>
  <c r="I16" i="117"/>
  <c r="C53" i="103"/>
  <c r="E54" i="103"/>
  <c r="I16" i="135"/>
  <c r="E56" i="107"/>
  <c r="C55" i="107"/>
  <c r="C54" i="140"/>
  <c r="E55" i="140"/>
  <c r="AI55" i="2"/>
  <c r="HN56" i="2"/>
  <c r="I16" i="156"/>
  <c r="I15" i="37"/>
  <c r="I13" i="58"/>
  <c r="I13" i="11"/>
  <c r="I15" i="44"/>
  <c r="I15" i="23"/>
  <c r="C53" i="15" l="1"/>
  <c r="E54" i="15"/>
  <c r="I15" i="39"/>
  <c r="E51" i="105"/>
  <c r="C50" i="105"/>
  <c r="C51" i="168"/>
  <c r="E52" i="168"/>
  <c r="E53" i="112"/>
  <c r="C52" i="112"/>
  <c r="BQ56" i="1"/>
  <c r="I19" i="74"/>
  <c r="C51" i="37"/>
  <c r="E52" i="37"/>
  <c r="E53" i="118"/>
  <c r="C52" i="118"/>
  <c r="E54" i="76"/>
  <c r="C53" i="76"/>
  <c r="E54" i="95"/>
  <c r="C53" i="95"/>
  <c r="C52" i="99"/>
  <c r="E53" i="99"/>
  <c r="GS56" i="2"/>
  <c r="E53" i="65"/>
  <c r="C52" i="65"/>
  <c r="I18" i="14"/>
  <c r="I15" i="123"/>
  <c r="E53" i="129"/>
  <c r="C52" i="129"/>
  <c r="DS53" i="2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C51" i="72"/>
  <c r="E52" i="72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C52" i="161"/>
  <c r="E53" i="161"/>
  <c r="I15" i="114"/>
  <c r="I15" i="104"/>
  <c r="E53" i="4"/>
  <c r="C52" i="4"/>
  <c r="E53" i="139"/>
  <c r="C52" i="139"/>
  <c r="I16" i="44"/>
  <c r="I15" i="144"/>
  <c r="C51" i="61"/>
  <c r="E52" i="61"/>
  <c r="C53" i="133"/>
  <c r="E54" i="133"/>
  <c r="DH54" i="2"/>
  <c r="C53" i="44"/>
  <c r="E54" i="44"/>
  <c r="E53" i="9"/>
  <c r="C52" i="9"/>
  <c r="E50" i="87"/>
  <c r="C49" i="87"/>
  <c r="E54" i="108"/>
  <c r="C53" i="108"/>
  <c r="E53" i="103"/>
  <c r="C52" i="103"/>
  <c r="I15" i="131"/>
  <c r="I15" i="153"/>
  <c r="I17" i="152"/>
  <c r="I14" i="69"/>
  <c r="I17" i="78"/>
  <c r="I17" i="16"/>
  <c r="C51" i="159"/>
  <c r="E52" i="159"/>
  <c r="C51" i="69"/>
  <c r="E52" i="69"/>
  <c r="E52" i="85"/>
  <c r="C51" i="85"/>
  <c r="C92" i="24"/>
  <c r="E93" i="24"/>
  <c r="C52" i="68"/>
  <c r="E53" i="68"/>
  <c r="I16" i="68"/>
  <c r="C51" i="120"/>
  <c r="E52" i="120"/>
  <c r="E52" i="171"/>
  <c r="C51" i="171"/>
  <c r="I15" i="88"/>
  <c r="E54" i="153"/>
  <c r="C53" i="153"/>
  <c r="I15" i="151"/>
  <c r="FW56" i="2"/>
  <c r="C54" i="158"/>
  <c r="E55" i="158"/>
  <c r="E53" i="64"/>
  <c r="C52" i="64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C50" i="165"/>
  <c r="E51" i="165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C51" i="173"/>
  <c r="E52" i="173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E53" i="60"/>
  <c r="C52" i="60"/>
  <c r="I18" i="32"/>
  <c r="I14" i="96"/>
  <c r="C53" i="36"/>
  <c r="E54" i="36"/>
  <c r="HN55" i="2"/>
  <c r="I16" i="158"/>
  <c r="C52" i="16"/>
  <c r="E53" i="16"/>
  <c r="E50" i="156"/>
  <c r="C49" i="156"/>
  <c r="I16" i="10"/>
  <c r="C50" i="59"/>
  <c r="E51" i="59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2" i="74"/>
  <c r="E53" i="74"/>
  <c r="C54" i="49"/>
  <c r="E55" i="49"/>
  <c r="I19" i="7"/>
  <c r="I15" i="170"/>
  <c r="GR54" i="2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E52" i="51"/>
  <c r="C51" i="51"/>
  <c r="C53" i="20"/>
  <c r="E54" i="20"/>
  <c r="I15" i="155"/>
  <c r="E51" i="160"/>
  <c r="C50" i="160"/>
  <c r="I14" i="166"/>
  <c r="I16" i="41"/>
  <c r="E53" i="130"/>
  <c r="C52" i="130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C51" i="106"/>
  <c r="E52" i="106"/>
  <c r="I15" i="138"/>
  <c r="E54" i="78"/>
  <c r="C53" i="78"/>
  <c r="C51" i="73"/>
  <c r="E52" i="73"/>
  <c r="I15" i="108"/>
  <c r="E53" i="54"/>
  <c r="C52" i="54"/>
  <c r="I15" i="50"/>
  <c r="E52" i="115"/>
  <c r="C51" i="115"/>
  <c r="I17" i="101"/>
  <c r="I14" i="43"/>
  <c r="E54" i="162"/>
  <c r="C53" i="162"/>
  <c r="I16" i="157"/>
  <c r="C51" i="62"/>
  <c r="E52" i="62"/>
  <c r="I19" i="75"/>
  <c r="I15" i="116"/>
  <c r="C53" i="142"/>
  <c r="E54" i="142"/>
  <c r="I14" i="81"/>
  <c r="C52" i="113"/>
  <c r="E53" i="113"/>
  <c r="AU56" i="1"/>
  <c r="I14" i="105"/>
  <c r="I16" i="66"/>
  <c r="I15" i="53"/>
  <c r="C51" i="149"/>
  <c r="E52" i="149"/>
  <c r="C52" i="17"/>
  <c r="E53" i="17"/>
  <c r="I15" i="86"/>
  <c r="I15" i="103"/>
  <c r="E48" i="98"/>
  <c r="C47" i="98"/>
  <c r="I15" i="4"/>
  <c r="CB55" i="2"/>
  <c r="I14" i="40"/>
  <c r="E50" i="138"/>
  <c r="C49" i="138"/>
  <c r="E51" i="45"/>
  <c r="C50" i="45"/>
  <c r="E53" i="150"/>
  <c r="C52" i="150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FK54" i="2" s="1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C49" i="157"/>
  <c r="E50" i="157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C47" i="82"/>
  <c r="E48" i="82"/>
  <c r="I16" i="93"/>
  <c r="I16" i="159"/>
  <c r="I17" i="48"/>
  <c r="I14" i="112"/>
  <c r="I17" i="156"/>
  <c r="HO56" i="2"/>
  <c r="I14" i="102"/>
  <c r="I19" i="12"/>
  <c r="C50" i="102"/>
  <c r="E51" i="10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E52" i="84"/>
  <c r="C51" i="84"/>
  <c r="I17" i="122"/>
  <c r="I19" i="15"/>
  <c r="C52" i="25"/>
  <c r="E53" i="25"/>
  <c r="I14" i="141"/>
  <c r="C53" i="35"/>
  <c r="E54" i="35"/>
  <c r="C54" i="52"/>
  <c r="E55" i="52"/>
  <c r="BP55" i="2"/>
  <c r="E53" i="135"/>
  <c r="C52" i="135"/>
  <c r="I14" i="171"/>
  <c r="E53" i="144"/>
  <c r="C52" i="144"/>
  <c r="IU54" i="2"/>
  <c r="AJ55" i="2"/>
  <c r="I16" i="92"/>
  <c r="E54" i="140"/>
  <c r="C53" i="140"/>
  <c r="C54" i="170"/>
  <c r="E55" i="170"/>
  <c r="C50" i="43"/>
  <c r="E51" i="43"/>
  <c r="I14" i="47"/>
  <c r="E50" i="32"/>
  <c r="C49" i="32"/>
  <c r="DT54" i="2"/>
  <c r="CW54" i="2"/>
  <c r="I17" i="142"/>
  <c r="E50" i="146"/>
  <c r="C49" i="146"/>
  <c r="E55" i="27"/>
  <c r="C54" i="27"/>
  <c r="IJ54" i="2" s="1"/>
  <c r="AU56" i="2"/>
  <c r="I17" i="107"/>
  <c r="I14" i="34"/>
  <c r="AI55" i="1"/>
  <c r="IK54" i="2" l="1"/>
  <c r="FL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E49" i="138"/>
  <c r="C48" i="138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E49" i="157"/>
  <c r="C48" i="157"/>
  <c r="CM54" i="2"/>
  <c r="E53" i="122"/>
  <c r="C52" i="122"/>
  <c r="I18" i="26"/>
  <c r="I17" i="129"/>
  <c r="HO54" i="2"/>
  <c r="I19" i="79"/>
  <c r="E92" i="24"/>
  <c r="C91" i="24"/>
  <c r="E53" i="133"/>
  <c r="C52" i="133"/>
  <c r="DH53" i="2"/>
  <c r="C53" i="14"/>
  <c r="E54" i="14"/>
  <c r="E51" i="72"/>
  <c r="C50" i="72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E51" i="85"/>
  <c r="C50" i="85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61"/>
  <c r="C50" i="61"/>
  <c r="E51" i="124"/>
  <c r="C50" i="124"/>
  <c r="AJ55" i="1"/>
  <c r="E52" i="144"/>
  <c r="C51" i="144"/>
  <c r="I16" i="162"/>
  <c r="C46" i="82"/>
  <c r="E47" i="82"/>
  <c r="I19" i="71"/>
  <c r="I16" i="57"/>
  <c r="E51" i="62"/>
  <c r="C50" i="62"/>
  <c r="I17" i="60"/>
  <c r="E50" i="59"/>
  <c r="C49" i="59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E52" i="130"/>
  <c r="C51" i="130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C46" i="98"/>
  <c r="E47" i="98"/>
  <c r="E53" i="162"/>
  <c r="C52" i="162"/>
  <c r="I18" i="9"/>
  <c r="GS54" i="2"/>
  <c r="C48" i="156"/>
  <c r="E49" i="156"/>
  <c r="E51" i="159"/>
  <c r="C50" i="159"/>
  <c r="E52" i="22"/>
  <c r="C51" i="22"/>
  <c r="I15" i="8"/>
  <c r="E53" i="76"/>
  <c r="C52" i="76"/>
  <c r="C52" i="114"/>
  <c r="E53" i="114"/>
  <c r="I16" i="80"/>
  <c r="E50" i="111"/>
  <c r="C49" i="111"/>
  <c r="E54" i="7"/>
  <c r="C53" i="7"/>
  <c r="AT54" i="1"/>
  <c r="I17" i="41"/>
  <c r="I15" i="110"/>
  <c r="E52" i="5"/>
  <c r="C51" i="5"/>
  <c r="I18" i="16"/>
  <c r="C51" i="139"/>
  <c r="E52" i="139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E52" i="118"/>
  <c r="C51" i="118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E52" i="64"/>
  <c r="C51" i="64"/>
  <c r="I18" i="78"/>
  <c r="E52" i="4"/>
  <c r="C51" i="4"/>
  <c r="E54" i="109"/>
  <c r="C53" i="109"/>
  <c r="ED54" i="2"/>
  <c r="I16" i="86"/>
  <c r="E50" i="160"/>
  <c r="C49" i="160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E52" i="74"/>
  <c r="C51" i="74"/>
  <c r="C52" i="36"/>
  <c r="E53" i="36"/>
  <c r="I17" i="30"/>
  <c r="I15" i="36"/>
  <c r="I18" i="152"/>
  <c r="I17" i="149"/>
  <c r="C53" i="121"/>
  <c r="E54" i="121"/>
  <c r="I16" i="84"/>
  <c r="C50" i="149"/>
  <c r="E51" i="149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E50" i="165"/>
  <c r="C49" i="165"/>
  <c r="I15" i="90"/>
  <c r="CW53" i="2"/>
  <c r="I19" i="22"/>
  <c r="E53" i="132"/>
  <c r="C52" i="132"/>
  <c r="I16" i="53"/>
  <c r="E54" i="28"/>
  <c r="C53" i="28"/>
  <c r="C50" i="51"/>
  <c r="E51" i="51"/>
  <c r="I15" i="64"/>
  <c r="I18" i="128"/>
  <c r="I16" i="151"/>
  <c r="C51" i="112"/>
  <c r="E52" i="112"/>
  <c r="CW52" i="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C51" i="161"/>
  <c r="E52" i="161"/>
  <c r="I16" i="54"/>
  <c r="I17" i="63"/>
  <c r="I20" i="134"/>
  <c r="C48" i="32"/>
  <c r="E49" i="32"/>
  <c r="Y55" i="1"/>
  <c r="E54" i="174"/>
  <c r="C53" i="174"/>
  <c r="HY53" i="2" s="1"/>
  <c r="C51" i="60"/>
  <c r="E52" i="60"/>
  <c r="E52" i="103"/>
  <c r="C51" i="103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C50" i="168"/>
  <c r="E51" i="168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E51" i="73"/>
  <c r="C50" i="73"/>
  <c r="I16" i="97"/>
  <c r="E52" i="81"/>
  <c r="C51" i="81"/>
  <c r="I17" i="118"/>
  <c r="E53" i="21"/>
  <c r="C52" i="21"/>
  <c r="E51" i="173"/>
  <c r="C50" i="173"/>
  <c r="C52" i="96"/>
  <c r="E53" i="96"/>
  <c r="I16" i="88"/>
  <c r="E53" i="108"/>
  <c r="C52" i="108"/>
  <c r="BQ55" i="1"/>
  <c r="C51" i="94"/>
  <c r="E52" i="94"/>
  <c r="C49" i="105"/>
  <c r="E50" i="105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E50" i="102"/>
  <c r="C49" i="102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48" i="87"/>
  <c r="E49" i="87"/>
  <c r="C53" i="8"/>
  <c r="E54" i="8"/>
  <c r="HC54" i="2"/>
  <c r="BP54" i="1"/>
  <c r="E54" i="152"/>
  <c r="C53" i="152"/>
  <c r="DT53" i="2"/>
  <c r="I16" i="39"/>
  <c r="I16" i="49"/>
  <c r="E54" i="53"/>
  <c r="C53" i="53"/>
  <c r="BE53" i="2" s="1"/>
  <c r="I20" i="12"/>
  <c r="C49" i="43"/>
  <c r="E50" i="43"/>
  <c r="I16" i="137"/>
  <c r="I15" i="11"/>
  <c r="C50" i="163"/>
  <c r="E51" i="163"/>
  <c r="I16" i="138"/>
  <c r="N54" i="2"/>
  <c r="I16" i="73"/>
  <c r="I18" i="51"/>
  <c r="C51" i="129"/>
  <c r="E52" i="129"/>
  <c r="DS52" i="2"/>
  <c r="E52" i="25"/>
  <c r="C51" i="25"/>
  <c r="E51" i="84"/>
  <c r="C50" i="84"/>
  <c r="I18" i="77"/>
  <c r="I18" i="156"/>
  <c r="C51" i="75"/>
  <c r="E52" i="75"/>
  <c r="I16" i="119"/>
  <c r="I18" i="136"/>
  <c r="C53" i="56"/>
  <c r="E54" i="56"/>
  <c r="E52" i="150"/>
  <c r="C51" i="150"/>
  <c r="E52" i="113"/>
  <c r="C51" i="113"/>
  <c r="C50" i="39"/>
  <c r="E51" i="39"/>
  <c r="E51" i="120"/>
  <c r="C50" i="120"/>
  <c r="E52" i="9"/>
  <c r="C51" i="9"/>
  <c r="IV54" i="2"/>
  <c r="I15" i="35"/>
  <c r="E49" i="146"/>
  <c r="C48" i="146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0" i="45"/>
  <c r="C49" i="45"/>
  <c r="C50" i="106"/>
  <c r="E51" i="106"/>
  <c r="E54" i="136"/>
  <c r="C53" i="136"/>
  <c r="I16" i="111"/>
  <c r="I16" i="33"/>
  <c r="BE54" i="2"/>
  <c r="BF55" i="2"/>
  <c r="I16" i="123"/>
  <c r="AI54" i="1"/>
  <c r="I15" i="171"/>
  <c r="E53" i="97"/>
  <c r="C52" i="97"/>
  <c r="EO53" i="2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FL53" i="2" l="1"/>
  <c r="IV53" i="2"/>
  <c r="HZ53" i="2"/>
  <c r="BF53" i="2"/>
  <c r="HO53" i="2"/>
  <c r="I18" i="28"/>
  <c r="AJ54" i="1"/>
  <c r="I20" i="59"/>
  <c r="C51" i="38"/>
  <c r="E52" i="38"/>
  <c r="I16" i="95"/>
  <c r="E53" i="155"/>
  <c r="C52" i="155"/>
  <c r="CL52" i="2" s="1"/>
  <c r="E46" i="98"/>
  <c r="C45" i="98"/>
  <c r="C49" i="62"/>
  <c r="E50" i="62"/>
  <c r="I17" i="168"/>
  <c r="E48" i="157"/>
  <c r="C47" i="157"/>
  <c r="I19" i="48"/>
  <c r="I17" i="97"/>
  <c r="C52" i="3"/>
  <c r="E53" i="3"/>
  <c r="E51" i="126"/>
  <c r="C50" i="126"/>
  <c r="E52" i="13"/>
  <c r="C51" i="13"/>
  <c r="C49" i="84"/>
  <c r="E50" i="84"/>
  <c r="I16" i="65"/>
  <c r="C49" i="73"/>
  <c r="E50" i="73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C50" i="64"/>
  <c r="E51" i="64"/>
  <c r="I18" i="93"/>
  <c r="I16" i="110"/>
  <c r="E52" i="88"/>
  <c r="C51" i="88"/>
  <c r="I17" i="106"/>
  <c r="I17" i="57"/>
  <c r="E51" i="65"/>
  <c r="C50" i="65"/>
  <c r="E52" i="44"/>
  <c r="C51" i="44"/>
  <c r="C50" i="25"/>
  <c r="E51" i="25"/>
  <c r="I17" i="67"/>
  <c r="I16" i="105"/>
  <c r="E52" i="132"/>
  <c r="C51" i="132"/>
  <c r="I17" i="52"/>
  <c r="I18" i="41"/>
  <c r="C51" i="169"/>
  <c r="E52" i="169"/>
  <c r="I20" i="14"/>
  <c r="C52" i="27"/>
  <c r="E53" i="27"/>
  <c r="E52" i="147"/>
  <c r="C51" i="147"/>
  <c r="I20" i="32"/>
  <c r="I16" i="96"/>
  <c r="I21" i="74"/>
  <c r="E53" i="49"/>
  <c r="C52" i="49"/>
  <c r="N54" i="1"/>
  <c r="E51" i="118"/>
  <c r="C50" i="118"/>
  <c r="I16" i="163"/>
  <c r="CL53" i="2"/>
  <c r="I17" i="5"/>
  <c r="DT52" i="2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C45" i="82"/>
  <c r="E46" i="82"/>
  <c r="I18" i="159"/>
  <c r="I19" i="172"/>
  <c r="C48" i="111"/>
  <c r="E49" i="111"/>
  <c r="C50" i="130"/>
  <c r="E51" i="130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E48" i="87"/>
  <c r="C47" i="87"/>
  <c r="I18" i="66"/>
  <c r="I18" i="173"/>
  <c r="C50" i="9"/>
  <c r="E51" i="9"/>
  <c r="FW54" i="2"/>
  <c r="E49" i="165"/>
  <c r="C48" i="165"/>
  <c r="E50" i="149"/>
  <c r="C49" i="149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IJ52" i="2"/>
  <c r="E50" i="72"/>
  <c r="C49" i="72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C49" i="120"/>
  <c r="E50" i="120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C50" i="103"/>
  <c r="E51" i="103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2" i="2" s="1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E51" i="60"/>
  <c r="C50" i="60"/>
  <c r="I18" i="149"/>
  <c r="I19" i="101"/>
  <c r="I18" i="18"/>
  <c r="I16" i="8"/>
  <c r="I18" i="10"/>
  <c r="E51" i="99"/>
  <c r="C50" i="99"/>
  <c r="C51" i="133"/>
  <c r="E52" i="133"/>
  <c r="DH52" i="2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E50" i="61"/>
  <c r="C49" i="61"/>
  <c r="C51" i="142"/>
  <c r="E52" i="142"/>
  <c r="C47" i="146"/>
  <c r="E48" i="146"/>
  <c r="E49" i="105"/>
  <c r="C48" i="105"/>
  <c r="I19" i="152"/>
  <c r="E50" i="47"/>
  <c r="C49" i="47"/>
  <c r="C51" i="10"/>
  <c r="E52" i="10"/>
  <c r="C51" i="31"/>
  <c r="E52" i="31"/>
  <c r="E51" i="22"/>
  <c r="C50" i="22"/>
  <c r="I19" i="127"/>
  <c r="E48" i="30"/>
  <c r="C47" i="30"/>
  <c r="C90" i="24"/>
  <c r="E91" i="24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C47" i="138"/>
  <c r="E48" i="138"/>
  <c r="I19" i="132"/>
  <c r="E52" i="97"/>
  <c r="C51" i="97"/>
  <c r="EO52" i="2"/>
  <c r="I17" i="19"/>
  <c r="E52" i="96"/>
  <c r="C51" i="96"/>
  <c r="I18" i="30"/>
  <c r="C52" i="29"/>
  <c r="E53" i="29"/>
  <c r="E50" i="159"/>
  <c r="C49" i="159"/>
  <c r="I18" i="157"/>
  <c r="I18" i="99"/>
  <c r="I16" i="58"/>
  <c r="E50" i="85"/>
  <c r="C49" i="85"/>
  <c r="E52" i="15"/>
  <c r="C51" i="15"/>
  <c r="BQ54" i="1"/>
  <c r="I18" i="68"/>
  <c r="CX52" i="2"/>
  <c r="C50" i="116"/>
  <c r="E51" i="116"/>
  <c r="I16" i="45"/>
  <c r="E49" i="160"/>
  <c r="C48" i="160"/>
  <c r="C49" i="69"/>
  <c r="E50" i="69"/>
  <c r="E50" i="127"/>
  <c r="C49" i="127"/>
  <c r="I21" i="61"/>
  <c r="I17" i="123"/>
  <c r="I17" i="73"/>
  <c r="I17" i="20"/>
  <c r="C52" i="55"/>
  <c r="FK52" i="2" s="1"/>
  <c r="E53" i="55"/>
  <c r="I21" i="15"/>
  <c r="C49" i="173"/>
  <c r="E50" i="173"/>
  <c r="C51" i="77"/>
  <c r="E52" i="77"/>
  <c r="E52" i="35"/>
  <c r="C51" i="35"/>
  <c r="C51" i="145"/>
  <c r="E52" i="145"/>
  <c r="I17" i="4"/>
  <c r="C52" i="143"/>
  <c r="E53" i="143"/>
  <c r="E53" i="6"/>
  <c r="C52" i="6"/>
  <c r="CA53" i="1"/>
  <c r="E51" i="129"/>
  <c r="C50" i="129"/>
  <c r="DS51" i="2"/>
  <c r="E50" i="171"/>
  <c r="C49" i="171"/>
  <c r="E51" i="19"/>
  <c r="C50" i="19"/>
  <c r="E52" i="36"/>
  <c r="C51" i="36"/>
  <c r="E48" i="156"/>
  <c r="C47" i="15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E51" i="74"/>
  <c r="C50" i="74"/>
  <c r="I17" i="86"/>
  <c r="E51" i="16"/>
  <c r="C50" i="16"/>
  <c r="I19" i="98"/>
  <c r="I16" i="160"/>
  <c r="I18" i="165"/>
  <c r="I18" i="129"/>
  <c r="I17" i="108"/>
  <c r="I16" i="112"/>
  <c r="E50" i="106"/>
  <c r="C49" i="106"/>
  <c r="I19" i="136"/>
  <c r="I16" i="47"/>
  <c r="E50" i="168"/>
  <c r="C49" i="168"/>
  <c r="I17" i="169"/>
  <c r="E53" i="100"/>
  <c r="C52" i="100"/>
  <c r="I18" i="37"/>
  <c r="C50" i="150"/>
  <c r="E51" i="150"/>
  <c r="I16" i="11"/>
  <c r="I17" i="121"/>
  <c r="E48" i="32"/>
  <c r="C47" i="32"/>
  <c r="C50" i="112"/>
  <c r="E51" i="112"/>
  <c r="C48" i="45"/>
  <c r="E49" i="45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C50" i="139"/>
  <c r="E51" i="139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C48" i="59"/>
  <c r="E49" i="59"/>
  <c r="E52" i="122"/>
  <c r="C51" i="122"/>
  <c r="E51" i="128"/>
  <c r="C50" i="128"/>
  <c r="E52" i="78"/>
  <c r="C51" i="78"/>
  <c r="E52" i="164"/>
  <c r="C51" i="164"/>
  <c r="I17" i="119"/>
  <c r="E49" i="102"/>
  <c r="C48" i="102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IU52" i="2"/>
  <c r="EP53" i="2"/>
  <c r="I18" i="124"/>
  <c r="I16" i="81"/>
  <c r="C48" i="43"/>
  <c r="E49" i="43"/>
  <c r="I21" i="134"/>
  <c r="I17" i="39"/>
  <c r="I16" i="147"/>
  <c r="E50" i="51"/>
  <c r="C49" i="51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E51" i="161"/>
  <c r="C50" i="161"/>
  <c r="C52" i="28"/>
  <c r="E53" i="28"/>
  <c r="E51" i="167"/>
  <c r="C50" i="167"/>
  <c r="I18" i="72"/>
  <c r="E50" i="141"/>
  <c r="C49" i="141"/>
  <c r="C50" i="5"/>
  <c r="E51" i="5"/>
  <c r="E51" i="148"/>
  <c r="C50" i="148"/>
  <c r="X53" i="1"/>
  <c r="CM52" i="2" l="1"/>
  <c r="GS52" i="2"/>
  <c r="FL52" i="2"/>
  <c r="I18" i="49"/>
  <c r="I17" i="69"/>
  <c r="I19" i="118"/>
  <c r="E50" i="129"/>
  <c r="C49" i="129"/>
  <c r="DS50" i="2"/>
  <c r="I19" i="30"/>
  <c r="C49" i="60"/>
  <c r="E50" i="60"/>
  <c r="CM53" i="2"/>
  <c r="E52" i="152"/>
  <c r="C51" i="152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C46" i="157"/>
  <c r="E47" i="157"/>
  <c r="EE53" i="2"/>
  <c r="I18" i="86"/>
  <c r="CB53" i="1"/>
  <c r="C47" i="105"/>
  <c r="E48" i="105"/>
  <c r="I21" i="94"/>
  <c r="C48" i="124"/>
  <c r="E49" i="124"/>
  <c r="FW53" i="2"/>
  <c r="E52" i="158"/>
  <c r="C51" i="158"/>
  <c r="C49" i="130"/>
  <c r="E50" i="130"/>
  <c r="I17" i="141"/>
  <c r="I18" i="3"/>
  <c r="E52" i="109"/>
  <c r="C51" i="109"/>
  <c r="ED52" i="2"/>
  <c r="E50" i="74"/>
  <c r="C49" i="74"/>
  <c r="C51" i="6"/>
  <c r="E52" i="6"/>
  <c r="CA52" i="1"/>
  <c r="C47" i="160"/>
  <c r="E48" i="160"/>
  <c r="I17" i="55"/>
  <c r="E51" i="108"/>
  <c r="C50" i="108"/>
  <c r="E52" i="42"/>
  <c r="C51" i="42"/>
  <c r="FV52" i="2"/>
  <c r="I18" i="87"/>
  <c r="E52" i="50"/>
  <c r="C51" i="50"/>
  <c r="AT52" i="2"/>
  <c r="E50" i="118"/>
  <c r="C49" i="118"/>
  <c r="C49" i="25"/>
  <c r="E50" i="25"/>
  <c r="E50" i="150"/>
  <c r="C49" i="150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E47" i="146"/>
  <c r="C46" i="146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C48" i="120"/>
  <c r="E49" i="120"/>
  <c r="I19" i="92"/>
  <c r="I19" i="158"/>
  <c r="I20" i="172"/>
  <c r="I21" i="22"/>
  <c r="C49" i="65"/>
  <c r="E50" i="65"/>
  <c r="E51" i="95"/>
  <c r="C50" i="95"/>
  <c r="C48" i="62"/>
  <c r="E49" i="62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E45" i="98"/>
  <c r="C44" i="98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CL51" i="2"/>
  <c r="I18" i="57"/>
  <c r="I22" i="134"/>
  <c r="E50" i="75"/>
  <c r="C49" i="75"/>
  <c r="I22" i="12"/>
  <c r="E49" i="61"/>
  <c r="C48" i="61"/>
  <c r="FA52" i="2"/>
  <c r="C49" i="144"/>
  <c r="E50" i="144"/>
  <c r="I18" i="56"/>
  <c r="I22" i="74"/>
  <c r="E52" i="155"/>
  <c r="C51" i="155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Z51" i="2"/>
  <c r="E49" i="123"/>
  <c r="C48" i="123"/>
  <c r="I18" i="104"/>
  <c r="C44" i="82"/>
  <c r="E45" i="82"/>
  <c r="I18" i="106"/>
  <c r="I20" i="78"/>
  <c r="I18" i="151"/>
  <c r="E49" i="168"/>
  <c r="C48" i="168"/>
  <c r="E51" i="35"/>
  <c r="C50" i="35"/>
  <c r="CB53" i="2"/>
  <c r="I18" i="138"/>
  <c r="I20" i="117"/>
  <c r="I17" i="125"/>
  <c r="I18" i="153"/>
  <c r="I19" i="68"/>
  <c r="C46" i="138"/>
  <c r="E47" i="138"/>
  <c r="I17" i="146"/>
  <c r="I17" i="40"/>
  <c r="E49" i="26"/>
  <c r="C48" i="26"/>
  <c r="I17" i="90"/>
  <c r="I21" i="71"/>
  <c r="I17" i="96"/>
  <c r="I17" i="95"/>
  <c r="E48" i="102"/>
  <c r="C47" i="102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C48" i="149"/>
  <c r="E49" i="149"/>
  <c r="I17" i="34"/>
  <c r="I19" i="23"/>
  <c r="I17" i="110"/>
  <c r="E49" i="73"/>
  <c r="C48" i="73"/>
  <c r="I21" i="59"/>
  <c r="I20" i="77"/>
  <c r="I21" i="42"/>
  <c r="C48" i="106"/>
  <c r="E49" i="106"/>
  <c r="I17" i="100"/>
  <c r="E49" i="173"/>
  <c r="C48" i="173"/>
  <c r="C48" i="85"/>
  <c r="E49" i="85"/>
  <c r="C51" i="174"/>
  <c r="E52" i="174"/>
  <c r="DI52" i="2"/>
  <c r="Y53" i="2"/>
  <c r="I18" i="154"/>
  <c r="C48" i="40"/>
  <c r="E49" i="40"/>
  <c r="I18" i="39"/>
  <c r="I17" i="130"/>
  <c r="C89" i="24"/>
  <c r="E90" i="24"/>
  <c r="I22" i="145"/>
  <c r="E50" i="67"/>
  <c r="C49" i="67"/>
  <c r="E48" i="165"/>
  <c r="C47" i="165"/>
  <c r="I20" i="51"/>
  <c r="N53" i="1"/>
  <c r="E52" i="27"/>
  <c r="C51" i="27"/>
  <c r="I19" i="93"/>
  <c r="I17" i="65"/>
  <c r="E48" i="43"/>
  <c r="C47" i="43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E49" i="51"/>
  <c r="C48" i="51"/>
  <c r="I17" i="47"/>
  <c r="E50" i="99"/>
  <c r="C49" i="99"/>
  <c r="I22" i="46"/>
  <c r="HD53" i="2"/>
  <c r="C49" i="64"/>
  <c r="E50" i="64"/>
  <c r="E49" i="84"/>
  <c r="C48" i="84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C49" i="103"/>
  <c r="E50" i="103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C46" i="156"/>
  <c r="E47" i="156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E49" i="72"/>
  <c r="C48" i="72"/>
  <c r="I18" i="53"/>
  <c r="E50" i="167"/>
  <c r="C49" i="167"/>
  <c r="C50" i="162"/>
  <c r="E51" i="162"/>
  <c r="I20" i="26"/>
  <c r="I20" i="16"/>
  <c r="E48" i="59"/>
  <c r="C47" i="59"/>
  <c r="I22" i="75"/>
  <c r="E48" i="45"/>
  <c r="C47" i="45"/>
  <c r="E51" i="36"/>
  <c r="C50" i="36"/>
  <c r="I18" i="73"/>
  <c r="CA52" i="2"/>
  <c r="E51" i="33"/>
  <c r="C50" i="33"/>
  <c r="M51" i="2"/>
  <c r="I19" i="173"/>
  <c r="I20" i="29"/>
  <c r="C50" i="41"/>
  <c r="E51" i="41"/>
  <c r="I19" i="41"/>
  <c r="I19" i="72"/>
  <c r="I19" i="165"/>
  <c r="I18" i="123"/>
  <c r="C48" i="159"/>
  <c r="E49" i="159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49" i="161"/>
  <c r="E50" i="161"/>
  <c r="C51" i="107"/>
  <c r="E52" i="107"/>
  <c r="I18" i="111"/>
  <c r="E52" i="121"/>
  <c r="C51" i="121"/>
  <c r="E51" i="154"/>
  <c r="C50" i="154"/>
  <c r="IJ51" i="2"/>
  <c r="C46" i="87"/>
  <c r="E47" i="87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C46" i="32"/>
  <c r="E47" i="32"/>
  <c r="E49" i="171"/>
  <c r="C48" i="171"/>
  <c r="I22" i="61"/>
  <c r="E51" i="10"/>
  <c r="C50" i="10"/>
  <c r="AI52" i="2"/>
  <c r="I20" i="101"/>
  <c r="GS53" i="2"/>
  <c r="I19" i="25"/>
  <c r="I18" i="80"/>
  <c r="IU51" i="2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BE51" i="2" s="1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CW50" i="2"/>
  <c r="I17" i="120"/>
  <c r="C49" i="139"/>
  <c r="E50" i="139"/>
  <c r="E50" i="16"/>
  <c r="C49" i="16"/>
  <c r="DT51" i="2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CB51" i="2" l="1"/>
  <c r="EP51" i="2"/>
  <c r="BF51" i="2"/>
  <c r="FL51" i="2"/>
  <c r="E48" i="171"/>
  <c r="C47" i="171"/>
  <c r="I19" i="123"/>
  <c r="I18" i="171"/>
  <c r="I21" i="127"/>
  <c r="C49" i="20"/>
  <c r="E50" i="20"/>
  <c r="E89" i="24"/>
  <c r="C88" i="24"/>
  <c r="I20" i="124"/>
  <c r="E48" i="26"/>
  <c r="C47" i="26"/>
  <c r="E44" i="82"/>
  <c r="C43" i="82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C45" i="146"/>
  <c r="E46" i="146"/>
  <c r="E51" i="42"/>
  <c r="C50" i="42"/>
  <c r="FV51" i="2"/>
  <c r="E47" i="105"/>
  <c r="C46" i="105"/>
  <c r="I19" i="131"/>
  <c r="I18" i="40"/>
  <c r="C47" i="123"/>
  <c r="E48" i="123"/>
  <c r="I21" i="98"/>
  <c r="C49" i="133"/>
  <c r="E50" i="133"/>
  <c r="DH50" i="2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8" i="61"/>
  <c r="C47" i="61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HY50" i="2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C47" i="72"/>
  <c r="E48" i="72"/>
  <c r="I18" i="147"/>
  <c r="E48" i="40"/>
  <c r="C47" i="40"/>
  <c r="C49" i="88"/>
  <c r="E50" i="88"/>
  <c r="I18" i="55"/>
  <c r="HZ51" i="2"/>
  <c r="E49" i="139"/>
  <c r="C48" i="139"/>
  <c r="E49" i="161"/>
  <c r="C48" i="161"/>
  <c r="HZ52" i="2"/>
  <c r="I18" i="120"/>
  <c r="I21" i="128"/>
  <c r="BF52" i="2"/>
  <c r="E48" i="84"/>
  <c r="C47" i="84"/>
  <c r="I18" i="58"/>
  <c r="I19" i="154"/>
  <c r="E48" i="149"/>
  <c r="C47" i="149"/>
  <c r="I37" i="150"/>
  <c r="C45" i="138"/>
  <c r="E46" i="138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44" i="98"/>
  <c r="C43" i="98"/>
  <c r="E51" i="152"/>
  <c r="C50" i="152"/>
  <c r="I18" i="64"/>
  <c r="C49" i="48"/>
  <c r="E50" i="48"/>
  <c r="I20" i="92"/>
  <c r="I19" i="168"/>
  <c r="C46" i="160"/>
  <c r="E47" i="160"/>
  <c r="C45" i="157"/>
  <c r="E46" i="157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X50" i="2"/>
  <c r="C48" i="4"/>
  <c r="E49" i="4"/>
  <c r="I21" i="29"/>
  <c r="E49" i="64"/>
  <c r="C48" i="64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48" i="120"/>
  <c r="C47" i="120"/>
  <c r="E51" i="90"/>
  <c r="C50" i="90"/>
  <c r="I18" i="43"/>
  <c r="E49" i="5"/>
  <c r="C48" i="5"/>
  <c r="I18" i="38"/>
  <c r="I18" i="143"/>
  <c r="I20" i="173"/>
  <c r="E47" i="43"/>
  <c r="C46" i="4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C48" i="74"/>
  <c r="E49" i="74"/>
  <c r="E49" i="60"/>
  <c r="C48" i="60"/>
  <c r="I19" i="52"/>
  <c r="C49" i="33"/>
  <c r="E50" i="33"/>
  <c r="M50" i="2"/>
  <c r="N52" i="2"/>
  <c r="C48" i="103"/>
  <c r="E49" i="103"/>
  <c r="C50" i="174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E46" i="32"/>
  <c r="C45" i="32"/>
  <c r="CB52" i="2"/>
  <c r="I20" i="93"/>
  <c r="C47" i="85"/>
  <c r="E48" i="85"/>
  <c r="I19" i="116"/>
  <c r="E50" i="38"/>
  <c r="C49" i="38"/>
  <c r="E51" i="109"/>
  <c r="C50" i="109"/>
  <c r="ED51" i="2"/>
  <c r="I19" i="162"/>
  <c r="DT50" i="2"/>
  <c r="C48" i="83"/>
  <c r="E49" i="83"/>
  <c r="E46" i="156"/>
  <c r="C45" i="156"/>
  <c r="I19" i="85"/>
  <c r="I19" i="138"/>
  <c r="I19" i="169"/>
  <c r="E50" i="119"/>
  <c r="C49" i="119"/>
  <c r="E49" i="113"/>
  <c r="C48" i="113"/>
  <c r="E49" i="129"/>
  <c r="C48" i="129"/>
  <c r="DS49" i="2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C47" i="173"/>
  <c r="E48" i="173"/>
  <c r="I21" i="136"/>
  <c r="I19" i="3"/>
  <c r="C49" i="132"/>
  <c r="E50" i="132"/>
  <c r="I19" i="73"/>
  <c r="BQ52" i="1"/>
  <c r="C47" i="51"/>
  <c r="E48" i="5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CA50" i="2"/>
  <c r="E50" i="89"/>
  <c r="C49" i="89"/>
  <c r="HN50" i="2"/>
  <c r="AU52" i="1"/>
  <c r="E49" i="19"/>
  <c r="C48" i="19"/>
  <c r="I20" i="66"/>
  <c r="C49" i="36"/>
  <c r="CW49" i="2" s="1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C46" i="102"/>
  <c r="E47" i="102"/>
  <c r="I19" i="33"/>
  <c r="I18" i="45"/>
  <c r="E49" i="150"/>
  <c r="C48" i="150"/>
  <c r="I18" i="141"/>
  <c r="I22" i="27"/>
  <c r="I18" i="130"/>
  <c r="I19" i="20"/>
  <c r="C46" i="45"/>
  <c r="E47" i="45"/>
  <c r="C50" i="172"/>
  <c r="E51" i="172"/>
  <c r="I20" i="28"/>
  <c r="C49" i="164"/>
  <c r="E50" i="164"/>
  <c r="E48" i="168"/>
  <c r="C47" i="168"/>
  <c r="C50" i="53"/>
  <c r="E51" i="53"/>
  <c r="I23" i="133"/>
  <c r="E50" i="142"/>
  <c r="C49" i="142"/>
  <c r="I18" i="69"/>
  <c r="I18" i="17"/>
  <c r="C49" i="70"/>
  <c r="E50" i="70"/>
  <c r="I22" i="14"/>
  <c r="I21" i="51"/>
  <c r="C47" i="106"/>
  <c r="E48" i="106"/>
  <c r="I19" i="155"/>
  <c r="I18" i="95"/>
  <c r="I19" i="114"/>
  <c r="BQ52" i="2"/>
  <c r="C48" i="130"/>
  <c r="E49" i="130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C46" i="165"/>
  <c r="E47" i="165"/>
  <c r="I22" i="42"/>
  <c r="E50" i="114"/>
  <c r="C49" i="114"/>
  <c r="I19" i="151"/>
  <c r="E51" i="52"/>
  <c r="C50" i="52"/>
  <c r="BP51" i="2"/>
  <c r="C49" i="21"/>
  <c r="E50" i="21"/>
  <c r="E51" i="143"/>
  <c r="C50" i="143"/>
  <c r="E49" i="25"/>
  <c r="C48" i="25"/>
  <c r="E51" i="158"/>
  <c r="C50" i="158"/>
  <c r="GR50" i="2" s="1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C48" i="118"/>
  <c r="E49" i="118"/>
  <c r="I23" i="7"/>
  <c r="E50" i="101"/>
  <c r="C49" i="101"/>
  <c r="E47" i="34"/>
  <c r="C46" i="34"/>
  <c r="I21" i="101"/>
  <c r="I20" i="149"/>
  <c r="AJ52" i="2"/>
  <c r="E46" i="87"/>
  <c r="C45" i="87"/>
  <c r="I19" i="103"/>
  <c r="I20" i="167"/>
  <c r="E47" i="59"/>
  <c r="C46" i="59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FK50" i="2" s="1"/>
  <c r="C48" i="68"/>
  <c r="E49" i="68"/>
  <c r="I18" i="35"/>
  <c r="E51" i="12"/>
  <c r="C50" i="12"/>
  <c r="X51" i="2"/>
  <c r="M51" i="1"/>
  <c r="I21" i="77"/>
  <c r="E51" i="170"/>
  <c r="C50" i="170"/>
  <c r="AI50" i="2" s="1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8" i="159"/>
  <c r="C47" i="159"/>
  <c r="E46" i="166"/>
  <c r="C45" i="166"/>
  <c r="C47" i="141"/>
  <c r="E48" i="141"/>
  <c r="E50" i="71"/>
  <c r="C49" i="71"/>
  <c r="I23" i="145"/>
  <c r="I22" i="59"/>
  <c r="I21" i="164"/>
  <c r="I19" i="70"/>
  <c r="I19" i="106"/>
  <c r="C47" i="62"/>
  <c r="E48" i="62"/>
  <c r="C47" i="124"/>
  <c r="E48" i="124"/>
  <c r="I18" i="11"/>
  <c r="I23" i="61"/>
  <c r="E51" i="121"/>
  <c r="C50" i="121"/>
  <c r="CX51" i="2"/>
  <c r="I21" i="26"/>
  <c r="C47" i="73"/>
  <c r="E48" i="73"/>
  <c r="C49" i="147"/>
  <c r="E50" i="147"/>
  <c r="I18" i="90"/>
  <c r="I19" i="56"/>
  <c r="C49" i="95"/>
  <c r="E50" i="95"/>
  <c r="I21" i="135"/>
  <c r="E51" i="46"/>
  <c r="C50" i="46"/>
  <c r="AI51" i="1"/>
  <c r="GS50" i="2" l="1"/>
  <c r="CX49" i="2"/>
  <c r="FL50" i="2"/>
  <c r="AJ50" i="2"/>
  <c r="GS51" i="2"/>
  <c r="I20" i="155"/>
  <c r="C49" i="8"/>
  <c r="E50" i="8"/>
  <c r="HC50" i="2"/>
  <c r="BP50" i="1"/>
  <c r="I20" i="126"/>
  <c r="C48" i="125"/>
  <c r="E49" i="125"/>
  <c r="C42" i="98"/>
  <c r="E43" i="98"/>
  <c r="E49" i="134"/>
  <c r="C48" i="134"/>
  <c r="EZ49" i="2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U49" i="2"/>
  <c r="I19" i="130"/>
  <c r="C49" i="14"/>
  <c r="E50" i="14"/>
  <c r="I24" i="75"/>
  <c r="I23" i="27"/>
  <c r="C49" i="12"/>
  <c r="E50" i="12"/>
  <c r="M50" i="1"/>
  <c r="X50" i="2"/>
  <c r="C45" i="59"/>
  <c r="E46" i="59"/>
  <c r="E47" i="106"/>
  <c r="C46" i="106"/>
  <c r="I19" i="148"/>
  <c r="C46" i="39"/>
  <c r="E47" i="39"/>
  <c r="C49" i="174"/>
  <c r="E50" i="174"/>
  <c r="CB51" i="1"/>
  <c r="C47" i="54"/>
  <c r="E48" i="54"/>
  <c r="I22" i="122"/>
  <c r="I19" i="55"/>
  <c r="E45" i="146"/>
  <c r="C44" i="146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E48" i="103"/>
  <c r="C47" i="103"/>
  <c r="C49" i="6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C47" i="150"/>
  <c r="E48" i="150"/>
  <c r="E50" i="92"/>
  <c r="C49" i="92"/>
  <c r="I24" i="12"/>
  <c r="E43" i="82"/>
  <c r="C42" i="82"/>
  <c r="I21" i="167"/>
  <c r="I23" i="59"/>
  <c r="E49" i="162"/>
  <c r="C48" i="162"/>
  <c r="AU51" i="1"/>
  <c r="I23" i="14"/>
  <c r="E48" i="19"/>
  <c r="C47" i="19"/>
  <c r="C46" i="51"/>
  <c r="E47" i="51"/>
  <c r="I20" i="116"/>
  <c r="E49" i="79"/>
  <c r="C48" i="79"/>
  <c r="I21" i="68"/>
  <c r="E49" i="88"/>
  <c r="C48" i="88"/>
  <c r="I22" i="142"/>
  <c r="I20" i="121"/>
  <c r="I22" i="62"/>
  <c r="E50" i="7"/>
  <c r="C49" i="7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E45" i="87"/>
  <c r="C44" i="87"/>
  <c r="I20" i="49"/>
  <c r="E49" i="70"/>
  <c r="C48" i="70"/>
  <c r="I19" i="45"/>
  <c r="E47" i="85"/>
  <c r="C46" i="85"/>
  <c r="C49" i="58"/>
  <c r="CA49" i="2" s="1"/>
  <c r="E50" i="58"/>
  <c r="C44" i="138"/>
  <c r="E45" i="13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DT49" i="2"/>
  <c r="I21" i="93"/>
  <c r="I20" i="52"/>
  <c r="I20" i="119"/>
  <c r="I38" i="150"/>
  <c r="I23" i="22"/>
  <c r="I20" i="144"/>
  <c r="I21" i="124"/>
  <c r="I21" i="157"/>
  <c r="I21" i="10"/>
  <c r="E48" i="9"/>
  <c r="C47" i="9"/>
  <c r="C46" i="149"/>
  <c r="E47" i="149"/>
  <c r="I19" i="147"/>
  <c r="I20" i="53"/>
  <c r="I22" i="156"/>
  <c r="E88" i="24"/>
  <c r="C87" i="24"/>
  <c r="I20" i="76"/>
  <c r="E46" i="102"/>
  <c r="C45" i="102"/>
  <c r="E48" i="60"/>
  <c r="C47" i="60"/>
  <c r="I19" i="125"/>
  <c r="E49" i="153"/>
  <c r="C48" i="153"/>
  <c r="I22" i="152"/>
  <c r="N51" i="1"/>
  <c r="I19" i="102"/>
  <c r="C47" i="129"/>
  <c r="E48" i="129"/>
  <c r="DS48" i="2"/>
  <c r="I21" i="149"/>
  <c r="I20" i="80"/>
  <c r="E46" i="43"/>
  <c r="C45" i="43"/>
  <c r="I20" i="84"/>
  <c r="E47" i="72"/>
  <c r="C46" i="72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E48" i="25"/>
  <c r="C47" i="25"/>
  <c r="C44" i="32"/>
  <c r="E45" i="32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C47" i="74"/>
  <c r="E48" i="74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C46" i="73"/>
  <c r="E47" i="73"/>
  <c r="C46" i="159"/>
  <c r="E47" i="159"/>
  <c r="I21" i="37"/>
  <c r="I23" i="24"/>
  <c r="C47" i="18"/>
  <c r="E48" i="18"/>
  <c r="I20" i="97"/>
  <c r="C48" i="44"/>
  <c r="E49" i="44"/>
  <c r="E48" i="64"/>
  <c r="C47" i="64"/>
  <c r="E47" i="84"/>
  <c r="C46" i="84"/>
  <c r="I23" i="82"/>
  <c r="E47" i="86"/>
  <c r="C46" i="86"/>
  <c r="DI50" i="2"/>
  <c r="E48" i="144"/>
  <c r="C47" i="144"/>
  <c r="I19" i="171"/>
  <c r="I19" i="90"/>
  <c r="C48" i="21"/>
  <c r="E49" i="21"/>
  <c r="E50" i="53"/>
  <c r="C49" i="53"/>
  <c r="BE49" i="2" s="1"/>
  <c r="I20" i="169"/>
  <c r="I20" i="111"/>
  <c r="I19" i="143"/>
  <c r="C44" i="157"/>
  <c r="E45" i="157"/>
  <c r="BE50" i="2"/>
  <c r="I22" i="9"/>
  <c r="I22" i="135"/>
  <c r="I22" i="16"/>
  <c r="E47" i="141"/>
  <c r="C46" i="141"/>
  <c r="I21" i="23"/>
  <c r="I21" i="18"/>
  <c r="E47" i="173"/>
  <c r="C46" i="173"/>
  <c r="I20" i="138"/>
  <c r="I20" i="5"/>
  <c r="I20" i="57"/>
  <c r="I19" i="38"/>
  <c r="I22" i="29"/>
  <c r="C48" i="41"/>
  <c r="E49" i="41"/>
  <c r="E49" i="133"/>
  <c r="C48" i="133"/>
  <c r="DH49" i="2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AI49" i="1"/>
  <c r="C45" i="160"/>
  <c r="E46" i="160"/>
  <c r="I22" i="128"/>
  <c r="I22" i="98"/>
  <c r="I19" i="110"/>
  <c r="C46" i="171"/>
  <c r="E47" i="171"/>
  <c r="C49" i="100"/>
  <c r="E50" i="100"/>
  <c r="Y51" i="1"/>
  <c r="I19" i="96"/>
  <c r="C49" i="29"/>
  <c r="X49" i="1" s="1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C47" i="118"/>
  <c r="E48" i="118"/>
  <c r="I20" i="151"/>
  <c r="I21" i="118"/>
  <c r="I19" i="47"/>
  <c r="E45" i="156"/>
  <c r="C44" i="156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E48" i="130"/>
  <c r="C47" i="130"/>
  <c r="I21" i="28"/>
  <c r="E49" i="23"/>
  <c r="C48" i="23"/>
  <c r="I19" i="43"/>
  <c r="I21" i="92"/>
  <c r="C49" i="3"/>
  <c r="E50" i="3"/>
  <c r="I21" i="113"/>
  <c r="C49" i="158"/>
  <c r="E50" i="158"/>
  <c r="BQ51" i="2"/>
  <c r="C46" i="168"/>
  <c r="E47" i="168"/>
  <c r="I22" i="132"/>
  <c r="E48" i="67"/>
  <c r="C47" i="67"/>
  <c r="C49" i="136"/>
  <c r="E50" i="136"/>
  <c r="I24" i="61"/>
  <c r="I22" i="78"/>
  <c r="I19" i="174"/>
  <c r="I21" i="159"/>
  <c r="E49" i="145"/>
  <c r="C48" i="145"/>
  <c r="CW48" i="2" s="1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E46" i="45"/>
  <c r="C45" i="45"/>
  <c r="I21" i="99"/>
  <c r="EO50" i="2"/>
  <c r="I21" i="129"/>
  <c r="C48" i="63"/>
  <c r="E49" i="63"/>
  <c r="I19" i="8"/>
  <c r="E47" i="120"/>
  <c r="C46" i="120"/>
  <c r="E48" i="81"/>
  <c r="C47" i="81"/>
  <c r="C47" i="161"/>
  <c r="E48" i="161"/>
  <c r="E46" i="105"/>
  <c r="C45" i="105"/>
  <c r="I21" i="165"/>
  <c r="I20" i="103"/>
  <c r="C48" i="71"/>
  <c r="E49" i="71"/>
  <c r="E47" i="124"/>
  <c r="C46" i="124"/>
  <c r="E46" i="165"/>
  <c r="C45" i="165"/>
  <c r="I20" i="20"/>
  <c r="E49" i="97"/>
  <c r="C48" i="97"/>
  <c r="EO49" i="2"/>
  <c r="E49" i="77"/>
  <c r="C48" i="77"/>
  <c r="I19" i="64"/>
  <c r="I20" i="86"/>
  <c r="C46" i="61"/>
  <c r="E47" i="61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E48" i="139"/>
  <c r="C47" i="139"/>
  <c r="FA50" i="2"/>
  <c r="FW51" i="2"/>
  <c r="AU51" i="2"/>
  <c r="I20" i="70"/>
  <c r="E47" i="62"/>
  <c r="C46" i="62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CB49" i="2" l="1"/>
  <c r="BF49" i="2"/>
  <c r="CX48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E47" i="118"/>
  <c r="C46" i="118"/>
  <c r="I20" i="105"/>
  <c r="C45" i="84"/>
  <c r="E46" i="84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C45" i="51"/>
  <c r="E46" i="51"/>
  <c r="I21" i="4"/>
  <c r="E47" i="75"/>
  <c r="C46" i="75"/>
  <c r="I25" i="75"/>
  <c r="I23" i="132"/>
  <c r="I25" i="145"/>
  <c r="I22" i="99"/>
  <c r="C46" i="81"/>
  <c r="E47" i="81"/>
  <c r="E46" i="171"/>
  <c r="C45" i="171"/>
  <c r="E46" i="62"/>
  <c r="C45" i="62"/>
  <c r="E49" i="28"/>
  <c r="C48" i="28"/>
  <c r="E46" i="120"/>
  <c r="C45" i="120"/>
  <c r="I21" i="19"/>
  <c r="I20" i="91"/>
  <c r="I25" i="61"/>
  <c r="I21" i="170"/>
  <c r="I20" i="110"/>
  <c r="I20" i="100"/>
  <c r="I23" i="16"/>
  <c r="E47" i="64"/>
  <c r="C46" i="64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C46" i="60"/>
  <c r="E47" i="60"/>
  <c r="I21" i="52"/>
  <c r="I20" i="81"/>
  <c r="E48" i="38"/>
  <c r="C47" i="38"/>
  <c r="E49" i="14"/>
  <c r="C48" i="14"/>
  <c r="EP49" i="2"/>
  <c r="E49" i="152"/>
  <c r="C48" i="152"/>
  <c r="I21" i="20"/>
  <c r="E46" i="61"/>
  <c r="C45" i="61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C44" i="102"/>
  <c r="E45" i="102"/>
  <c r="I21" i="87"/>
  <c r="FA49" i="2"/>
  <c r="I21" i="97"/>
  <c r="I25" i="133"/>
  <c r="E48" i="132"/>
  <c r="C47" i="132"/>
  <c r="I22" i="93"/>
  <c r="C44" i="131"/>
  <c r="E45" i="131"/>
  <c r="E44" i="146"/>
  <c r="C43" i="146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E44" i="157"/>
  <c r="C43" i="157"/>
  <c r="C47" i="147"/>
  <c r="E48" i="147"/>
  <c r="E87" i="24"/>
  <c r="C86" i="24"/>
  <c r="C48" i="49"/>
  <c r="E49" i="49"/>
  <c r="I23" i="89"/>
  <c r="C47" i="15"/>
  <c r="E48" i="15"/>
  <c r="E42" i="98"/>
  <c r="C41" i="98"/>
  <c r="AJ49" i="1"/>
  <c r="E48" i="133"/>
  <c r="C47" i="133"/>
  <c r="DH48" i="2"/>
  <c r="E47" i="139"/>
  <c r="C46" i="139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C45" i="72"/>
  <c r="E46" i="72"/>
  <c r="I23" i="156"/>
  <c r="E46" i="163"/>
  <c r="C45" i="163"/>
  <c r="IV50" i="2"/>
  <c r="I21" i="126"/>
  <c r="C48" i="107"/>
  <c r="E49" i="107"/>
  <c r="FW50" i="2"/>
  <c r="C48" i="91"/>
  <c r="E49" i="91"/>
  <c r="E45" i="45"/>
  <c r="C44" i="45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E42" i="82"/>
  <c r="C41" i="82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C43" i="32"/>
  <c r="E44" i="32"/>
  <c r="E45" i="43"/>
  <c r="C44" i="43"/>
  <c r="I20" i="147"/>
  <c r="E47" i="103"/>
  <c r="C46" i="103"/>
  <c r="HO49" i="2"/>
  <c r="C46" i="16"/>
  <c r="E47" i="16"/>
  <c r="C46" i="4"/>
  <c r="E47" i="4"/>
  <c r="I20" i="38"/>
  <c r="E46" i="159"/>
  <c r="C45" i="159"/>
  <c r="C47" i="142"/>
  <c r="E48" i="142"/>
  <c r="E47" i="25"/>
  <c r="C46" i="25"/>
  <c r="I24" i="32"/>
  <c r="C43" i="138"/>
  <c r="E44" i="138"/>
  <c r="I25" i="12"/>
  <c r="E49" i="174"/>
  <c r="C48" i="174"/>
  <c r="I20" i="163"/>
  <c r="C48" i="8"/>
  <c r="E49" i="8"/>
  <c r="HC49" i="2"/>
  <c r="BP49" i="1"/>
  <c r="I21" i="85"/>
  <c r="I21" i="57"/>
  <c r="E46" i="149"/>
  <c r="C45" i="149"/>
  <c r="I23" i="62"/>
  <c r="E49" i="92"/>
  <c r="C48" i="92"/>
  <c r="HN48" i="2" s="1"/>
  <c r="I20" i="65"/>
  <c r="E46" i="168"/>
  <c r="C45" i="168"/>
  <c r="I21" i="153"/>
  <c r="IJ49" i="2"/>
  <c r="E48" i="89"/>
  <c r="C47" i="89"/>
  <c r="E49" i="3"/>
  <c r="C48" i="3"/>
  <c r="I20" i="69"/>
  <c r="E48" i="21"/>
  <c r="C47" i="21"/>
  <c r="E46" i="73"/>
  <c r="C45" i="73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E46" i="85"/>
  <c r="C45" i="85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C46" i="150"/>
  <c r="E47" i="15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DT48" i="2"/>
  <c r="I22" i="115"/>
  <c r="I23" i="142"/>
  <c r="C45" i="106"/>
  <c r="E46" i="106"/>
  <c r="C44" i="165"/>
  <c r="E45" i="165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E45" i="160"/>
  <c r="C44" i="160"/>
  <c r="I20" i="166"/>
  <c r="I20" i="96"/>
  <c r="I22" i="72"/>
  <c r="E47" i="144"/>
  <c r="C46" i="144"/>
  <c r="I20" i="58"/>
  <c r="I20" i="140"/>
  <c r="E47" i="129"/>
  <c r="C46" i="129"/>
  <c r="DS47" i="2"/>
  <c r="I22" i="157"/>
  <c r="C47" i="70"/>
  <c r="E48" i="70"/>
  <c r="E48" i="88"/>
  <c r="C47" i="88"/>
  <c r="FK48" i="2"/>
  <c r="I23" i="172"/>
  <c r="I22" i="165"/>
  <c r="E48" i="117"/>
  <c r="C47" i="117"/>
  <c r="I22" i="124"/>
  <c r="M49" i="2"/>
  <c r="C46" i="116"/>
  <c r="E47" i="116"/>
  <c r="I22" i="66"/>
  <c r="C44" i="59"/>
  <c r="E45" i="59"/>
  <c r="I21" i="54"/>
  <c r="BQ50" i="2"/>
  <c r="E46" i="173"/>
  <c r="C45" i="173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C44" i="105"/>
  <c r="E45" i="105"/>
  <c r="I22" i="30"/>
  <c r="C47" i="78"/>
  <c r="E48" i="78"/>
  <c r="C46" i="128"/>
  <c r="E47" i="128"/>
  <c r="I21" i="154"/>
  <c r="I21" i="144"/>
  <c r="C47" i="33"/>
  <c r="E48" i="33"/>
  <c r="M48" i="2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E44" i="87"/>
  <c r="C43" i="87"/>
  <c r="C47" i="79"/>
  <c r="E48" i="79"/>
  <c r="I23" i="51"/>
  <c r="AU50" i="2"/>
  <c r="I21" i="103"/>
  <c r="I20" i="43"/>
  <c r="E44" i="156"/>
  <c r="C43" i="156"/>
  <c r="E49" i="29"/>
  <c r="C48" i="29"/>
  <c r="X48" i="1" s="1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C46" i="94"/>
  <c r="E47" i="94"/>
  <c r="I23" i="152"/>
  <c r="I21" i="21"/>
  <c r="E47" i="126"/>
  <c r="C46" i="126"/>
  <c r="C48" i="12"/>
  <c r="E49" i="12"/>
  <c r="M49" i="1"/>
  <c r="X49" i="2"/>
  <c r="I21" i="31"/>
  <c r="I23" i="107"/>
  <c r="E47" i="130"/>
  <c r="C46" i="130"/>
  <c r="I21" i="108"/>
  <c r="GR48" i="2"/>
  <c r="I21" i="151"/>
  <c r="E46" i="127"/>
  <c r="C45" i="127"/>
  <c r="I20" i="109"/>
  <c r="I21" i="33"/>
  <c r="C46" i="161"/>
  <c r="E47" i="161"/>
  <c r="E47" i="83"/>
  <c r="C46" i="83"/>
  <c r="C47" i="76"/>
  <c r="E48" i="76"/>
  <c r="I22" i="23"/>
  <c r="I21" i="56"/>
  <c r="E47" i="74"/>
  <c r="C46" i="74"/>
  <c r="I24" i="22"/>
  <c r="C46" i="66"/>
  <c r="E47" i="66"/>
  <c r="E49" i="50"/>
  <c r="C48" i="50"/>
  <c r="AT49" i="2"/>
  <c r="EP48" i="2" l="1"/>
  <c r="HO48" i="2"/>
  <c r="Y48" i="1"/>
  <c r="I22" i="31"/>
  <c r="C46" i="77"/>
  <c r="E47" i="77"/>
  <c r="I22" i="33"/>
  <c r="I21" i="174"/>
  <c r="E45" i="86"/>
  <c r="C44" i="86"/>
  <c r="E46" i="128"/>
  <c r="C45" i="128"/>
  <c r="I21" i="171"/>
  <c r="E45" i="85"/>
  <c r="C44" i="85"/>
  <c r="BQ49" i="1"/>
  <c r="E48" i="42"/>
  <c r="C47" i="42"/>
  <c r="FV48" i="2"/>
  <c r="E48" i="107"/>
  <c r="C47" i="107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C43" i="165"/>
  <c r="E44" i="165"/>
  <c r="I22" i="137"/>
  <c r="CW47" i="2"/>
  <c r="C44" i="73"/>
  <c r="E45" i="73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E45" i="51"/>
  <c r="C44" i="51"/>
  <c r="I22" i="116"/>
  <c r="I21" i="109"/>
  <c r="I23" i="28"/>
  <c r="C47" i="8"/>
  <c r="HC48" i="2"/>
  <c r="E48" i="8"/>
  <c r="BP48" i="1"/>
  <c r="C43" i="43"/>
  <c r="E44" i="43"/>
  <c r="E48" i="49"/>
  <c r="C47" i="49"/>
  <c r="C46" i="101"/>
  <c r="E47" i="101"/>
  <c r="E45" i="61"/>
  <c r="C44" i="61"/>
  <c r="E47" i="96"/>
  <c r="C46" i="96"/>
  <c r="C47" i="55"/>
  <c r="E48" i="55"/>
  <c r="I22" i="54"/>
  <c r="C46" i="21"/>
  <c r="E47" i="21"/>
  <c r="E86" i="24"/>
  <c r="C85" i="24"/>
  <c r="I22" i="70"/>
  <c r="I22" i="170"/>
  <c r="C44" i="106"/>
  <c r="E45" i="106"/>
  <c r="C45" i="150"/>
  <c r="E46" i="150"/>
  <c r="C45" i="112"/>
  <c r="E46" i="112"/>
  <c r="GS49" i="2"/>
  <c r="I23" i="118"/>
  <c r="I23" i="72"/>
  <c r="I21" i="90"/>
  <c r="I21" i="163"/>
  <c r="I23" i="167"/>
  <c r="C44" i="163"/>
  <c r="E45" i="163"/>
  <c r="I22" i="73"/>
  <c r="C42" i="146"/>
  <c r="E43" i="146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I24" i="78"/>
  <c r="E48" i="174"/>
  <c r="C47" i="174"/>
  <c r="C42" i="32"/>
  <c r="E43" i="32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E41" i="82"/>
  <c r="C40" i="82"/>
  <c r="I24" i="156"/>
  <c r="E43" i="157"/>
  <c r="C42" i="157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E45" i="72"/>
  <c r="C44" i="72"/>
  <c r="I23" i="93"/>
  <c r="I22" i="106"/>
  <c r="E47" i="153"/>
  <c r="C46" i="153"/>
  <c r="C45" i="116"/>
  <c r="E46" i="116"/>
  <c r="AU49" i="2"/>
  <c r="E46" i="130"/>
  <c r="C45" i="130"/>
  <c r="I22" i="67"/>
  <c r="AJ48" i="2"/>
  <c r="N49" i="2"/>
  <c r="I25" i="42"/>
  <c r="C46" i="132"/>
  <c r="E47" i="132"/>
  <c r="I21" i="8"/>
  <c r="C47" i="14"/>
  <c r="E48" i="14"/>
  <c r="I21" i="146"/>
  <c r="E45" i="120"/>
  <c r="C44" i="120"/>
  <c r="E46" i="148"/>
  <c r="C45" i="148"/>
  <c r="E48" i="93"/>
  <c r="C47" i="93"/>
  <c r="E48" i="90"/>
  <c r="C47" i="90"/>
  <c r="C43" i="105"/>
  <c r="E44" i="105"/>
  <c r="E44" i="59"/>
  <c r="C43" i="59"/>
  <c r="I24" i="142"/>
  <c r="I22" i="108"/>
  <c r="I23" i="159"/>
  <c r="E44" i="160"/>
  <c r="C43" i="160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E43" i="138"/>
  <c r="C42" i="138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AI47" i="2" s="1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E46" i="25"/>
  <c r="C45" i="25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E45" i="62"/>
  <c r="C44" i="62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BE47" i="2"/>
  <c r="C45" i="19"/>
  <c r="E46" i="19"/>
  <c r="C44" i="171"/>
  <c r="E45" i="171"/>
  <c r="I22" i="138"/>
  <c r="I25" i="22"/>
  <c r="I23" i="165"/>
  <c r="EE49" i="2"/>
  <c r="E46" i="74"/>
  <c r="C45" i="74"/>
  <c r="N49" i="1"/>
  <c r="C42" i="156"/>
  <c r="E43" i="156"/>
  <c r="E47" i="154"/>
  <c r="C46" i="154"/>
  <c r="C44" i="168"/>
  <c r="E45" i="168"/>
  <c r="C46" i="142"/>
  <c r="E47" i="142"/>
  <c r="AU49" i="1"/>
  <c r="I21" i="11"/>
  <c r="I21" i="130"/>
  <c r="I22" i="52"/>
  <c r="C44" i="84"/>
  <c r="E45" i="84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5" i="159"/>
  <c r="C44" i="159"/>
  <c r="E48" i="7"/>
  <c r="C47" i="7"/>
  <c r="AT48" i="1"/>
  <c r="C45" i="167"/>
  <c r="E46" i="167"/>
  <c r="I22" i="87"/>
  <c r="I21" i="34"/>
  <c r="C45" i="60"/>
  <c r="E46" i="60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C45" i="139"/>
  <c r="E46" i="139"/>
  <c r="E48" i="143"/>
  <c r="C47" i="143"/>
  <c r="I24" i="136"/>
  <c r="E46" i="118"/>
  <c r="C45" i="118"/>
  <c r="I21" i="95"/>
  <c r="E45" i="39"/>
  <c r="C44" i="39"/>
  <c r="E48" i="92"/>
  <c r="C47" i="92"/>
  <c r="I21" i="120"/>
  <c r="I23" i="158"/>
  <c r="E44" i="102"/>
  <c r="C43" i="102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I21" i="43"/>
  <c r="I26" i="15"/>
  <c r="I23" i="157"/>
  <c r="E48" i="58"/>
  <c r="C47" i="58"/>
  <c r="CA47" i="2" s="1"/>
  <c r="I24" i="62"/>
  <c r="X47" i="1"/>
  <c r="I24" i="29"/>
  <c r="E44" i="45"/>
  <c r="C43" i="45"/>
  <c r="I25" i="59"/>
  <c r="I24" i="98"/>
  <c r="I23" i="63"/>
  <c r="I22" i="49"/>
  <c r="E47" i="33"/>
  <c r="C46" i="33"/>
  <c r="M47" i="2"/>
  <c r="E45" i="149"/>
  <c r="C44" i="149"/>
  <c r="E46" i="4"/>
  <c r="C45" i="4"/>
  <c r="I22" i="76"/>
  <c r="E47" i="44"/>
  <c r="C46" i="44"/>
  <c r="C46" i="36"/>
  <c r="CW46" i="2" s="1"/>
  <c r="E47" i="36"/>
  <c r="I22" i="3"/>
  <c r="I24" i="132"/>
  <c r="I22" i="161"/>
  <c r="I21" i="45"/>
  <c r="I24" i="117"/>
  <c r="E46" i="5"/>
  <c r="C45" i="5"/>
  <c r="I22" i="168"/>
  <c r="I25" i="79"/>
  <c r="CA48" i="2"/>
  <c r="I26" i="74"/>
  <c r="E46" i="64"/>
  <c r="C45" i="64"/>
  <c r="I26" i="75"/>
  <c r="C46" i="76"/>
  <c r="E47" i="76"/>
  <c r="I24" i="152"/>
  <c r="C46" i="122"/>
  <c r="E47" i="122"/>
  <c r="I24" i="51"/>
  <c r="E46" i="110"/>
  <c r="C45" i="110"/>
  <c r="DT47" i="2"/>
  <c r="I22" i="88"/>
  <c r="C44" i="124"/>
  <c r="E45" i="124"/>
  <c r="E46" i="94"/>
  <c r="C45" i="94"/>
  <c r="E46" i="129"/>
  <c r="C45" i="129"/>
  <c r="DS46" i="2"/>
  <c r="E46" i="16"/>
  <c r="C45" i="16"/>
  <c r="I23" i="113"/>
  <c r="E48" i="91"/>
  <c r="C47" i="91"/>
  <c r="E41" i="98"/>
  <c r="C40" i="98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E43" i="87"/>
  <c r="C42" i="87"/>
  <c r="E46" i="161"/>
  <c r="C45" i="161"/>
  <c r="C44" i="173"/>
  <c r="E45" i="173"/>
  <c r="I22" i="85"/>
  <c r="E46" i="103"/>
  <c r="C45" i="103"/>
  <c r="E48" i="52"/>
  <c r="C47" i="52"/>
  <c r="BP48" i="2"/>
  <c r="E47" i="15"/>
  <c r="C46" i="15"/>
  <c r="I24" i="128"/>
  <c r="E48" i="136"/>
  <c r="C47" i="136"/>
  <c r="I23" i="139"/>
  <c r="CB47" i="2" l="1"/>
  <c r="IV47" i="2"/>
  <c r="CX46" i="2"/>
  <c r="AJ47" i="2"/>
  <c r="E45" i="16"/>
  <c r="C44" i="16"/>
  <c r="C44" i="103"/>
  <c r="E45" i="103"/>
  <c r="I26" i="27"/>
  <c r="C44" i="4"/>
  <c r="E45" i="4"/>
  <c r="E47" i="12"/>
  <c r="C46" i="12"/>
  <c r="X47" i="2"/>
  <c r="M47" i="1"/>
  <c r="C43" i="171"/>
  <c r="E44" i="171"/>
  <c r="E45" i="65"/>
  <c r="C44" i="65"/>
  <c r="E43" i="160"/>
  <c r="C42" i="160"/>
  <c r="E46" i="147"/>
  <c r="C45" i="147"/>
  <c r="I24" i="72"/>
  <c r="C43" i="73"/>
  <c r="E44" i="73"/>
  <c r="E44" i="84"/>
  <c r="C43" i="84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3" i="102"/>
  <c r="C42" i="102"/>
  <c r="E45" i="135"/>
  <c r="C44" i="135"/>
  <c r="E45" i="19"/>
  <c r="C44" i="19"/>
  <c r="E46" i="13"/>
  <c r="C45" i="13"/>
  <c r="I24" i="115"/>
  <c r="I24" i="149"/>
  <c r="I24" i="118"/>
  <c r="C42" i="43"/>
  <c r="E43" i="43"/>
  <c r="I23" i="137"/>
  <c r="E47" i="107"/>
  <c r="C46" i="107"/>
  <c r="AJ48" i="1"/>
  <c r="I23" i="52"/>
  <c r="BF47" i="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E45" i="130"/>
  <c r="C44" i="130"/>
  <c r="I22" i="166"/>
  <c r="I22" i="96"/>
  <c r="FW48" i="2"/>
  <c r="I27" i="75"/>
  <c r="E44" i="149"/>
  <c r="C43" i="149"/>
  <c r="C44" i="64"/>
  <c r="E45" i="64"/>
  <c r="E42" i="87"/>
  <c r="C41" i="87"/>
  <c r="E40" i="98"/>
  <c r="C39" i="98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C42" i="165"/>
  <c r="E43" i="165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C41" i="138"/>
  <c r="E42" i="138"/>
  <c r="E43" i="59"/>
  <c r="C42" i="59"/>
  <c r="I22" i="47"/>
  <c r="I24" i="28"/>
  <c r="E46" i="78"/>
  <c r="C45" i="78"/>
  <c r="I25" i="135"/>
  <c r="C44" i="116"/>
  <c r="E45" i="116"/>
  <c r="C44" i="150"/>
  <c r="E45" i="150"/>
  <c r="E44" i="85"/>
  <c r="C43" i="85"/>
  <c r="I27" i="74"/>
  <c r="I22" i="35"/>
  <c r="E46" i="125"/>
  <c r="C45" i="125"/>
  <c r="I23" i="53"/>
  <c r="I24" i="113"/>
  <c r="I26" i="79"/>
  <c r="I24" i="63"/>
  <c r="E44" i="39"/>
  <c r="C43" i="39"/>
  <c r="E45" i="60"/>
  <c r="C44" i="60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E43" i="105"/>
  <c r="C42" i="105"/>
  <c r="I41" i="150"/>
  <c r="E44" i="106"/>
  <c r="C43" i="106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DT46" i="2"/>
  <c r="I25" i="98"/>
  <c r="I24" i="173"/>
  <c r="I25" i="164"/>
  <c r="I23" i="87"/>
  <c r="CL47" i="2"/>
  <c r="E44" i="168"/>
  <c r="C43" i="168"/>
  <c r="CA47" i="1"/>
  <c r="E47" i="6"/>
  <c r="C46" i="6"/>
  <c r="I25" i="107"/>
  <c r="I23" i="106"/>
  <c r="E44" i="115"/>
  <c r="C43" i="115"/>
  <c r="I27" i="134"/>
  <c r="I23" i="20"/>
  <c r="I23" i="170"/>
  <c r="E44" i="51"/>
  <c r="C43" i="51"/>
  <c r="E45" i="128"/>
  <c r="C44" i="128"/>
  <c r="I22" i="125"/>
  <c r="I22" i="148"/>
  <c r="I22" i="95"/>
  <c r="I22" i="34"/>
  <c r="E45" i="129"/>
  <c r="C44" i="129"/>
  <c r="DS45" i="2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C44" i="118"/>
  <c r="E45" i="118"/>
  <c r="I26" i="59"/>
  <c r="I22" i="141"/>
  <c r="I24" i="23"/>
  <c r="C45" i="154"/>
  <c r="E46" i="154"/>
  <c r="IJ46" i="2"/>
  <c r="I26" i="24"/>
  <c r="E45" i="25"/>
  <c r="C44" i="25"/>
  <c r="E46" i="80"/>
  <c r="C45" i="80"/>
  <c r="I24" i="93"/>
  <c r="I23" i="114"/>
  <c r="I23" i="70"/>
  <c r="I25" i="127"/>
  <c r="E44" i="86"/>
  <c r="C43" i="86"/>
  <c r="I23" i="154"/>
  <c r="C44" i="94"/>
  <c r="E45" i="94"/>
  <c r="E43" i="45"/>
  <c r="C42" i="45"/>
  <c r="C44" i="126"/>
  <c r="E45" i="126"/>
  <c r="C44" i="167"/>
  <c r="E45" i="167"/>
  <c r="EE48" i="2"/>
  <c r="BF48" i="2"/>
  <c r="I24" i="124"/>
  <c r="E45" i="148"/>
  <c r="C44" i="148"/>
  <c r="E44" i="72"/>
  <c r="C43" i="72"/>
  <c r="I22" i="91"/>
  <c r="E47" i="53"/>
  <c r="C46" i="53"/>
  <c r="E85" i="24"/>
  <c r="C84" i="24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DH46" i="2"/>
  <c r="E47" i="143"/>
  <c r="C46" i="143"/>
  <c r="C46" i="7"/>
  <c r="E47" i="7"/>
  <c r="AT47" i="1"/>
  <c r="E47" i="109"/>
  <c r="C46" i="109"/>
  <c r="ED47" i="2"/>
  <c r="E42" i="156"/>
  <c r="C41" i="156"/>
  <c r="C44" i="57"/>
  <c r="E45" i="57"/>
  <c r="C43" i="120"/>
  <c r="E44" i="120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C41" i="146"/>
  <c r="E42" i="146"/>
  <c r="E45" i="137"/>
  <c r="C44" i="137"/>
  <c r="I23" i="33"/>
  <c r="I23" i="161"/>
  <c r="I25" i="122"/>
  <c r="I25" i="128"/>
  <c r="I22" i="112"/>
  <c r="C44" i="139"/>
  <c r="E45" i="139"/>
  <c r="C43" i="159"/>
  <c r="E44" i="159"/>
  <c r="E45" i="74"/>
  <c r="C44" i="74"/>
  <c r="I23" i="131"/>
  <c r="I22" i="64"/>
  <c r="I22" i="146"/>
  <c r="C41" i="157"/>
  <c r="E42" i="157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E47" i="55"/>
  <c r="E46" i="164"/>
  <c r="C45" i="164"/>
  <c r="I23" i="31"/>
  <c r="C45" i="76"/>
  <c r="E46" i="76"/>
  <c r="I26" i="14"/>
  <c r="E45" i="161"/>
  <c r="C44" i="161"/>
  <c r="I23" i="121"/>
  <c r="I25" i="132"/>
  <c r="BQ48" i="2"/>
  <c r="E46" i="151"/>
  <c r="C45" i="151"/>
  <c r="I25" i="156"/>
  <c r="E42" i="32"/>
  <c r="C41" i="32"/>
  <c r="C43" i="163"/>
  <c r="E44" i="163"/>
  <c r="E46" i="96"/>
  <c r="C45" i="96"/>
  <c r="E45" i="54"/>
  <c r="C44" i="54"/>
  <c r="C43" i="173"/>
  <c r="E44" i="173"/>
  <c r="E47" i="52"/>
  <c r="C46" i="52"/>
  <c r="BP47" i="2"/>
  <c r="I23" i="3"/>
  <c r="E46" i="38"/>
  <c r="C45" i="38"/>
  <c r="AU48" i="2"/>
  <c r="I22" i="8"/>
  <c r="C39" i="82"/>
  <c r="E40" i="82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E44" i="61"/>
  <c r="C43" i="61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AI46" i="2" s="1"/>
  <c r="E47" i="170"/>
  <c r="C44" i="83"/>
  <c r="E45" i="83"/>
  <c r="E45" i="110"/>
  <c r="C44" i="110"/>
  <c r="C45" i="122"/>
  <c r="E46" i="122"/>
  <c r="I23" i="138"/>
  <c r="E44" i="62"/>
  <c r="C43" i="62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CW45" i="2" s="1"/>
  <c r="E46" i="36"/>
  <c r="I23" i="21"/>
  <c r="I24" i="30"/>
  <c r="E45" i="11"/>
  <c r="C44" i="11"/>
  <c r="I23" i="123"/>
  <c r="I23" i="76"/>
  <c r="C46" i="29"/>
  <c r="E47" i="29"/>
  <c r="C45" i="88"/>
  <c r="E46" i="88"/>
  <c r="FK46" i="2"/>
  <c r="HY47" i="2"/>
  <c r="C43" i="26"/>
  <c r="E44" i="26"/>
  <c r="I25" i="48"/>
  <c r="E47" i="3"/>
  <c r="C46" i="3"/>
  <c r="C46" i="49"/>
  <c r="E47" i="49"/>
  <c r="AJ46" i="2" l="1"/>
  <c r="CB46" i="2"/>
  <c r="CX45" i="2"/>
  <c r="I24" i="119"/>
  <c r="E45" i="38"/>
  <c r="C44" i="38"/>
  <c r="I28" i="15"/>
  <c r="I24" i="123"/>
  <c r="E42" i="111"/>
  <c r="C41" i="111"/>
  <c r="E46" i="50"/>
  <c r="C45" i="50"/>
  <c r="AT46" i="2"/>
  <c r="C42" i="159"/>
  <c r="E43" i="159"/>
  <c r="C40" i="156"/>
  <c r="E41" i="156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U45" i="2"/>
  <c r="I25" i="72"/>
  <c r="E84" i="24"/>
  <c r="C83" i="24"/>
  <c r="C45" i="152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44" i="139"/>
  <c r="C43" i="139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E39" i="82"/>
  <c r="C38" i="82"/>
  <c r="I24" i="121"/>
  <c r="AU47" i="1"/>
  <c r="E45" i="79"/>
  <c r="C44" i="79"/>
  <c r="E43" i="86"/>
  <c r="C42" i="86"/>
  <c r="M46" i="2"/>
  <c r="I24" i="57"/>
  <c r="E44" i="135"/>
  <c r="C43" i="135"/>
  <c r="E42" i="160"/>
  <c r="C41" i="160"/>
  <c r="I24" i="21"/>
  <c r="I23" i="43"/>
  <c r="E45" i="15"/>
  <c r="C44" i="15"/>
  <c r="C43" i="113"/>
  <c r="E44" i="113"/>
  <c r="I25" i="165"/>
  <c r="I23" i="8"/>
  <c r="I26" i="128"/>
  <c r="E45" i="33"/>
  <c r="C44" i="33"/>
  <c r="M45" i="2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3" i="85"/>
  <c r="C42" i="85"/>
  <c r="E39" i="98"/>
  <c r="C38" i="98"/>
  <c r="C41" i="102"/>
  <c r="E42" i="102"/>
  <c r="E44" i="65"/>
  <c r="C43" i="65"/>
  <c r="E45" i="140"/>
  <c r="C44" i="140"/>
  <c r="E46" i="143"/>
  <c r="C45" i="143"/>
  <c r="C45" i="93"/>
  <c r="E46" i="93"/>
  <c r="C45" i="90"/>
  <c r="E46" i="90"/>
  <c r="I23" i="109"/>
  <c r="C43" i="144"/>
  <c r="E44" i="144"/>
  <c r="I23" i="55"/>
  <c r="I25" i="66"/>
  <c r="I26" i="26"/>
  <c r="I24" i="70"/>
  <c r="I24" i="106"/>
  <c r="C40" i="87"/>
  <c r="E41" i="87"/>
  <c r="E45" i="95"/>
  <c r="C44" i="95"/>
  <c r="I24" i="161"/>
  <c r="I28" i="7"/>
  <c r="DI46" i="2"/>
  <c r="C44" i="20"/>
  <c r="E45" i="20"/>
  <c r="I24" i="104"/>
  <c r="I28" i="61"/>
  <c r="E44" i="150"/>
  <c r="C43" i="150"/>
  <c r="E43" i="69"/>
  <c r="C42" i="69"/>
  <c r="I24" i="67"/>
  <c r="I25" i="129"/>
  <c r="C42" i="171"/>
  <c r="E43" i="171"/>
  <c r="E44" i="161"/>
  <c r="C43" i="16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C43" i="64"/>
  <c r="E44" i="64"/>
  <c r="I25" i="159"/>
  <c r="Y47" i="2"/>
  <c r="I25" i="68"/>
  <c r="C43" i="137"/>
  <c r="E44" i="137"/>
  <c r="C42" i="124"/>
  <c r="E43" i="124"/>
  <c r="I25" i="93"/>
  <c r="C45" i="6"/>
  <c r="E46" i="6"/>
  <c r="CA46" i="1"/>
  <c r="IU46" i="2"/>
  <c r="C45" i="91"/>
  <c r="E46" i="91"/>
  <c r="I26" i="135"/>
  <c r="C42" i="149"/>
  <c r="E43" i="149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E42" i="165"/>
  <c r="C41" i="165"/>
  <c r="I28" i="75"/>
  <c r="E44" i="75"/>
  <c r="C43" i="75"/>
  <c r="I24" i="85"/>
  <c r="I24" i="31"/>
  <c r="I23" i="65"/>
  <c r="C44" i="80"/>
  <c r="E45" i="80"/>
  <c r="E46" i="3"/>
  <c r="C45" i="3"/>
  <c r="I24" i="19"/>
  <c r="E41" i="146"/>
  <c r="C40" i="146"/>
  <c r="E46" i="100"/>
  <c r="C45" i="100"/>
  <c r="E46" i="136"/>
  <c r="C45" i="136"/>
  <c r="C42" i="168"/>
  <c r="E43" i="168"/>
  <c r="I23" i="171"/>
  <c r="I25" i="92"/>
  <c r="E45" i="132"/>
  <c r="C44" i="132"/>
  <c r="I26" i="51"/>
  <c r="E44" i="67"/>
  <c r="C43" i="67"/>
  <c r="I24" i="80"/>
  <c r="E43" i="72"/>
  <c r="C42" i="72"/>
  <c r="C43" i="25"/>
  <c r="E44" i="25"/>
  <c r="C44" i="63"/>
  <c r="E45" i="63"/>
  <c r="CL45" i="2"/>
  <c r="I25" i="28"/>
  <c r="C45" i="56"/>
  <c r="E46" i="56"/>
  <c r="E44" i="4"/>
  <c r="C43" i="4"/>
  <c r="I25" i="60"/>
  <c r="E45" i="36"/>
  <c r="C44" i="36"/>
  <c r="CW44" i="2" s="1"/>
  <c r="I24" i="155"/>
  <c r="HO46" i="2"/>
  <c r="E46" i="58"/>
  <c r="C45" i="58"/>
  <c r="CA45" i="2" s="1"/>
  <c r="E46" i="55"/>
  <c r="C45" i="55"/>
  <c r="E46" i="28"/>
  <c r="C45" i="28"/>
  <c r="I25" i="139"/>
  <c r="DT45" i="2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173"/>
  <c r="E43" i="173"/>
  <c r="C42" i="37"/>
  <c r="E43" i="37"/>
  <c r="I24" i="54"/>
  <c r="E41" i="166"/>
  <c r="C40" i="166"/>
  <c r="C43" i="148"/>
  <c r="E44" i="148"/>
  <c r="C43" i="129"/>
  <c r="E44" i="129"/>
  <c r="DS44" i="2"/>
  <c r="I24" i="87"/>
  <c r="E43" i="106"/>
  <c r="C42" i="106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C40" i="157"/>
  <c r="E41" i="157"/>
  <c r="FA46" i="2"/>
  <c r="I23" i="36"/>
  <c r="I25" i="124"/>
  <c r="IK46" i="2"/>
  <c r="I23" i="34"/>
  <c r="I26" i="164"/>
  <c r="C43" i="60"/>
  <c r="E44" i="60"/>
  <c r="E42" i="59"/>
  <c r="C41" i="59"/>
  <c r="I23" i="166"/>
  <c r="E46" i="107"/>
  <c r="C45" i="107"/>
  <c r="C41" i="34"/>
  <c r="E42" i="34"/>
  <c r="E44" i="103"/>
  <c r="C43" i="103"/>
  <c r="I27" i="14"/>
  <c r="I25" i="83"/>
  <c r="E43" i="61"/>
  <c r="C42" i="61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C41" i="105"/>
  <c r="E42" i="105"/>
  <c r="E43" i="39"/>
  <c r="C42" i="39"/>
  <c r="E44" i="81"/>
  <c r="C43" i="81"/>
  <c r="C43" i="130"/>
  <c r="E44" i="130"/>
  <c r="HY46" i="2"/>
  <c r="C42" i="62"/>
  <c r="E43" i="6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C40" i="138"/>
  <c r="E41" i="138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E42" i="43"/>
  <c r="C41" i="43"/>
  <c r="I23" i="81"/>
  <c r="I26" i="122"/>
  <c r="C40" i="32"/>
  <c r="E41" i="3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C43" i="74"/>
  <c r="E44" i="74"/>
  <c r="I27" i="82"/>
  <c r="E44" i="167"/>
  <c r="C43" i="167"/>
  <c r="I27" i="59"/>
  <c r="I23" i="125"/>
  <c r="I24" i="97"/>
  <c r="I27" i="79"/>
  <c r="I27" i="94"/>
  <c r="E43" i="84"/>
  <c r="C42" i="84"/>
  <c r="AJ47" i="1"/>
  <c r="C44" i="44"/>
  <c r="E45" i="44"/>
  <c r="I24" i="5"/>
  <c r="I25" i="25"/>
  <c r="I26" i="156"/>
  <c r="E43" i="120"/>
  <c r="C42" i="120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X45" i="1" s="1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1" i="45"/>
  <c r="E42" i="45"/>
  <c r="E44" i="118"/>
  <c r="C43" i="118"/>
  <c r="E43" i="51"/>
  <c r="C42" i="51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E43" i="73"/>
  <c r="C42" i="73"/>
  <c r="CX44" i="2" l="1"/>
  <c r="HO45" i="2"/>
  <c r="Y45" i="1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C42" i="74"/>
  <c r="E43" i="74"/>
  <c r="BF46" i="2"/>
  <c r="C42" i="130"/>
  <c r="E43" i="130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C40" i="45"/>
  <c r="E41" i="45"/>
  <c r="E44" i="142"/>
  <c r="C43" i="142"/>
  <c r="C43" i="122"/>
  <c r="E44" i="122"/>
  <c r="C43" i="117"/>
  <c r="E44" i="117"/>
  <c r="HZ45" i="2"/>
  <c r="E43" i="60"/>
  <c r="C42" i="60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C40" i="102"/>
  <c r="E41" i="102"/>
  <c r="E43" i="113"/>
  <c r="C42" i="113"/>
  <c r="C42" i="126"/>
  <c r="E43" i="126"/>
  <c r="I25" i="111"/>
  <c r="I26" i="63"/>
  <c r="I27" i="142"/>
  <c r="CM45" i="2"/>
  <c r="I26" i="157"/>
  <c r="I29" i="12"/>
  <c r="I25" i="161"/>
  <c r="E38" i="98"/>
  <c r="C37" i="98"/>
  <c r="E44" i="15"/>
  <c r="C43" i="15"/>
  <c r="E43" i="54"/>
  <c r="C42" i="54"/>
  <c r="I27" i="136"/>
  <c r="C40" i="105"/>
  <c r="E41" i="105"/>
  <c r="E44" i="96"/>
  <c r="C43" i="96"/>
  <c r="C43" i="35"/>
  <c r="E44" i="35"/>
  <c r="I26" i="25"/>
  <c r="I27" i="98"/>
  <c r="IK45" i="2"/>
  <c r="E42" i="106"/>
  <c r="C41" i="106"/>
  <c r="I29" i="46"/>
  <c r="C44" i="53"/>
  <c r="E45" i="53"/>
  <c r="I26" i="10"/>
  <c r="C43" i="95"/>
  <c r="E44" i="95"/>
  <c r="I25" i="20"/>
  <c r="I25" i="56"/>
  <c r="C43" i="154"/>
  <c r="E44" i="154"/>
  <c r="IJ44" i="2"/>
  <c r="I24" i="34"/>
  <c r="E44" i="63"/>
  <c r="C43" i="63"/>
  <c r="C43" i="80"/>
  <c r="E44" i="80"/>
  <c r="I27" i="78"/>
  <c r="I26" i="159"/>
  <c r="I27" i="107"/>
  <c r="C41" i="85"/>
  <c r="E42" i="85"/>
  <c r="C44" i="27"/>
  <c r="E45" i="27"/>
  <c r="I24" i="120"/>
  <c r="I25" i="137"/>
  <c r="C43" i="77"/>
  <c r="E44" i="77"/>
  <c r="I24" i="148"/>
  <c r="I25" i="39"/>
  <c r="I24" i="43"/>
  <c r="C42" i="104"/>
  <c r="E43" i="104"/>
  <c r="E40" i="156"/>
  <c r="C39" i="156"/>
  <c r="E43" i="57"/>
  <c r="C42" i="57"/>
  <c r="I27" i="156"/>
  <c r="E44" i="21"/>
  <c r="C43" i="21"/>
  <c r="I25" i="5"/>
  <c r="I26" i="118"/>
  <c r="I28" i="32"/>
  <c r="I25" i="87"/>
  <c r="I26" i="18"/>
  <c r="E43" i="25"/>
  <c r="C42" i="25"/>
  <c r="I24" i="65"/>
  <c r="I29" i="133"/>
  <c r="C39" i="87"/>
  <c r="E40" i="87"/>
  <c r="I25" i="21"/>
  <c r="I25" i="154"/>
  <c r="E44" i="145"/>
  <c r="C43" i="145"/>
  <c r="C43" i="89"/>
  <c r="E44" i="89"/>
  <c r="I27" i="89"/>
  <c r="BE45" i="2"/>
  <c r="I24" i="146"/>
  <c r="I24" i="90"/>
  <c r="DT44" i="2"/>
  <c r="E42" i="72"/>
  <c r="C41" i="72"/>
  <c r="E44" i="48"/>
  <c r="C43" i="48"/>
  <c r="N46" i="1"/>
  <c r="E43" i="64"/>
  <c r="C42" i="64"/>
  <c r="E44" i="71"/>
  <c r="C43" i="71"/>
  <c r="I25" i="106"/>
  <c r="E42" i="115"/>
  <c r="C41" i="115"/>
  <c r="E42" i="73"/>
  <c r="C41" i="73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C41" i="159"/>
  <c r="E42" i="159"/>
  <c r="E42" i="120"/>
  <c r="C41" i="120"/>
  <c r="E43" i="129"/>
  <c r="C42" i="129"/>
  <c r="DS43" i="2"/>
  <c r="I25" i="85"/>
  <c r="I25" i="84"/>
  <c r="E43" i="9"/>
  <c r="C42" i="9"/>
  <c r="I25" i="70"/>
  <c r="I27" i="127"/>
  <c r="E41" i="160"/>
  <c r="C40" i="160"/>
  <c r="E44" i="108"/>
  <c r="C43" i="108"/>
  <c r="C82" i="24"/>
  <c r="E83" i="24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2" i="84"/>
  <c r="C41" i="84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E43" i="161"/>
  <c r="C42" i="161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E40" i="157"/>
  <c r="C39" i="157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E42" i="61"/>
  <c r="C41" i="61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FK44" i="2"/>
  <c r="I25" i="131"/>
  <c r="I28" i="79"/>
  <c r="I28" i="71"/>
  <c r="I25" i="144"/>
  <c r="C40" i="165"/>
  <c r="E41" i="165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E42" i="149"/>
  <c r="C41" i="149"/>
  <c r="DI45" i="2"/>
  <c r="I25" i="67"/>
  <c r="C42" i="19"/>
  <c r="E43" i="19"/>
  <c r="E43" i="139"/>
  <c r="C42" i="139"/>
  <c r="I29" i="15"/>
  <c r="I25" i="76"/>
  <c r="I26" i="83"/>
  <c r="EP45" i="2"/>
  <c r="E44" i="133"/>
  <c r="C43" i="133"/>
  <c r="DH44" i="2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CL44" i="2" s="1"/>
  <c r="BQ46" i="1"/>
  <c r="I24" i="105"/>
  <c r="I26" i="23"/>
  <c r="E43" i="18"/>
  <c r="C42" i="18"/>
  <c r="I24" i="174"/>
  <c r="E42" i="173"/>
  <c r="C41" i="173"/>
  <c r="C43" i="78"/>
  <c r="E44" i="78"/>
  <c r="E44" i="97"/>
  <c r="C43" i="97"/>
  <c r="EO44" i="2"/>
  <c r="I25" i="73"/>
  <c r="I25" i="116"/>
  <c r="I25" i="119"/>
  <c r="I27" i="122"/>
  <c r="C42" i="103"/>
  <c r="E43" i="103"/>
  <c r="E43" i="22"/>
  <c r="C42" i="22"/>
  <c r="E45" i="91"/>
  <c r="C44" i="91"/>
  <c r="I27" i="29"/>
  <c r="E43" i="150"/>
  <c r="C42" i="150"/>
  <c r="J42" i="150" s="1"/>
  <c r="I29" i="134"/>
  <c r="E45" i="174"/>
  <c r="C44" i="174"/>
  <c r="C44" i="170"/>
  <c r="AI44" i="2" s="1"/>
  <c r="E45" i="170"/>
  <c r="I28" i="59"/>
  <c r="E44" i="101"/>
  <c r="C43" i="101"/>
  <c r="I25" i="155"/>
  <c r="E42" i="168"/>
  <c r="C41" i="168"/>
  <c r="I24" i="143"/>
  <c r="IV46" i="2"/>
  <c r="E45" i="90"/>
  <c r="C44" i="90"/>
  <c r="I29" i="145"/>
  <c r="E40" i="32"/>
  <c r="C39" i="32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E40" i="138"/>
  <c r="C39" i="138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C37" i="82"/>
  <c r="E38" i="82"/>
  <c r="I24" i="140"/>
  <c r="I24" i="102"/>
  <c r="C41" i="62"/>
  <c r="E42" i="62"/>
  <c r="E45" i="107"/>
  <c r="C44" i="107"/>
  <c r="E42" i="127"/>
  <c r="C41" i="127"/>
  <c r="I26" i="60"/>
  <c r="E45" i="100"/>
  <c r="C44" i="100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C41" i="51"/>
  <c r="E42" i="51"/>
  <c r="I24" i="40"/>
  <c r="E45" i="121"/>
  <c r="C44" i="121"/>
  <c r="E42" i="163"/>
  <c r="C41" i="163"/>
  <c r="I25" i="50"/>
  <c r="I24" i="11"/>
  <c r="AI44" i="1"/>
  <c r="C39" i="146"/>
  <c r="E40" i="146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E41" i="43"/>
  <c r="C40" i="43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C42" i="118"/>
  <c r="E43" i="118"/>
  <c r="I25" i="4"/>
  <c r="E43" i="128"/>
  <c r="C42" i="128"/>
  <c r="E45" i="158"/>
  <c r="C44" i="158"/>
  <c r="E43" i="81"/>
  <c r="C42" i="81"/>
  <c r="C40" i="59"/>
  <c r="E41" i="59"/>
  <c r="I24" i="47"/>
  <c r="I25" i="19"/>
  <c r="E44" i="164"/>
  <c r="C43" i="164"/>
  <c r="E42" i="124"/>
  <c r="C41" i="124"/>
  <c r="I24" i="8"/>
  <c r="GR44" i="2"/>
  <c r="HO44" i="2" l="1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E41" i="106"/>
  <c r="C40" i="106"/>
  <c r="I27" i="63"/>
  <c r="I27" i="66"/>
  <c r="E39" i="32"/>
  <c r="C38" i="32"/>
  <c r="I30" i="15"/>
  <c r="E41" i="61"/>
  <c r="C40" i="61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C41" i="103"/>
  <c r="E42" i="103"/>
  <c r="I25" i="109"/>
  <c r="C39" i="165"/>
  <c r="E40" i="165"/>
  <c r="GS45" i="2"/>
  <c r="E43" i="151"/>
  <c r="C42" i="151"/>
  <c r="I28" i="117"/>
  <c r="E43" i="48"/>
  <c r="C42" i="48"/>
  <c r="I26" i="87"/>
  <c r="I26" i="111"/>
  <c r="E42" i="74"/>
  <c r="C41" i="74"/>
  <c r="I28" i="122"/>
  <c r="E42" i="139"/>
  <c r="C41" i="139"/>
  <c r="E41" i="85"/>
  <c r="C40" i="85"/>
  <c r="CW43" i="2"/>
  <c r="C43" i="3"/>
  <c r="E44" i="3"/>
  <c r="I27" i="113"/>
  <c r="I29" i="24"/>
  <c r="C40" i="141"/>
  <c r="E41" i="141"/>
  <c r="I26" i="144"/>
  <c r="I29" i="22"/>
  <c r="C43" i="14"/>
  <c r="E44" i="14"/>
  <c r="C40" i="72"/>
  <c r="E41" i="72"/>
  <c r="I28" i="107"/>
  <c r="E42" i="112"/>
  <c r="C41" i="112"/>
  <c r="I25" i="96"/>
  <c r="I25" i="8"/>
  <c r="I25" i="100"/>
  <c r="I29" i="14"/>
  <c r="CB45" i="1"/>
  <c r="E41" i="124"/>
  <c r="C40" i="124"/>
  <c r="E44" i="6"/>
  <c r="C43" i="6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E82" i="24"/>
  <c r="C81" i="24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C39" i="102"/>
  <c r="E40" i="102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60"/>
  <c r="C41" i="60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E39" i="138"/>
  <c r="C38" i="138"/>
  <c r="FL44" i="2"/>
  <c r="C41" i="161"/>
  <c r="E42" i="161"/>
  <c r="E39" i="30"/>
  <c r="C38" i="30"/>
  <c r="C39" i="160"/>
  <c r="E40" i="160"/>
  <c r="I27" i="124"/>
  <c r="E43" i="80"/>
  <c r="C42" i="80"/>
  <c r="I27" i="68"/>
  <c r="E41" i="39"/>
  <c r="C40" i="39"/>
  <c r="I27" i="37"/>
  <c r="E44" i="29"/>
  <c r="C43" i="29"/>
  <c r="C41" i="22"/>
  <c r="E42" i="22"/>
  <c r="E41" i="168"/>
  <c r="C40" i="168"/>
  <c r="EP44" i="2"/>
  <c r="C40" i="149"/>
  <c r="E41" i="149"/>
  <c r="I25" i="47"/>
  <c r="I27" i="93"/>
  <c r="I25" i="91"/>
  <c r="E43" i="97"/>
  <c r="C42" i="97"/>
  <c r="EO43" i="2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E40" i="105"/>
  <c r="C39" i="105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0" i="62"/>
  <c r="E41" i="62"/>
  <c r="C42" i="125"/>
  <c r="E43" i="125"/>
  <c r="I27" i="92"/>
  <c r="E41" i="40"/>
  <c r="C40" i="40"/>
  <c r="I26" i="3"/>
  <c r="FW45" i="2"/>
  <c r="I26" i="70"/>
  <c r="C38" i="156"/>
  <c r="E39" i="156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C36" i="98"/>
  <c r="E37" i="98"/>
  <c r="I28" i="164"/>
  <c r="I25" i="45"/>
  <c r="I28" i="101"/>
  <c r="C43" i="174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E40" i="45"/>
  <c r="C39" i="45"/>
  <c r="I29" i="27"/>
  <c r="IU43" i="2"/>
  <c r="I26" i="76"/>
  <c r="I26" i="54"/>
  <c r="E40" i="59"/>
  <c r="C39" i="59"/>
  <c r="AJ44" i="1"/>
  <c r="I26" i="108"/>
  <c r="I25" i="102"/>
  <c r="I29" i="59"/>
  <c r="C40" i="173"/>
  <c r="E41" i="173"/>
  <c r="I25" i="11"/>
  <c r="I26" i="4"/>
  <c r="I26" i="169"/>
  <c r="E41" i="163"/>
  <c r="C40" i="163"/>
  <c r="E37" i="82"/>
  <c r="C36" i="82"/>
  <c r="I30" i="61"/>
  <c r="E42" i="18"/>
  <c r="C41" i="18"/>
  <c r="I27" i="44"/>
  <c r="C38" i="157"/>
  <c r="E39" i="157"/>
  <c r="CA44" i="2"/>
  <c r="C41" i="148"/>
  <c r="E42" i="148"/>
  <c r="C40" i="73"/>
  <c r="E41" i="73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DT43" i="2"/>
  <c r="I26" i="21"/>
  <c r="I26" i="161"/>
  <c r="E42" i="83"/>
  <c r="C41" i="83"/>
  <c r="I26" i="103"/>
  <c r="DI44" i="2"/>
  <c r="I28" i="172"/>
  <c r="I26" i="80"/>
  <c r="C41" i="129"/>
  <c r="E42" i="129"/>
  <c r="DS42" i="2"/>
  <c r="C40" i="115"/>
  <c r="E41" i="115"/>
  <c r="HY44" i="2"/>
  <c r="I44" i="150"/>
  <c r="J43" i="150"/>
  <c r="C42" i="101"/>
  <c r="E43" i="101"/>
  <c r="C41" i="150"/>
  <c r="E42" i="150"/>
  <c r="I27" i="23"/>
  <c r="E43" i="133"/>
  <c r="C42" i="133"/>
  <c r="DH43" i="2"/>
  <c r="I30" i="75"/>
  <c r="E42" i="68"/>
  <c r="C41" i="68"/>
  <c r="E42" i="17"/>
  <c r="C41" i="17"/>
  <c r="I25" i="36"/>
  <c r="E39" i="87"/>
  <c r="C38" i="87"/>
  <c r="I25" i="148"/>
  <c r="E43" i="95"/>
  <c r="C42" i="95"/>
  <c r="I30" i="12"/>
  <c r="C42" i="169"/>
  <c r="E43" i="169"/>
  <c r="HY43" i="2"/>
  <c r="C42" i="38"/>
  <c r="E43" i="38"/>
  <c r="E43" i="79"/>
  <c r="C42" i="79"/>
  <c r="I26" i="151"/>
  <c r="E43" i="132"/>
  <c r="C42" i="132"/>
  <c r="C42" i="70"/>
  <c r="E43" i="70"/>
  <c r="E41" i="120"/>
  <c r="C40" i="12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E39" i="146"/>
  <c r="C38" i="146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0" i="43"/>
  <c r="C39" i="43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E41" i="84"/>
  <c r="C40" i="84"/>
  <c r="C40" i="51"/>
  <c r="E41" i="51"/>
  <c r="I25" i="163"/>
  <c r="C43" i="136"/>
  <c r="E44" i="136"/>
  <c r="C43" i="91"/>
  <c r="E44" i="91"/>
  <c r="I27" i="129"/>
  <c r="E44" i="55"/>
  <c r="C43" i="55"/>
  <c r="FK43" i="2" s="1"/>
  <c r="E44" i="7"/>
  <c r="C43" i="7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E42" i="118"/>
  <c r="C41" i="118"/>
  <c r="I25" i="64"/>
  <c r="C39" i="131"/>
  <c r="E40" i="131"/>
  <c r="E44" i="155"/>
  <c r="C43" i="155"/>
  <c r="CL43" i="2" s="1"/>
  <c r="I27" i="83"/>
  <c r="E44" i="46"/>
  <c r="C43" i="46"/>
  <c r="C42" i="41"/>
  <c r="E43" i="41"/>
  <c r="E41" i="159"/>
  <c r="C40" i="159"/>
  <c r="C41" i="64"/>
  <c r="E42" i="64"/>
  <c r="C41" i="25"/>
  <c r="E42" i="25"/>
  <c r="I25" i="120"/>
  <c r="C42" i="147"/>
  <c r="E43" i="147"/>
  <c r="I27" i="165"/>
  <c r="E42" i="130"/>
  <c r="C41" i="130"/>
  <c r="FL43" i="2" l="1"/>
  <c r="CM43" i="2"/>
  <c r="E42" i="70"/>
  <c r="C41" i="70"/>
  <c r="C35" i="98"/>
  <c r="E36" i="98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C38" i="105"/>
  <c r="E39" i="105"/>
  <c r="E42" i="88"/>
  <c r="C41" i="88"/>
  <c r="I27" i="5"/>
  <c r="I28" i="41"/>
  <c r="I28" i="23"/>
  <c r="E36" i="82"/>
  <c r="C35" i="82"/>
  <c r="I28" i="129"/>
  <c r="N44" i="2"/>
  <c r="E41" i="150"/>
  <c r="C40" i="150"/>
  <c r="J41" i="150"/>
  <c r="K41" i="150" s="1"/>
  <c r="C39" i="163"/>
  <c r="E40" i="163"/>
  <c r="I27" i="56"/>
  <c r="E40" i="37"/>
  <c r="C39" i="37"/>
  <c r="C40" i="9"/>
  <c r="E41" i="9"/>
  <c r="E39" i="160"/>
  <c r="C38" i="160"/>
  <c r="C40" i="113"/>
  <c r="E41" i="113"/>
  <c r="C38" i="165"/>
  <c r="E39" i="165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106"/>
  <c r="E40" i="106"/>
  <c r="C39" i="86"/>
  <c r="E40" i="86"/>
  <c r="C41" i="79"/>
  <c r="E42" i="79"/>
  <c r="E42" i="23"/>
  <c r="C41" i="23"/>
  <c r="I27" i="169"/>
  <c r="C42" i="42"/>
  <c r="E43" i="42"/>
  <c r="FV43" i="2"/>
  <c r="C41" i="63"/>
  <c r="E42" i="63"/>
  <c r="CL42" i="2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E40" i="62"/>
  <c r="C39" i="62"/>
  <c r="I29" i="156"/>
  <c r="I27" i="162"/>
  <c r="CB44" i="1"/>
  <c r="E41" i="103"/>
  <c r="C40" i="103"/>
  <c r="I27" i="88"/>
  <c r="I27" i="4"/>
  <c r="BP43" i="1"/>
  <c r="C42" i="8"/>
  <c r="HC43" i="2"/>
  <c r="E43" i="8"/>
  <c r="I26" i="91"/>
  <c r="C40" i="161"/>
  <c r="E41" i="16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E41" i="118"/>
  <c r="C40" i="118"/>
  <c r="E40" i="51"/>
  <c r="C39" i="51"/>
  <c r="I27" i="49"/>
  <c r="DT42" i="2"/>
  <c r="GS43" i="2"/>
  <c r="C42" i="12"/>
  <c r="E43" i="12"/>
  <c r="X43" i="2"/>
  <c r="M43" i="1"/>
  <c r="I26" i="55"/>
  <c r="E41" i="65"/>
  <c r="C40" i="65"/>
  <c r="I26" i="47"/>
  <c r="I27" i="131"/>
  <c r="C80" i="24"/>
  <c r="E81" i="24"/>
  <c r="I30" i="71"/>
  <c r="E41" i="99"/>
  <c r="C40" i="99"/>
  <c r="I26" i="40"/>
  <c r="E42" i="169"/>
  <c r="C41" i="169"/>
  <c r="FA43" i="2"/>
  <c r="E43" i="58"/>
  <c r="C42" i="58"/>
  <c r="C37" i="138"/>
  <c r="E38" i="138"/>
  <c r="I27" i="53"/>
  <c r="E43" i="3"/>
  <c r="C42" i="3"/>
  <c r="E40" i="115"/>
  <c r="C39" i="115"/>
  <c r="I26" i="11"/>
  <c r="I27" i="33"/>
  <c r="C40" i="129"/>
  <c r="E41" i="129"/>
  <c r="DS41" i="2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E40" i="173"/>
  <c r="C39" i="173"/>
  <c r="C42" i="170"/>
  <c r="E43" i="170"/>
  <c r="E39" i="111"/>
  <c r="C38" i="111"/>
  <c r="C39" i="149"/>
  <c r="E40" i="149"/>
  <c r="I26" i="171"/>
  <c r="I26" i="81"/>
  <c r="I27" i="67"/>
  <c r="I30" i="14"/>
  <c r="E40" i="85"/>
  <c r="C39" i="85"/>
  <c r="E43" i="27"/>
  <c r="C42" i="27"/>
  <c r="HZ43" i="2"/>
  <c r="E41" i="130"/>
  <c r="C40" i="130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C39" i="84"/>
  <c r="E40" i="84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E41" i="139"/>
  <c r="C40" i="139"/>
  <c r="C39" i="168"/>
  <c r="E40" i="168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CW41" i="2" s="1"/>
  <c r="I28" i="165"/>
  <c r="E42" i="140"/>
  <c r="C41" i="140"/>
  <c r="C42" i="93"/>
  <c r="E43" i="93"/>
  <c r="E38" i="87"/>
  <c r="C37" i="87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E41" i="74"/>
  <c r="C40" i="74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39" i="59"/>
  <c r="C38" i="59"/>
  <c r="E42" i="154"/>
  <c r="C41" i="154"/>
  <c r="IJ42" i="2"/>
  <c r="C41" i="122"/>
  <c r="E42" i="122"/>
  <c r="C42" i="107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C37" i="156"/>
  <c r="E38" i="156"/>
  <c r="E43" i="50"/>
  <c r="C42" i="50"/>
  <c r="AT43" i="2"/>
  <c r="E42" i="108"/>
  <c r="C41" i="108"/>
  <c r="I29" i="62"/>
  <c r="I29" i="98"/>
  <c r="I27" i="87"/>
  <c r="I27" i="108"/>
  <c r="E38" i="146"/>
  <c r="C37" i="146"/>
  <c r="E38" i="157"/>
  <c r="C37" i="157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AI42" i="2" s="1"/>
  <c r="C40" i="64"/>
  <c r="E41" i="64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C40" i="25"/>
  <c r="E41" i="25"/>
  <c r="I27" i="50"/>
  <c r="BF44" i="2"/>
  <c r="C40" i="11"/>
  <c r="E41" i="11"/>
  <c r="I28" i="10"/>
  <c r="C40" i="167"/>
  <c r="E41" i="167"/>
  <c r="C42" i="143"/>
  <c r="E43" i="143"/>
  <c r="I26" i="141"/>
  <c r="C39" i="61"/>
  <c r="E40" i="61"/>
  <c r="X43" i="1"/>
  <c r="I27" i="121"/>
  <c r="I26" i="148"/>
  <c r="C41" i="147"/>
  <c r="E42" i="147"/>
  <c r="C42" i="53"/>
  <c r="E43" i="53"/>
  <c r="I27" i="97"/>
  <c r="I26" i="147"/>
  <c r="E40" i="73"/>
  <c r="C39" i="73"/>
  <c r="I27" i="103"/>
  <c r="E42" i="33"/>
  <c r="C41" i="33"/>
  <c r="M42" i="2"/>
  <c r="I27" i="21"/>
  <c r="I26" i="45"/>
  <c r="I27" i="86"/>
  <c r="I28" i="68"/>
  <c r="E42" i="164"/>
  <c r="C41" i="164"/>
  <c r="E40" i="72"/>
  <c r="C39" i="72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E41" i="60"/>
  <c r="C40" i="60"/>
  <c r="I30" i="79"/>
  <c r="I27" i="119"/>
  <c r="C40" i="5"/>
  <c r="E41" i="5"/>
  <c r="E39" i="131"/>
  <c r="C38" i="131"/>
  <c r="I28" i="149"/>
  <c r="AJ43" i="2"/>
  <c r="I27" i="39"/>
  <c r="I29" i="132"/>
  <c r="E40" i="159"/>
  <c r="C39" i="159"/>
  <c r="E38" i="166"/>
  <c r="C37" i="166"/>
  <c r="BE43" i="2"/>
  <c r="C42" i="7"/>
  <c r="EO42" i="2" s="1"/>
  <c r="E43" i="7"/>
  <c r="AT43" i="1"/>
  <c r="I28" i="157"/>
  <c r="E40" i="120"/>
  <c r="C39" i="120"/>
  <c r="E42" i="133"/>
  <c r="C41" i="133"/>
  <c r="DH42" i="2"/>
  <c r="C41" i="89"/>
  <c r="E42" i="89"/>
  <c r="HN42" i="2"/>
  <c r="I27" i="155"/>
  <c r="C38" i="102"/>
  <c r="E39" i="102"/>
  <c r="E43" i="14"/>
  <c r="C42" i="14"/>
  <c r="C41" i="151"/>
  <c r="E42" i="151"/>
  <c r="I31" i="15"/>
  <c r="I26" i="65"/>
  <c r="I26" i="166"/>
  <c r="E41" i="68"/>
  <c r="C40" i="68"/>
  <c r="I31" i="75"/>
  <c r="I27" i="76"/>
  <c r="C38" i="43"/>
  <c r="E39" i="43"/>
  <c r="C41" i="77"/>
  <c r="E42" i="77"/>
  <c r="CA43" i="2"/>
  <c r="I30" i="27"/>
  <c r="I29" i="164"/>
  <c r="E43" i="49"/>
  <c r="C42" i="49"/>
  <c r="BQ44" i="2"/>
  <c r="I29" i="48"/>
  <c r="C37" i="32"/>
  <c r="E38" i="32"/>
  <c r="C41" i="41"/>
  <c r="E42" i="41"/>
  <c r="BE42" i="2"/>
  <c r="E43" i="55"/>
  <c r="C42" i="55"/>
  <c r="C41" i="31"/>
  <c r="E42" i="31"/>
  <c r="CA42" i="2"/>
  <c r="I31" i="61"/>
  <c r="E39" i="45"/>
  <c r="C38" i="45"/>
  <c r="E40" i="40"/>
  <c r="C39" i="40"/>
  <c r="I28" i="158"/>
  <c r="I28" i="124"/>
  <c r="C41" i="96"/>
  <c r="E42" i="96"/>
  <c r="E42" i="35"/>
  <c r="C41" i="35"/>
  <c r="C40" i="16"/>
  <c r="E41" i="16"/>
  <c r="IV44" i="2"/>
  <c r="I30" i="22"/>
  <c r="K42" i="150"/>
  <c r="EP42" i="2" l="1"/>
  <c r="CX41" i="2"/>
  <c r="AJ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E39" i="106"/>
  <c r="C38" i="106"/>
  <c r="I27" i="146"/>
  <c r="I28" i="56"/>
  <c r="E37" i="156"/>
  <c r="C36" i="1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E40" i="130"/>
  <c r="C39" i="130"/>
  <c r="N43" i="1"/>
  <c r="I29" i="159"/>
  <c r="I46" i="150"/>
  <c r="J45" i="150"/>
  <c r="I27" i="109"/>
  <c r="E42" i="152"/>
  <c r="C41" i="152"/>
  <c r="C38" i="73"/>
  <c r="E39" i="73"/>
  <c r="I28" i="97"/>
  <c r="I27" i="120"/>
  <c r="I32" i="46"/>
  <c r="E41" i="20"/>
  <c r="C40" i="20"/>
  <c r="I29" i="30"/>
  <c r="E40" i="4"/>
  <c r="C39" i="4"/>
  <c r="Y43" i="2"/>
  <c r="I28" i="168"/>
  <c r="I30" i="77"/>
  <c r="K44" i="150"/>
  <c r="E37" i="30"/>
  <c r="C36" i="30"/>
  <c r="C38" i="163"/>
  <c r="E39" i="163"/>
  <c r="E40" i="25"/>
  <c r="C39" i="25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C39" i="150"/>
  <c r="E40" i="150"/>
  <c r="J40" i="150"/>
  <c r="K40" i="150" s="1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C39" i="161"/>
  <c r="E40" i="161"/>
  <c r="I29" i="66"/>
  <c r="I29" i="157"/>
  <c r="E40" i="104"/>
  <c r="C39" i="104"/>
  <c r="E38" i="102"/>
  <c r="C37" i="102"/>
  <c r="E41" i="147"/>
  <c r="C40" i="147"/>
  <c r="C39" i="112"/>
  <c r="E40" i="112"/>
  <c r="E40" i="54"/>
  <c r="C39" i="54"/>
  <c r="I28" i="20"/>
  <c r="C38" i="85"/>
  <c r="E39" i="85"/>
  <c r="I27" i="95"/>
  <c r="C41" i="158"/>
  <c r="E42" i="158"/>
  <c r="I28" i="50"/>
  <c r="E37" i="32"/>
  <c r="C36" i="32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C36" i="138"/>
  <c r="E37" i="138"/>
  <c r="I28" i="49"/>
  <c r="E41" i="13"/>
  <c r="C40" i="13"/>
  <c r="I29" i="129"/>
  <c r="C38" i="69"/>
  <c r="E39" i="69"/>
  <c r="I27" i="148"/>
  <c r="HO42" i="2"/>
  <c r="I28" i="121"/>
  <c r="EE43" i="2"/>
  <c r="I28" i="111"/>
  <c r="E37" i="87"/>
  <c r="C36" i="87"/>
  <c r="I27" i="100"/>
  <c r="I30" i="172"/>
  <c r="E42" i="58"/>
  <c r="C41" i="58"/>
  <c r="HD43" i="2"/>
  <c r="I29" i="25"/>
  <c r="I27" i="43"/>
  <c r="I28" i="151"/>
  <c r="C34" i="82"/>
  <c r="E35" i="82"/>
  <c r="CX42" i="2"/>
  <c r="I30" i="26"/>
  <c r="I32" i="7"/>
  <c r="E39" i="51"/>
  <c r="C38" i="51"/>
  <c r="I30" i="13"/>
  <c r="E42" i="8"/>
  <c r="C41" i="8"/>
  <c r="HC42" i="2"/>
  <c r="BP42" i="1"/>
  <c r="I31" i="32"/>
  <c r="I28" i="54"/>
  <c r="C38" i="72"/>
  <c r="E39" i="72"/>
  <c r="Y43" i="1"/>
  <c r="E37" i="157"/>
  <c r="C36" i="157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0" i="118"/>
  <c r="C39" i="118"/>
  <c r="E41" i="117"/>
  <c r="C40" i="117"/>
  <c r="I28" i="4"/>
  <c r="C40" i="101"/>
  <c r="E41" i="101"/>
  <c r="I29" i="83"/>
  <c r="E41" i="21"/>
  <c r="C40" i="21"/>
  <c r="E37" i="146"/>
  <c r="C36" i="146"/>
  <c r="E40" i="74"/>
  <c r="C39" i="74"/>
  <c r="I28" i="116"/>
  <c r="C38" i="84"/>
  <c r="E39" i="84"/>
  <c r="E40" i="19"/>
  <c r="C39" i="19"/>
  <c r="HY42" i="2"/>
  <c r="I29" i="115"/>
  <c r="I29" i="41"/>
  <c r="E40" i="16"/>
  <c r="C39" i="16"/>
  <c r="C40" i="133"/>
  <c r="E41" i="133"/>
  <c r="DH41" i="2"/>
  <c r="C39" i="60"/>
  <c r="E40" i="60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C38" i="120"/>
  <c r="E39" i="120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39" i="61"/>
  <c r="C38" i="61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0" i="103"/>
  <c r="C39" i="103"/>
  <c r="E41" i="63"/>
  <c r="C40" i="63"/>
  <c r="C41" i="91"/>
  <c r="E42" i="91"/>
  <c r="AJ43" i="1"/>
  <c r="I28" i="5"/>
  <c r="C40" i="122"/>
  <c r="E41" i="122"/>
  <c r="E39" i="168"/>
  <c r="C38" i="168"/>
  <c r="C38" i="149"/>
  <c r="E39" i="149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C39" i="139"/>
  <c r="E40" i="139"/>
  <c r="I28" i="123"/>
  <c r="E38" i="111"/>
  <c r="C37" i="111"/>
  <c r="E41" i="78"/>
  <c r="C40" i="78"/>
  <c r="E40" i="99"/>
  <c r="C39" i="99"/>
  <c r="E42" i="155"/>
  <c r="C41" i="155"/>
  <c r="CL41" i="2" s="1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E38" i="43"/>
  <c r="C37" i="43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E38" i="165"/>
  <c r="C37" i="165"/>
  <c r="I30" i="101"/>
  <c r="I28" i="76"/>
  <c r="E42" i="7"/>
  <c r="C41" i="7"/>
  <c r="EO41" i="2" s="1"/>
  <c r="AT42" i="1"/>
  <c r="HO43" i="2"/>
  <c r="C39" i="167"/>
  <c r="E40" i="167"/>
  <c r="I30" i="62"/>
  <c r="E38" i="59"/>
  <c r="C37" i="59"/>
  <c r="E40" i="22"/>
  <c r="C39" i="22"/>
  <c r="I27" i="130"/>
  <c r="C41" i="170"/>
  <c r="E42" i="170"/>
  <c r="I31" i="71"/>
  <c r="E41" i="119"/>
  <c r="C40" i="119"/>
  <c r="E38" i="105"/>
  <c r="C37" i="105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E35" i="98"/>
  <c r="C34" i="98"/>
  <c r="I28" i="21"/>
  <c r="I29" i="10"/>
  <c r="E37" i="166"/>
  <c r="C36" i="166"/>
  <c r="C40" i="108"/>
  <c r="E41" i="108"/>
  <c r="I30" i="122"/>
  <c r="E41" i="15"/>
  <c r="C40" i="15"/>
  <c r="C38" i="173"/>
  <c r="E39" i="173"/>
  <c r="DT41" i="2"/>
  <c r="E80" i="24"/>
  <c r="C79" i="24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E39" i="62"/>
  <c r="C38" i="62"/>
  <c r="K43" i="150"/>
  <c r="E42" i="90"/>
  <c r="C41" i="90"/>
  <c r="E38" i="160"/>
  <c r="C37" i="160"/>
  <c r="C41" i="92"/>
  <c r="E42" i="92"/>
  <c r="E41" i="33"/>
  <c r="C40" i="33"/>
  <c r="M41" i="2"/>
  <c r="FA42" i="2"/>
  <c r="I28" i="131"/>
  <c r="I29" i="113"/>
  <c r="E42" i="49"/>
  <c r="C41" i="49"/>
  <c r="AU43" i="1"/>
  <c r="BF43" i="2"/>
  <c r="E38" i="45"/>
  <c r="C37" i="45"/>
  <c r="N42" i="2"/>
  <c r="C39" i="68"/>
  <c r="E40" i="68"/>
  <c r="E40" i="11"/>
  <c r="C39" i="11"/>
  <c r="AU43" i="2"/>
  <c r="C40" i="162"/>
  <c r="E41" i="162"/>
  <c r="I30" i="78"/>
  <c r="I29" i="139"/>
  <c r="E40" i="129"/>
  <c r="C39" i="129"/>
  <c r="DS40" i="2"/>
  <c r="I32" i="61"/>
  <c r="E39" i="159"/>
  <c r="C38" i="159"/>
  <c r="E40" i="18"/>
  <c r="C39" i="18"/>
  <c r="C39" i="64"/>
  <c r="E40" i="64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AI41" i="2" s="1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EP41" i="2" l="1"/>
  <c r="CM41" i="2"/>
  <c r="BF41" i="2"/>
  <c r="AJ41" i="2"/>
  <c r="C39" i="76"/>
  <c r="E40" i="76"/>
  <c r="DT40" i="2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C38" i="129"/>
  <c r="E39" i="129"/>
  <c r="DS39" i="2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E36" i="156"/>
  <c r="C35" i="156"/>
  <c r="I32" i="14"/>
  <c r="I31" i="48"/>
  <c r="I33" i="133"/>
  <c r="I30" i="118"/>
  <c r="I33" i="74"/>
  <c r="I31" i="101"/>
  <c r="HZ42" i="2"/>
  <c r="I29" i="19"/>
  <c r="C38" i="67"/>
  <c r="E39" i="67"/>
  <c r="C38" i="161"/>
  <c r="E39" i="161"/>
  <c r="I31" i="128"/>
  <c r="E38" i="171"/>
  <c r="C37" i="171"/>
  <c r="E39" i="25"/>
  <c r="C38" i="25"/>
  <c r="K45" i="150"/>
  <c r="I29" i="56"/>
  <c r="I32" i="79"/>
  <c r="E39" i="19"/>
  <c r="C38" i="19"/>
  <c r="E38" i="72"/>
  <c r="C37" i="72"/>
  <c r="I31" i="172"/>
  <c r="I29" i="53"/>
  <c r="J46" i="150"/>
  <c r="I47" i="150"/>
  <c r="E37" i="165"/>
  <c r="C36" i="165"/>
  <c r="E38" i="123"/>
  <c r="C37" i="123"/>
  <c r="E39" i="128"/>
  <c r="C38" i="128"/>
  <c r="I29" i="54"/>
  <c r="I28" i="100"/>
  <c r="I32" i="22"/>
  <c r="I31" i="9"/>
  <c r="I30" i="149"/>
  <c r="E79" i="24"/>
  <c r="C78" i="24"/>
  <c r="I29" i="103"/>
  <c r="I28" i="47"/>
  <c r="C39" i="162"/>
  <c r="E40" i="162"/>
  <c r="I29" i="161"/>
  <c r="FW42" i="2"/>
  <c r="E41" i="91"/>
  <c r="C40" i="91"/>
  <c r="I29" i="119"/>
  <c r="I31" i="107"/>
  <c r="C35" i="32"/>
  <c r="E36" i="32"/>
  <c r="GS42" i="2"/>
  <c r="C37" i="163"/>
  <c r="E38" i="163"/>
  <c r="I30" i="159"/>
  <c r="I28" i="146"/>
  <c r="I28" i="11"/>
  <c r="C40" i="42"/>
  <c r="E41" i="42"/>
  <c r="FV41" i="2"/>
  <c r="I29" i="87"/>
  <c r="BQ42" i="2"/>
  <c r="C37" i="84"/>
  <c r="E38" i="84"/>
  <c r="I31" i="117"/>
  <c r="E36" i="87"/>
  <c r="C35" i="87"/>
  <c r="I28" i="140"/>
  <c r="I32" i="59"/>
  <c r="I30" i="72"/>
  <c r="C40" i="14"/>
  <c r="E41" i="14"/>
  <c r="GR41" i="2"/>
  <c r="C35" i="30"/>
  <c r="E36" i="30"/>
  <c r="C37" i="106"/>
  <c r="E38" i="106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C38" i="130"/>
  <c r="E39" i="130"/>
  <c r="E40" i="44"/>
  <c r="C39" i="44"/>
  <c r="C38" i="103"/>
  <c r="E39" i="103"/>
  <c r="I32" i="42"/>
  <c r="E39" i="74"/>
  <c r="C38" i="74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38" i="62"/>
  <c r="C37" i="62"/>
  <c r="E40" i="119"/>
  <c r="C39" i="119"/>
  <c r="I29" i="162"/>
  <c r="I28" i="40"/>
  <c r="HZ41" i="2"/>
  <c r="C35" i="146"/>
  <c r="E36" i="146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E38" i="51"/>
  <c r="C37" i="51"/>
  <c r="E38" i="85"/>
  <c r="C37" i="85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E37" i="105"/>
  <c r="C36" i="105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CA40" i="2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E37" i="45"/>
  <c r="C36" i="45"/>
  <c r="I30" i="28"/>
  <c r="C39" i="88"/>
  <c r="E40" i="88"/>
  <c r="I30" i="165"/>
  <c r="I28" i="58"/>
  <c r="I29" i="80"/>
  <c r="E41" i="50"/>
  <c r="C40" i="50"/>
  <c r="AT41" i="2"/>
  <c r="I28" i="130"/>
  <c r="I28" i="90"/>
  <c r="C40" i="46"/>
  <c r="AI40" i="1" s="1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37" i="173"/>
  <c r="E38" i="173"/>
  <c r="C40" i="6"/>
  <c r="E41" i="6"/>
  <c r="CA41" i="1"/>
  <c r="AU42" i="2"/>
  <c r="E38" i="86"/>
  <c r="C37" i="86"/>
  <c r="I29" i="73"/>
  <c r="E39" i="64"/>
  <c r="C38" i="64"/>
  <c r="I31" i="98"/>
  <c r="I28" i="96"/>
  <c r="E40" i="80"/>
  <c r="C39" i="80"/>
  <c r="I29" i="67"/>
  <c r="I30" i="18"/>
  <c r="C38" i="150"/>
  <c r="E39" i="150"/>
  <c r="J39" i="150"/>
  <c r="K39" i="150" s="1"/>
  <c r="C39" i="20"/>
  <c r="E40" i="20"/>
  <c r="C40" i="121"/>
  <c r="AI40" i="2" s="1"/>
  <c r="E41" i="121"/>
  <c r="C38" i="126"/>
  <c r="E39" i="126"/>
  <c r="E41" i="92"/>
  <c r="C40" i="92"/>
  <c r="I33" i="75"/>
  <c r="I29" i="21"/>
  <c r="E37" i="59"/>
  <c r="C36" i="59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38" i="120"/>
  <c r="C37" i="120"/>
  <c r="C38" i="118"/>
  <c r="E39" i="118"/>
  <c r="E34" i="82"/>
  <c r="C33" i="82"/>
  <c r="E40" i="13"/>
  <c r="C39" i="13"/>
  <c r="I31" i="142"/>
  <c r="N42" i="1"/>
  <c r="I33" i="46"/>
  <c r="I28" i="105"/>
  <c r="I31" i="127"/>
  <c r="I29" i="114"/>
  <c r="E40" i="10"/>
  <c r="C39" i="10"/>
  <c r="E39" i="60"/>
  <c r="C38" i="60"/>
  <c r="I33" i="145"/>
  <c r="E37" i="102"/>
  <c r="C36" i="102"/>
  <c r="I29" i="137"/>
  <c r="C40" i="12"/>
  <c r="E41" i="12"/>
  <c r="M41" i="1"/>
  <c r="X41" i="2"/>
  <c r="I31" i="89"/>
  <c r="C40" i="28"/>
  <c r="E41" i="28"/>
  <c r="E39" i="113"/>
  <c r="C38" i="113"/>
  <c r="C37" i="159"/>
  <c r="E38" i="159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6" i="160"/>
  <c r="E37" i="160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C36" i="43"/>
  <c r="E37" i="43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E38" i="149"/>
  <c r="C37" i="149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C37" i="168"/>
  <c r="E38" i="168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C35" i="138"/>
  <c r="E36" i="138"/>
  <c r="I30" i="157"/>
  <c r="C40" i="53"/>
  <c r="E41" i="53"/>
  <c r="I28" i="35"/>
  <c r="I31" i="51"/>
  <c r="E38" i="73"/>
  <c r="C37" i="73"/>
  <c r="I29" i="76"/>
  <c r="I31" i="78"/>
  <c r="I29" i="169"/>
  <c r="E34" i="98"/>
  <c r="C33" i="98"/>
  <c r="E40" i="33"/>
  <c r="C39" i="33"/>
  <c r="I31" i="156"/>
  <c r="C40" i="7"/>
  <c r="E41" i="7"/>
  <c r="AT41" i="1"/>
  <c r="IK41" i="2"/>
  <c r="C38" i="139"/>
  <c r="E39" i="139"/>
  <c r="E38" i="61"/>
  <c r="C37" i="61"/>
  <c r="E36" i="157"/>
  <c r="C35" i="157"/>
  <c r="E40" i="36"/>
  <c r="C39" i="36"/>
  <c r="CW39" i="2" s="1"/>
  <c r="E40" i="48"/>
  <c r="C39" i="48"/>
  <c r="I30" i="66"/>
  <c r="C39" i="151"/>
  <c r="E40" i="151"/>
  <c r="C40" i="152"/>
  <c r="M40" i="2" s="1"/>
  <c r="E41" i="152"/>
  <c r="AJ40" i="1" l="1"/>
  <c r="CX39" i="2"/>
  <c r="N40" i="2"/>
  <c r="AJ40" i="2"/>
  <c r="CM40" i="2"/>
  <c r="C39" i="7"/>
  <c r="E40" i="7"/>
  <c r="AT40" i="1"/>
  <c r="E36" i="160"/>
  <c r="C35" i="160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E37" i="72"/>
  <c r="C36" i="72"/>
  <c r="C35" i="43"/>
  <c r="E36" i="43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C37" i="74"/>
  <c r="E38" i="74"/>
  <c r="E39" i="63"/>
  <c r="C38" i="63"/>
  <c r="E39" i="162"/>
  <c r="C38" i="162"/>
  <c r="I33" i="14"/>
  <c r="I29" i="58"/>
  <c r="I32" i="135"/>
  <c r="E37" i="85"/>
  <c r="C36" i="85"/>
  <c r="E37" i="124"/>
  <c r="C36" i="124"/>
  <c r="I30" i="52"/>
  <c r="E37" i="84"/>
  <c r="C36" i="84"/>
  <c r="I29" i="47"/>
  <c r="C34" i="156"/>
  <c r="E35" i="156"/>
  <c r="I30" i="70"/>
  <c r="E37" i="47"/>
  <c r="C36" i="47"/>
  <c r="I30" i="126"/>
  <c r="E35" i="166"/>
  <c r="C34" i="166"/>
  <c r="I29" i="17"/>
  <c r="HD41" i="2"/>
  <c r="I33" i="42"/>
  <c r="I30" i="86"/>
  <c r="I33" i="79"/>
  <c r="I31" i="44"/>
  <c r="E37" i="51"/>
  <c r="C36" i="51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CW38" i="2" s="1"/>
  <c r="E39" i="36"/>
  <c r="I31" i="158"/>
  <c r="E36" i="102"/>
  <c r="C35" i="102"/>
  <c r="E33" i="98"/>
  <c r="C32" i="98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C37" i="60"/>
  <c r="E38" i="60"/>
  <c r="I32" i="98"/>
  <c r="E38" i="22"/>
  <c r="C37" i="22"/>
  <c r="FK40" i="2"/>
  <c r="E37" i="39"/>
  <c r="C36" i="39"/>
  <c r="I30" i="170"/>
  <c r="C39" i="8"/>
  <c r="E40" i="8"/>
  <c r="HC40" i="2"/>
  <c r="BP40" i="1"/>
  <c r="C37" i="103"/>
  <c r="E38" i="103"/>
  <c r="I31" i="63"/>
  <c r="I30" i="87"/>
  <c r="C77" i="24"/>
  <c r="E78" i="24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7" i="25"/>
  <c r="E38" i="25"/>
  <c r="C39" i="29"/>
  <c r="E40" i="29"/>
  <c r="E39" i="33"/>
  <c r="C38" i="33"/>
  <c r="M39" i="2"/>
  <c r="I29" i="163"/>
  <c r="I29" i="160"/>
  <c r="C37" i="64"/>
  <c r="E38" i="64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I30" i="76"/>
  <c r="DI40" i="2"/>
  <c r="I29" i="38"/>
  <c r="I30" i="73"/>
  <c r="I32" i="152"/>
  <c r="E36" i="34"/>
  <c r="C35" i="34"/>
  <c r="I33" i="71"/>
  <c r="I30" i="5"/>
  <c r="I30" i="85"/>
  <c r="E38" i="130"/>
  <c r="C37" i="130"/>
  <c r="I29" i="11"/>
  <c r="C38" i="122"/>
  <c r="E39" i="122"/>
  <c r="I34" i="61"/>
  <c r="C38" i="133"/>
  <c r="E39" i="133"/>
  <c r="DH39" i="2"/>
  <c r="I30" i="31"/>
  <c r="I33" i="27"/>
  <c r="I30" i="114"/>
  <c r="C37" i="99"/>
  <c r="E38" i="99"/>
  <c r="C36" i="86"/>
  <c r="E37" i="86"/>
  <c r="E39" i="108"/>
  <c r="C38" i="108"/>
  <c r="C35" i="45"/>
  <c r="E36" i="45"/>
  <c r="CB40" i="2"/>
  <c r="C36" i="26"/>
  <c r="E37" i="26"/>
  <c r="E38" i="116"/>
  <c r="C37" i="116"/>
  <c r="I30" i="33"/>
  <c r="I32" i="9"/>
  <c r="I30" i="155"/>
  <c r="I29" i="35"/>
  <c r="E39" i="151"/>
  <c r="C38" i="151"/>
  <c r="C36" i="73"/>
  <c r="E37" i="73"/>
  <c r="C37" i="65"/>
  <c r="E38" i="65"/>
  <c r="C35" i="59"/>
  <c r="E36" i="59"/>
  <c r="E39" i="31"/>
  <c r="C38" i="31"/>
  <c r="CA39" i="2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C37" i="161"/>
  <c r="E38" i="161"/>
  <c r="I31" i="37"/>
  <c r="C37" i="75"/>
  <c r="E38" i="75"/>
  <c r="E39" i="96"/>
  <c r="C38" i="96"/>
  <c r="I34" i="46"/>
  <c r="C34" i="146"/>
  <c r="E35" i="1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06"/>
  <c r="C36" i="106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C34" i="157"/>
  <c r="E35" i="157"/>
  <c r="I30" i="131"/>
  <c r="C38" i="140"/>
  <c r="E39" i="140"/>
  <c r="I34" i="15"/>
  <c r="I31" i="157"/>
  <c r="EE41" i="2"/>
  <c r="I30" i="123"/>
  <c r="C36" i="173"/>
  <c r="E37" i="17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C36" i="159"/>
  <c r="E37" i="15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E35" i="32"/>
  <c r="C34" i="32"/>
  <c r="I31" i="68"/>
  <c r="I31" i="173"/>
  <c r="I30" i="154"/>
  <c r="E40" i="14"/>
  <c r="C39" i="14"/>
  <c r="I32" i="107"/>
  <c r="E36" i="165"/>
  <c r="C35" i="165"/>
  <c r="I32" i="101"/>
  <c r="E39" i="154"/>
  <c r="C38" i="154"/>
  <c r="IJ39" i="2"/>
  <c r="GR40" i="2"/>
  <c r="E39" i="119"/>
  <c r="C38" i="119"/>
  <c r="E39" i="41"/>
  <c r="C38" i="41"/>
  <c r="I31" i="72"/>
  <c r="C36" i="61"/>
  <c r="E37" i="61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C36" i="149"/>
  <c r="E37" i="149"/>
  <c r="E40" i="93"/>
  <c r="C39" i="93"/>
  <c r="E39" i="164"/>
  <c r="C38" i="164"/>
  <c r="E39" i="20"/>
  <c r="C38" i="20"/>
  <c r="I29" i="90"/>
  <c r="I30" i="104"/>
  <c r="C36" i="62"/>
  <c r="E37" i="62"/>
  <c r="I33" i="59"/>
  <c r="K46" i="150"/>
  <c r="I34" i="74"/>
  <c r="DT39" i="2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C37" i="129"/>
  <c r="E38" i="129"/>
  <c r="DS38" i="2"/>
  <c r="X40" i="1"/>
  <c r="I31" i="66"/>
  <c r="E39" i="35"/>
  <c r="C38" i="35"/>
  <c r="E38" i="113"/>
  <c r="C37" i="113"/>
  <c r="E35" i="138"/>
  <c r="C34" i="138"/>
  <c r="I30" i="84"/>
  <c r="HO41" i="2"/>
  <c r="AJ41" i="1"/>
  <c r="C38" i="153"/>
  <c r="E39" i="153"/>
  <c r="I32" i="89"/>
  <c r="E38" i="118"/>
  <c r="C37" i="118"/>
  <c r="I30" i="108"/>
  <c r="I29" i="130"/>
  <c r="E39" i="114"/>
  <c r="C38" i="114"/>
  <c r="Y41" i="2"/>
  <c r="C36" i="120"/>
  <c r="E37" i="120"/>
  <c r="E38" i="150"/>
  <c r="C37" i="150"/>
  <c r="J38" i="150"/>
  <c r="K38" i="150" s="1"/>
  <c r="E36" i="105"/>
  <c r="C35" i="105"/>
  <c r="I29" i="140"/>
  <c r="I34" i="133"/>
  <c r="E37" i="141"/>
  <c r="C36" i="141"/>
  <c r="E40" i="136"/>
  <c r="C39" i="136"/>
  <c r="C37" i="54"/>
  <c r="E38" i="54"/>
  <c r="E38" i="9"/>
  <c r="C37" i="9"/>
  <c r="E33" i="82"/>
  <c r="C32" i="82"/>
  <c r="J32" i="82" s="1"/>
  <c r="C37" i="139"/>
  <c r="E38" i="139"/>
  <c r="AU41" i="1"/>
  <c r="HN40" i="2"/>
  <c r="E37" i="168"/>
  <c r="C36" i="168"/>
  <c r="I30" i="97"/>
  <c r="N41" i="1"/>
  <c r="I31" i="18"/>
  <c r="C36" i="69"/>
  <c r="E37" i="69"/>
  <c r="AU41" i="2"/>
  <c r="E40" i="143"/>
  <c r="C39" i="143"/>
  <c r="I31" i="124"/>
  <c r="I30" i="111"/>
  <c r="BQ41" i="2"/>
  <c r="C34" i="87"/>
  <c r="E35" i="87"/>
  <c r="I32" i="172"/>
  <c r="E39" i="79"/>
  <c r="C38" i="79"/>
  <c r="CX38" i="2" l="1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C36" i="161"/>
  <c r="E37" i="161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I30" i="95"/>
  <c r="I30" i="171"/>
  <c r="I31" i="57"/>
  <c r="E36" i="26"/>
  <c r="C35" i="26"/>
  <c r="E37" i="64"/>
  <c r="C36" i="64"/>
  <c r="I30" i="120"/>
  <c r="I33" i="117"/>
  <c r="I34" i="82"/>
  <c r="J33" i="82"/>
  <c r="K32" i="82" s="1"/>
  <c r="HZ40" i="2"/>
  <c r="C36" i="118"/>
  <c r="E37" i="118"/>
  <c r="HZ39" i="2"/>
  <c r="I32" i="93"/>
  <c r="E36" i="149"/>
  <c r="C35" i="149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E34" i="156"/>
  <c r="C33" i="156"/>
  <c r="AU40" i="2"/>
  <c r="C35" i="168"/>
  <c r="E36" i="168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E32" i="82"/>
  <c r="C31" i="82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EZ38" i="2"/>
  <c r="E35" i="45"/>
  <c r="C34" i="45"/>
  <c r="I33" i="152"/>
  <c r="I30" i="163"/>
  <c r="E37" i="148"/>
  <c r="C36" i="148"/>
  <c r="I31" i="103"/>
  <c r="E36" i="84"/>
  <c r="C35" i="84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C76" i="24"/>
  <c r="E77" i="24"/>
  <c r="E36" i="37"/>
  <c r="C35" i="37"/>
  <c r="C37" i="89"/>
  <c r="E38" i="89"/>
  <c r="I31" i="67"/>
  <c r="E39" i="172"/>
  <c r="C38" i="172"/>
  <c r="C35" i="173"/>
  <c r="E36" i="173"/>
  <c r="I31" i="21"/>
  <c r="I31" i="73"/>
  <c r="I32" i="113"/>
  <c r="I31" i="87"/>
  <c r="I31" i="52"/>
  <c r="I30" i="143"/>
  <c r="J48" i="150"/>
  <c r="K47" i="150" s="1"/>
  <c r="I49" i="150"/>
  <c r="C34" i="165"/>
  <c r="E35" i="165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6" i="51"/>
  <c r="C35" i="51"/>
  <c r="E36" i="85"/>
  <c r="C35" i="85"/>
  <c r="E37" i="18"/>
  <c r="C36" i="18"/>
  <c r="C38" i="12"/>
  <c r="E39" i="12"/>
  <c r="X39" i="2"/>
  <c r="M39" i="1"/>
  <c r="I33" i="89"/>
  <c r="I33" i="107"/>
  <c r="C35" i="159"/>
  <c r="E36" i="159"/>
  <c r="I32" i="60"/>
  <c r="C37" i="70"/>
  <c r="E38" i="70"/>
  <c r="I32" i="115"/>
  <c r="C34" i="111"/>
  <c r="E35" i="111"/>
  <c r="E38" i="31"/>
  <c r="C37" i="31"/>
  <c r="I32" i="41"/>
  <c r="C36" i="25"/>
  <c r="E37" i="25"/>
  <c r="I33" i="62"/>
  <c r="C36" i="19"/>
  <c r="E37" i="19"/>
  <c r="E35" i="160"/>
  <c r="C34" i="160"/>
  <c r="C36" i="16"/>
  <c r="E37" i="16"/>
  <c r="E39" i="121"/>
  <c r="C38" i="121"/>
  <c r="I33" i="13"/>
  <c r="E39" i="14"/>
  <c r="C38" i="14"/>
  <c r="E39" i="49"/>
  <c r="C38" i="49"/>
  <c r="I32" i="157"/>
  <c r="I31" i="114"/>
  <c r="E35" i="131"/>
  <c r="C34" i="131"/>
  <c r="E37" i="103"/>
  <c r="C36" i="103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4" i="138"/>
  <c r="C33" i="138"/>
  <c r="E38" i="21"/>
  <c r="C37" i="21"/>
  <c r="EE40" i="2"/>
  <c r="I35" i="15"/>
  <c r="C36" i="144"/>
  <c r="E37" i="144"/>
  <c r="I33" i="164"/>
  <c r="E35" i="59"/>
  <c r="C34" i="59"/>
  <c r="C38" i="152"/>
  <c r="M38" i="2" s="1"/>
  <c r="E39" i="152"/>
  <c r="I32" i="23"/>
  <c r="E38" i="44"/>
  <c r="C37" i="44"/>
  <c r="HD40" i="2"/>
  <c r="E32" i="98"/>
  <c r="C31" i="98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AT39" i="1"/>
  <c r="I33" i="142"/>
  <c r="E34" i="87"/>
  <c r="C33" i="87"/>
  <c r="I31" i="84"/>
  <c r="C36" i="65"/>
  <c r="E37" i="65"/>
  <c r="I31" i="31"/>
  <c r="I31" i="153"/>
  <c r="C38" i="8"/>
  <c r="E39" i="8"/>
  <c r="HC39" i="2"/>
  <c r="BP39" i="1"/>
  <c r="E35" i="102"/>
  <c r="C34" i="102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4" i="105"/>
  <c r="E35" i="105"/>
  <c r="C37" i="35"/>
  <c r="E38" i="35"/>
  <c r="I34" i="59"/>
  <c r="E36" i="73"/>
  <c r="C35" i="73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AI38" i="2"/>
  <c r="I31" i="116"/>
  <c r="I31" i="131"/>
  <c r="I30" i="64"/>
  <c r="E38" i="151"/>
  <c r="C37" i="151"/>
  <c r="E38" i="133"/>
  <c r="C37" i="133"/>
  <c r="DH38" i="2"/>
  <c r="E36" i="171"/>
  <c r="C35" i="171"/>
  <c r="C35" i="39"/>
  <c r="E36" i="39"/>
  <c r="C36" i="112"/>
  <c r="E37" i="112"/>
  <c r="E35" i="43"/>
  <c r="C34" i="43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3" i="32"/>
  <c r="E34" i="32"/>
  <c r="C36" i="67"/>
  <c r="E37" i="67"/>
  <c r="E34" i="146"/>
  <c r="C33" i="146"/>
  <c r="I30" i="8"/>
  <c r="I35" i="61"/>
  <c r="I32" i="149"/>
  <c r="E38" i="88"/>
  <c r="C37" i="88"/>
  <c r="FK38" i="2"/>
  <c r="E37" i="4"/>
  <c r="C36" i="4"/>
  <c r="CL39" i="2"/>
  <c r="C35" i="72"/>
  <c r="E36" i="72"/>
  <c r="E37" i="150"/>
  <c r="C36" i="150"/>
  <c r="J37" i="150"/>
  <c r="K37" i="150" s="1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6" i="139"/>
  <c r="E37" i="139"/>
  <c r="C35" i="141"/>
  <c r="E36" i="141"/>
  <c r="E36" i="62"/>
  <c r="C35" i="62"/>
  <c r="FW40" i="2"/>
  <c r="I31" i="3"/>
  <c r="E37" i="22"/>
  <c r="C36" i="22"/>
  <c r="I31" i="161"/>
  <c r="I31" i="53"/>
  <c r="C35" i="69"/>
  <c r="E36" i="69"/>
  <c r="I31" i="104"/>
  <c r="DT38" i="2"/>
  <c r="E39" i="91"/>
  <c r="C38" i="91"/>
  <c r="C36" i="57"/>
  <c r="E37" i="57"/>
  <c r="E36" i="123"/>
  <c r="C35" i="123"/>
  <c r="E38" i="76"/>
  <c r="C37" i="76"/>
  <c r="E36" i="106"/>
  <c r="C35" i="10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E36" i="120"/>
  <c r="C35" i="120"/>
  <c r="I30" i="90"/>
  <c r="BF40" i="2"/>
  <c r="E37" i="110"/>
  <c r="C36" i="110"/>
  <c r="I33" i="98"/>
  <c r="J32" i="98"/>
  <c r="E34" i="166"/>
  <c r="C33" i="166"/>
  <c r="E37" i="74"/>
  <c r="C36" i="74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C33" i="157"/>
  <c r="E34" i="157"/>
  <c r="E37" i="129"/>
  <c r="C36" i="129"/>
  <c r="DS37" i="2"/>
  <c r="I34" i="32"/>
  <c r="J33" i="32"/>
  <c r="C37" i="145"/>
  <c r="CW37" i="2" s="1"/>
  <c r="E38" i="145"/>
  <c r="C37" i="125"/>
  <c r="E38" i="125"/>
  <c r="I33" i="127"/>
  <c r="I33" i="9"/>
  <c r="E38" i="20"/>
  <c r="C37" i="20"/>
  <c r="C35" i="61"/>
  <c r="E36" i="61"/>
  <c r="I31" i="162"/>
  <c r="E37" i="75"/>
  <c r="C36" i="75"/>
  <c r="I31" i="138"/>
  <c r="E37" i="130"/>
  <c r="C36" i="130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EO38" i="2"/>
  <c r="Y40" i="1"/>
  <c r="C37" i="114"/>
  <c r="E38" i="114"/>
  <c r="C38" i="56"/>
  <c r="E39" i="56"/>
  <c r="E34" i="30"/>
  <c r="C33" i="30"/>
  <c r="I30" i="174"/>
  <c r="I31" i="33"/>
  <c r="E37" i="60"/>
  <c r="C36" i="60"/>
  <c r="I31" i="56"/>
  <c r="C36" i="17"/>
  <c r="E37" i="17"/>
  <c r="I30" i="55"/>
  <c r="C38" i="100"/>
  <c r="E39" i="100"/>
  <c r="E38" i="41"/>
  <c r="C37" i="41"/>
  <c r="BE38" i="2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N38" i="2" l="1"/>
  <c r="CX37" i="2"/>
  <c r="J33" i="156"/>
  <c r="I34" i="156"/>
  <c r="I32" i="97"/>
  <c r="C37" i="56"/>
  <c r="E38" i="56"/>
  <c r="E35" i="69"/>
  <c r="C34" i="69"/>
  <c r="I33" i="159"/>
  <c r="I31" i="130"/>
  <c r="I34" i="13"/>
  <c r="I33" i="129"/>
  <c r="I32" i="88"/>
  <c r="E76" i="24"/>
  <c r="C75" i="24"/>
  <c r="I32" i="168"/>
  <c r="IK38" i="2"/>
  <c r="C37" i="50"/>
  <c r="E38" i="50"/>
  <c r="AT38" i="2"/>
  <c r="C36" i="132"/>
  <c r="E37" i="132"/>
  <c r="C35" i="64"/>
  <c r="E36" i="64"/>
  <c r="I34" i="122"/>
  <c r="I32" i="3"/>
  <c r="IV38" i="2"/>
  <c r="I34" i="142"/>
  <c r="E34" i="59"/>
  <c r="C33" i="59"/>
  <c r="EE39" i="2"/>
  <c r="E35" i="61"/>
  <c r="C34" i="61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AJ38" i="2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C33" i="165"/>
  <c r="E34" i="165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E33" i="87"/>
  <c r="C32" i="87"/>
  <c r="I33" i="23"/>
  <c r="E38" i="29"/>
  <c r="C37" i="29"/>
  <c r="X38" i="1"/>
  <c r="I50" i="150"/>
  <c r="J49" i="150"/>
  <c r="E36" i="128"/>
  <c r="C35" i="128"/>
  <c r="I31" i="102"/>
  <c r="I31" i="65"/>
  <c r="I35" i="71"/>
  <c r="C35" i="113"/>
  <c r="E36" i="113"/>
  <c r="E37" i="122"/>
  <c r="C36" i="122"/>
  <c r="E36" i="150"/>
  <c r="C35" i="150"/>
  <c r="J36" i="150"/>
  <c r="K36" i="150" s="1"/>
  <c r="E38" i="92"/>
  <c r="C37" i="92"/>
  <c r="I36" i="145"/>
  <c r="C33" i="160"/>
  <c r="E34" i="160"/>
  <c r="E38" i="12"/>
  <c r="C37" i="12"/>
  <c r="M38" i="1"/>
  <c r="X38" i="2"/>
  <c r="I36" i="12"/>
  <c r="K48" i="150"/>
  <c r="C36" i="95"/>
  <c r="E37" i="95"/>
  <c r="I31" i="171"/>
  <c r="I31" i="146"/>
  <c r="E35" i="47"/>
  <c r="C34" i="47"/>
  <c r="E37" i="97"/>
  <c r="C36" i="97"/>
  <c r="I34" i="127"/>
  <c r="E36" i="74"/>
  <c r="C35" i="74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C30" i="82"/>
  <c r="E31" i="82"/>
  <c r="J31" i="82"/>
  <c r="K31" i="82" s="1"/>
  <c r="I31" i="95"/>
  <c r="E35" i="72"/>
  <c r="C34" i="72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E35" i="85"/>
  <c r="C34" i="85"/>
  <c r="I31" i="91"/>
  <c r="I32" i="52"/>
  <c r="E37" i="80"/>
  <c r="C36" i="80"/>
  <c r="I31" i="100"/>
  <c r="E38" i="107"/>
  <c r="C37" i="107"/>
  <c r="I32" i="155"/>
  <c r="E36" i="83"/>
  <c r="C35" i="83"/>
  <c r="E35" i="62"/>
  <c r="C34" i="62"/>
  <c r="C36" i="153"/>
  <c r="E37" i="153"/>
  <c r="GS39" i="2"/>
  <c r="C36" i="48"/>
  <c r="E37" i="48"/>
  <c r="I34" i="62"/>
  <c r="I35" i="24"/>
  <c r="E35" i="84"/>
  <c r="C34" i="84"/>
  <c r="I34" i="29"/>
  <c r="E36" i="66"/>
  <c r="C35" i="66"/>
  <c r="I33" i="173"/>
  <c r="I34" i="98"/>
  <c r="J33" i="98"/>
  <c r="E36" i="4"/>
  <c r="C35" i="4"/>
  <c r="I35" i="27"/>
  <c r="C34" i="51"/>
  <c r="E35" i="51"/>
  <c r="I32" i="87"/>
  <c r="I35" i="32"/>
  <c r="J34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E36" i="25"/>
  <c r="C35" i="25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5" i="129"/>
  <c r="E36" i="129"/>
  <c r="DS36" i="2"/>
  <c r="C36" i="96"/>
  <c r="E37" i="96"/>
  <c r="E37" i="88"/>
  <c r="C36" i="88"/>
  <c r="C33" i="43"/>
  <c r="E34" i="43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DT37" i="2"/>
  <c r="C37" i="100"/>
  <c r="E38" i="100"/>
  <c r="E36" i="139"/>
  <c r="C35" i="139"/>
  <c r="I33" i="158"/>
  <c r="I34" i="51"/>
  <c r="I31" i="58"/>
  <c r="I31" i="45"/>
  <c r="CA38" i="2"/>
  <c r="E38" i="28"/>
  <c r="C37" i="28"/>
  <c r="I33" i="28"/>
  <c r="C34" i="149"/>
  <c r="E35" i="149"/>
  <c r="I33" i="165"/>
  <c r="I33" i="37"/>
  <c r="C34" i="106"/>
  <c r="E35" i="106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5" i="120"/>
  <c r="C34" i="120"/>
  <c r="E37" i="76"/>
  <c r="C36" i="76"/>
  <c r="CL38" i="2"/>
  <c r="E36" i="112"/>
  <c r="C35" i="112"/>
  <c r="I32" i="170"/>
  <c r="C35" i="103"/>
  <c r="E36" i="103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E35" i="173"/>
  <c r="C34" i="173"/>
  <c r="E34" i="45"/>
  <c r="C33" i="45"/>
  <c r="I31" i="148"/>
  <c r="I36" i="74"/>
  <c r="J35" i="74"/>
  <c r="I34" i="136"/>
  <c r="E35" i="73"/>
  <c r="C34" i="73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J35" i="61"/>
  <c r="I36" i="61"/>
  <c r="I35" i="22"/>
  <c r="E34" i="131"/>
  <c r="C33" i="131"/>
  <c r="E36" i="60"/>
  <c r="C35" i="60"/>
  <c r="E36" i="130"/>
  <c r="C35" i="130"/>
  <c r="E38" i="46"/>
  <c r="C37" i="46"/>
  <c r="AI38" i="1"/>
  <c r="C32" i="146"/>
  <c r="E33" i="146"/>
  <c r="E34" i="102"/>
  <c r="C33" i="102"/>
  <c r="I32" i="114"/>
  <c r="I31" i="36"/>
  <c r="FA38" i="2"/>
  <c r="C35" i="118"/>
  <c r="E36" i="118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DH37" i="2"/>
  <c r="J34" i="59"/>
  <c r="I35" i="59"/>
  <c r="BQ39" i="1"/>
  <c r="I32" i="111"/>
  <c r="I32" i="67"/>
  <c r="C34" i="168"/>
  <c r="E35" i="168"/>
  <c r="I32" i="5"/>
  <c r="E37" i="125"/>
  <c r="C36" i="125"/>
  <c r="AJ39" i="1"/>
  <c r="C32" i="157"/>
  <c r="E33" i="157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BF38" i="2"/>
  <c r="C34" i="40"/>
  <c r="E35" i="40"/>
  <c r="E35" i="123"/>
  <c r="C34" i="123"/>
  <c r="C34" i="39"/>
  <c r="E35" i="39"/>
  <c r="E33" i="138"/>
  <c r="C32" i="138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E33" i="32"/>
  <c r="C32" i="32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C32" i="156"/>
  <c r="E33" i="156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E34" i="105"/>
  <c r="C33" i="105"/>
  <c r="C37" i="93"/>
  <c r="E38" i="93"/>
  <c r="E38" i="14"/>
  <c r="C37" i="14"/>
  <c r="E35" i="159"/>
  <c r="C34" i="159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C30" i="98"/>
  <c r="E31" i="98"/>
  <c r="J31" i="98"/>
  <c r="K31" i="98" s="1"/>
  <c r="E35" i="115"/>
  <c r="C34" i="115"/>
  <c r="E38" i="27"/>
  <c r="C37" i="27"/>
  <c r="IJ37" i="2" s="1"/>
  <c r="E37" i="169"/>
  <c r="C36" i="169"/>
  <c r="HY37" i="2"/>
  <c r="C35" i="161"/>
  <c r="E36" i="161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N37" i="2" l="1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2" i="157"/>
  <c r="C31" i="157"/>
  <c r="E33" i="131"/>
  <c r="C32" i="131"/>
  <c r="I35" i="152"/>
  <c r="I35" i="132"/>
  <c r="I33" i="169"/>
  <c r="I33" i="106"/>
  <c r="I35" i="164"/>
  <c r="C29" i="82"/>
  <c r="E30" i="82"/>
  <c r="J30" i="82"/>
  <c r="K30" i="82" s="1"/>
  <c r="E34" i="47"/>
  <c r="C33" i="47"/>
  <c r="I37" i="134"/>
  <c r="J36" i="134"/>
  <c r="E37" i="155"/>
  <c r="C36" i="155"/>
  <c r="AU38" i="2"/>
  <c r="E32" i="32"/>
  <c r="C31" i="32"/>
  <c r="J32" i="32"/>
  <c r="K32" i="32" s="1"/>
  <c r="C31" i="138"/>
  <c r="E32" i="138"/>
  <c r="I32" i="40"/>
  <c r="I35" i="136"/>
  <c r="C34" i="9"/>
  <c r="E35" i="9"/>
  <c r="J33" i="165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K35" i="74"/>
  <c r="I32" i="163"/>
  <c r="C34" i="148"/>
  <c r="E35" i="148"/>
  <c r="C36" i="53"/>
  <c r="E37" i="53"/>
  <c r="AT37" i="1"/>
  <c r="C36" i="7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C29" i="98"/>
  <c r="E30" i="98"/>
  <c r="J30" i="98"/>
  <c r="K30" i="98" s="1"/>
  <c r="J36" i="74"/>
  <c r="I37" i="74"/>
  <c r="E34" i="149"/>
  <c r="C33" i="149"/>
  <c r="I35" i="62"/>
  <c r="J34" i="62"/>
  <c r="I32" i="38"/>
  <c r="E35" i="128"/>
  <c r="C34" i="128"/>
  <c r="E33" i="165"/>
  <c r="C32" i="165"/>
  <c r="J36" i="7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C33" i="159"/>
  <c r="E34" i="159"/>
  <c r="E33" i="105"/>
  <c r="C32" i="105"/>
  <c r="I35" i="16"/>
  <c r="C34" i="67"/>
  <c r="E35" i="67"/>
  <c r="C33" i="123"/>
  <c r="E34" i="123"/>
  <c r="E37" i="158"/>
  <c r="C36" i="158"/>
  <c r="K35" i="61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3" i="45"/>
  <c r="C32" i="45"/>
  <c r="E35" i="103"/>
  <c r="C34" i="103"/>
  <c r="E37" i="28"/>
  <c r="C36" i="28"/>
  <c r="C36" i="90"/>
  <c r="E37" i="90"/>
  <c r="J50" i="150"/>
  <c r="K49" i="150" s="1"/>
  <c r="I51" i="150"/>
  <c r="C35" i="20"/>
  <c r="E36" i="20"/>
  <c r="J35" i="79"/>
  <c r="I36" i="79"/>
  <c r="I33" i="73"/>
  <c r="E35" i="18"/>
  <c r="C34" i="18"/>
  <c r="E36" i="95"/>
  <c r="C35" i="95"/>
  <c r="Y38" i="1"/>
  <c r="E35" i="16"/>
  <c r="C34" i="16"/>
  <c r="E34" i="26"/>
  <c r="C33" i="26"/>
  <c r="C35" i="79"/>
  <c r="E36" i="79"/>
  <c r="C74" i="24"/>
  <c r="E75" i="24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E34" i="173"/>
  <c r="C33" i="173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CW35" i="2"/>
  <c r="E35" i="99"/>
  <c r="C34" i="99"/>
  <c r="C35" i="119"/>
  <c r="E36" i="119"/>
  <c r="C33" i="62"/>
  <c r="E34" i="62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J33" i="149"/>
  <c r="I34" i="149"/>
  <c r="I36" i="32"/>
  <c r="J35" i="32"/>
  <c r="K34" i="32" s="1"/>
  <c r="Y38" i="2"/>
  <c r="I34" i="23"/>
  <c r="E36" i="63"/>
  <c r="C35" i="63"/>
  <c r="CL36" i="2"/>
  <c r="I33" i="111"/>
  <c r="C35" i="38"/>
  <c r="E36" i="38"/>
  <c r="E37" i="109"/>
  <c r="C36" i="109"/>
  <c r="ED37" i="2"/>
  <c r="C35" i="101"/>
  <c r="E36" i="101"/>
  <c r="N38" i="1"/>
  <c r="E32" i="87"/>
  <c r="C31" i="87"/>
  <c r="C35" i="10"/>
  <c r="E36" i="10"/>
  <c r="I34" i="129"/>
  <c r="E37" i="49"/>
  <c r="C36" i="49"/>
  <c r="E35" i="104"/>
  <c r="C34" i="104"/>
  <c r="C36" i="174"/>
  <c r="E37" i="174"/>
  <c r="CM38" i="2"/>
  <c r="I32" i="58"/>
  <c r="C34" i="161"/>
  <c r="E35" i="161"/>
  <c r="I34" i="167"/>
  <c r="E36" i="151"/>
  <c r="C35" i="151"/>
  <c r="C34" i="17"/>
  <c r="E35" i="17"/>
  <c r="C35" i="76"/>
  <c r="E36" i="76"/>
  <c r="I37" i="15"/>
  <c r="J36" i="15"/>
  <c r="I33" i="87"/>
  <c r="J32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5" i="118"/>
  <c r="C34" i="118"/>
  <c r="E36" i="78"/>
  <c r="C35" i="78"/>
  <c r="J34" i="51"/>
  <c r="I35" i="51"/>
  <c r="I36" i="42"/>
  <c r="E36" i="15"/>
  <c r="C35" i="15"/>
  <c r="C35" i="142"/>
  <c r="E36" i="142"/>
  <c r="FW38" i="2"/>
  <c r="C33" i="61"/>
  <c r="E34" i="61"/>
  <c r="J34" i="61"/>
  <c r="K34" i="61" s="1"/>
  <c r="I33" i="137"/>
  <c r="I36" i="82"/>
  <c r="J35" i="82"/>
  <c r="K34" i="82" s="1"/>
  <c r="I36" i="59"/>
  <c r="J35" i="59"/>
  <c r="I32" i="43"/>
  <c r="I34" i="92"/>
  <c r="C33" i="120"/>
  <c r="E34" i="120"/>
  <c r="E34" i="51"/>
  <c r="C33" i="51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E33" i="43"/>
  <c r="C32" i="43"/>
  <c r="I36" i="27"/>
  <c r="C36" i="107"/>
  <c r="E37" i="107"/>
  <c r="I33" i="20"/>
  <c r="I32" i="147"/>
  <c r="E33" i="160"/>
  <c r="C32" i="160"/>
  <c r="E36" i="44"/>
  <c r="C35" i="44"/>
  <c r="I32" i="36"/>
  <c r="C34" i="139"/>
  <c r="E35" i="139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E33" i="59"/>
  <c r="C32" i="59"/>
  <c r="J33" i="59"/>
  <c r="K33" i="59" s="1"/>
  <c r="I34" i="159"/>
  <c r="J33" i="159"/>
  <c r="E36" i="145"/>
  <c r="C35" i="145"/>
  <c r="E36" i="133"/>
  <c r="C35" i="133"/>
  <c r="DH36" i="2"/>
  <c r="C34" i="68"/>
  <c r="E35" i="68"/>
  <c r="I32" i="81"/>
  <c r="J32" i="30"/>
  <c r="E36" i="88"/>
  <c r="C35" i="88"/>
  <c r="FK36" i="2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J32" i="138"/>
  <c r="I33" i="114"/>
  <c r="I34" i="30"/>
  <c r="J33" i="30"/>
  <c r="E37" i="100"/>
  <c r="C36" i="100"/>
  <c r="E37" i="92"/>
  <c r="C36" i="92"/>
  <c r="C36" i="143"/>
  <c r="E37" i="143"/>
  <c r="C35" i="71"/>
  <c r="E36" i="71"/>
  <c r="I33" i="19"/>
  <c r="E37" i="91"/>
  <c r="C36" i="91"/>
  <c r="E33" i="102"/>
  <c r="C32" i="102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DT36" i="2"/>
  <c r="K33" i="32"/>
  <c r="C34" i="150"/>
  <c r="E35" i="150"/>
  <c r="J35" i="150"/>
  <c r="K35" i="150" s="1"/>
  <c r="I33" i="97"/>
  <c r="I35" i="77"/>
  <c r="I35" i="117"/>
  <c r="E32" i="146"/>
  <c r="C31" i="146"/>
  <c r="J31" i="146" s="1"/>
  <c r="J34" i="26"/>
  <c r="I35" i="26"/>
  <c r="I32" i="90"/>
  <c r="I34" i="173"/>
  <c r="J33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BE36" i="2"/>
  <c r="E35" i="129"/>
  <c r="C34" i="129"/>
  <c r="DS35" i="2"/>
  <c r="I32" i="112"/>
  <c r="I32" i="91"/>
  <c r="I34" i="124"/>
  <c r="E35" i="74"/>
  <c r="C34" i="74"/>
  <c r="E36" i="122"/>
  <c r="C35" i="122"/>
  <c r="I33" i="53"/>
  <c r="I33" i="3"/>
  <c r="J34" i="156"/>
  <c r="K33" i="156" s="1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C34" i="25"/>
  <c r="E35" i="25"/>
  <c r="E35" i="66"/>
  <c r="C34" i="66"/>
  <c r="E34" i="72"/>
  <c r="C33" i="72"/>
  <c r="J33" i="72" s="1"/>
  <c r="I32" i="109"/>
  <c r="E33" i="111"/>
  <c r="C32" i="111"/>
  <c r="J32" i="111" s="1"/>
  <c r="I35" i="135"/>
  <c r="C36" i="52"/>
  <c r="E37" i="52"/>
  <c r="BP37" i="2"/>
  <c r="E34" i="85"/>
  <c r="C33" i="85"/>
  <c r="I33" i="57"/>
  <c r="I35" i="122"/>
  <c r="E32" i="166"/>
  <c r="C31" i="166"/>
  <c r="GS38" i="2"/>
  <c r="C34" i="130"/>
  <c r="E35" i="130"/>
  <c r="I33" i="70"/>
  <c r="I35" i="48"/>
  <c r="I35" i="29"/>
  <c r="I32" i="95"/>
  <c r="J34" i="127"/>
  <c r="I35" i="127"/>
  <c r="C34" i="113"/>
  <c r="E35" i="113"/>
  <c r="I34" i="44"/>
  <c r="J36" i="46"/>
  <c r="I37" i="46"/>
  <c r="E34" i="168"/>
  <c r="C33" i="168"/>
  <c r="C33" i="86"/>
  <c r="E34" i="86"/>
  <c r="I33" i="56"/>
  <c r="I34" i="83"/>
  <c r="I34" i="18"/>
  <c r="I32" i="17"/>
  <c r="I33" i="39"/>
  <c r="I33" i="108"/>
  <c r="C33" i="106"/>
  <c r="E34" i="106"/>
  <c r="C36" i="58"/>
  <c r="E37" i="58"/>
  <c r="EO37" i="2"/>
  <c r="CB38" i="1"/>
  <c r="E36" i="23"/>
  <c r="C35" i="23"/>
  <c r="E35" i="64"/>
  <c r="C34" i="64"/>
  <c r="J36" i="133"/>
  <c r="I37" i="133"/>
  <c r="C31" i="156"/>
  <c r="E32" i="156"/>
  <c r="J32" i="156"/>
  <c r="K32" i="156" s="1"/>
  <c r="E34" i="124"/>
  <c r="C33" i="124"/>
  <c r="E37" i="14"/>
  <c r="C36" i="14"/>
  <c r="I33" i="144"/>
  <c r="J33" i="157"/>
  <c r="I34" i="157"/>
  <c r="E35" i="60"/>
  <c r="C34" i="60"/>
  <c r="C33" i="73"/>
  <c r="E34" i="73"/>
  <c r="I34" i="93"/>
  <c r="I32" i="141"/>
  <c r="I33" i="85"/>
  <c r="E34" i="84"/>
  <c r="C33" i="84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J32" i="157"/>
  <c r="K32" i="157" s="1"/>
  <c r="I32" i="55"/>
  <c r="I34" i="37"/>
  <c r="J33" i="37"/>
  <c r="K32" i="98"/>
  <c r="C34" i="144"/>
  <c r="E35" i="144"/>
  <c r="I32" i="65"/>
  <c r="C35" i="132"/>
  <c r="E36" i="132"/>
  <c r="GR37" i="2"/>
  <c r="IK36" i="2" l="1"/>
  <c r="I38" i="133"/>
  <c r="J37" i="133"/>
  <c r="I33" i="109"/>
  <c r="E34" i="144"/>
  <c r="C33" i="144"/>
  <c r="I33" i="141"/>
  <c r="I34" i="108"/>
  <c r="E34" i="130"/>
  <c r="C33" i="130"/>
  <c r="J35" i="128"/>
  <c r="I36" i="128"/>
  <c r="I34" i="52"/>
  <c r="E34" i="22"/>
  <c r="C33" i="22"/>
  <c r="J34" i="22"/>
  <c r="K34" i="22" s="1"/>
  <c r="I33" i="100"/>
  <c r="E32" i="43"/>
  <c r="C31" i="43"/>
  <c r="I37" i="14"/>
  <c r="J36" i="14"/>
  <c r="I36" i="51"/>
  <c r="J35" i="51"/>
  <c r="I38" i="12"/>
  <c r="J37" i="12"/>
  <c r="K36" i="12" s="1"/>
  <c r="E33" i="173"/>
  <c r="C32" i="173"/>
  <c r="E33" i="26"/>
  <c r="C32" i="26"/>
  <c r="J33" i="26"/>
  <c r="K33" i="26" s="1"/>
  <c r="I34" i="104"/>
  <c r="C33" i="5"/>
  <c r="E34" i="5"/>
  <c r="C35" i="3"/>
  <c r="E36" i="3"/>
  <c r="I33" i="17"/>
  <c r="E33" i="86"/>
  <c r="C32" i="86"/>
  <c r="E32" i="59"/>
  <c r="C31" i="59"/>
  <c r="J32" i="59"/>
  <c r="K32" i="59" s="1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K34" i="5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3" i="159"/>
  <c r="C32" i="159"/>
  <c r="E35" i="125"/>
  <c r="C34" i="125"/>
  <c r="J32" i="102"/>
  <c r="I33" i="102"/>
  <c r="J35" i="132"/>
  <c r="I36" i="132"/>
  <c r="I33" i="43"/>
  <c r="J32" i="43"/>
  <c r="C35" i="6"/>
  <c r="E36" i="6"/>
  <c r="CA36" i="1"/>
  <c r="E31" i="166"/>
  <c r="C30" i="166"/>
  <c r="C33" i="167"/>
  <c r="E34" i="167"/>
  <c r="J34" i="115"/>
  <c r="I35" i="115"/>
  <c r="I35" i="173"/>
  <c r="J34" i="173"/>
  <c r="C33" i="4"/>
  <c r="E34" i="4"/>
  <c r="E34" i="126"/>
  <c r="C33" i="126"/>
  <c r="J33" i="111"/>
  <c r="K32" i="111" s="1"/>
  <c r="I34" i="111"/>
  <c r="J32" i="160"/>
  <c r="I33" i="160"/>
  <c r="I33" i="35"/>
  <c r="AJ37" i="1"/>
  <c r="I34" i="121"/>
  <c r="J34" i="165"/>
  <c r="I35" i="165"/>
  <c r="I33" i="90"/>
  <c r="E35" i="71"/>
  <c r="C34" i="71"/>
  <c r="FL36" i="2"/>
  <c r="E34" i="118"/>
  <c r="C33" i="118"/>
  <c r="I35" i="167"/>
  <c r="J34" i="167"/>
  <c r="CM36" i="2"/>
  <c r="E36" i="46"/>
  <c r="C35" i="46"/>
  <c r="I33" i="146"/>
  <c r="J32" i="146"/>
  <c r="K31" i="146" s="1"/>
  <c r="I36" i="152"/>
  <c r="I33" i="55"/>
  <c r="E34" i="60"/>
  <c r="C33" i="60"/>
  <c r="I34" i="33"/>
  <c r="E34" i="19"/>
  <c r="C33" i="19"/>
  <c r="E35" i="88"/>
  <c r="C34" i="88"/>
  <c r="I34" i="155"/>
  <c r="E35" i="63"/>
  <c r="C34" i="63"/>
  <c r="E33" i="62"/>
  <c r="C32" i="62"/>
  <c r="J33" i="62"/>
  <c r="K33" i="62" s="1"/>
  <c r="I34" i="67"/>
  <c r="J33" i="168"/>
  <c r="I34" i="168"/>
  <c r="I38" i="7"/>
  <c r="J37" i="7"/>
  <c r="I33" i="110"/>
  <c r="E33" i="51"/>
  <c r="C32" i="51"/>
  <c r="J33" i="51"/>
  <c r="K33" i="51" s="1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C35" i="92"/>
  <c r="E36" i="92"/>
  <c r="K32" i="30"/>
  <c r="J34" i="72"/>
  <c r="I35" i="72"/>
  <c r="I33" i="11"/>
  <c r="C32" i="40"/>
  <c r="E33" i="40"/>
  <c r="E36" i="121"/>
  <c r="C35" i="121"/>
  <c r="J35" i="89"/>
  <c r="I36" i="89"/>
  <c r="C31" i="165"/>
  <c r="E32" i="165"/>
  <c r="J32" i="165"/>
  <c r="K32" i="165" s="1"/>
  <c r="AU37" i="1"/>
  <c r="I36" i="136"/>
  <c r="I35" i="10"/>
  <c r="N36" i="2"/>
  <c r="E34" i="161"/>
  <c r="C33" i="161"/>
  <c r="I35" i="23"/>
  <c r="C34" i="119"/>
  <c r="E35" i="119"/>
  <c r="IU36" i="2"/>
  <c r="E31" i="157"/>
  <c r="C30" i="157"/>
  <c r="J31" i="157"/>
  <c r="K31" i="157" s="1"/>
  <c r="E31" i="146"/>
  <c r="C30" i="146"/>
  <c r="C34" i="108"/>
  <c r="E35" i="108"/>
  <c r="C32" i="85"/>
  <c r="E33" i="85"/>
  <c r="I36" i="156"/>
  <c r="J35" i="156"/>
  <c r="I35" i="113"/>
  <c r="J34" i="113"/>
  <c r="C35" i="100"/>
  <c r="E36" i="100"/>
  <c r="I33" i="81"/>
  <c r="E35" i="33"/>
  <c r="C34" i="33"/>
  <c r="E33" i="120"/>
  <c r="C32" i="120"/>
  <c r="I33" i="58"/>
  <c r="E34" i="99"/>
  <c r="C33" i="99"/>
  <c r="E34" i="18"/>
  <c r="C33" i="18"/>
  <c r="E35" i="13"/>
  <c r="C34" i="13"/>
  <c r="IU35" i="2"/>
  <c r="C33" i="128"/>
  <c r="E34" i="128"/>
  <c r="E36" i="53"/>
  <c r="C35" i="53"/>
  <c r="I33" i="40"/>
  <c r="J32" i="40"/>
  <c r="I35" i="92"/>
  <c r="I33" i="171"/>
  <c r="HN36" i="2"/>
  <c r="I36" i="117"/>
  <c r="J35" i="117"/>
  <c r="CX35" i="2"/>
  <c r="E34" i="148"/>
  <c r="C33" i="148"/>
  <c r="E35" i="89"/>
  <c r="C34" i="89"/>
  <c r="HN35" i="2"/>
  <c r="I34" i="57"/>
  <c r="J33" i="57"/>
  <c r="I34" i="3"/>
  <c r="I34" i="153"/>
  <c r="I35" i="30"/>
  <c r="J34" i="30"/>
  <c r="DI36" i="2"/>
  <c r="I36" i="107"/>
  <c r="I36" i="13"/>
  <c r="J35" i="13"/>
  <c r="I37" i="32"/>
  <c r="J36" i="32"/>
  <c r="I33" i="174"/>
  <c r="J33" i="73"/>
  <c r="I34" i="73"/>
  <c r="E35" i="48"/>
  <c r="C34" i="48"/>
  <c r="E35" i="162"/>
  <c r="C34" i="162"/>
  <c r="I33" i="38"/>
  <c r="I33" i="163"/>
  <c r="E36" i="136"/>
  <c r="C35" i="136"/>
  <c r="I34" i="161"/>
  <c r="J33" i="161"/>
  <c r="I35" i="149"/>
  <c r="J34" i="149"/>
  <c r="E34" i="112"/>
  <c r="C33" i="112"/>
  <c r="I37" i="79"/>
  <c r="J36" i="79"/>
  <c r="I35" i="41"/>
  <c r="K34" i="62"/>
  <c r="E31" i="138"/>
  <c r="C30" i="138"/>
  <c r="J31" i="138"/>
  <c r="K31" i="138" s="1"/>
  <c r="E36" i="93"/>
  <c r="C35" i="93"/>
  <c r="E33" i="73"/>
  <c r="C32" i="73"/>
  <c r="J34" i="18"/>
  <c r="I35" i="18"/>
  <c r="I36" i="122"/>
  <c r="J35" i="122"/>
  <c r="I38" i="75"/>
  <c r="J37" i="75"/>
  <c r="J33" i="126"/>
  <c r="I34" i="126"/>
  <c r="K35" i="59"/>
  <c r="C35" i="174"/>
  <c r="E36" i="174"/>
  <c r="K35" i="79"/>
  <c r="I34" i="119"/>
  <c r="I36" i="62"/>
  <c r="J35" i="62"/>
  <c r="J34" i="157"/>
  <c r="I35" i="157"/>
  <c r="E35" i="96"/>
  <c r="C34" i="96"/>
  <c r="I34" i="114"/>
  <c r="I34" i="154"/>
  <c r="I38" i="46"/>
  <c r="J37" i="46"/>
  <c r="E35" i="122"/>
  <c r="C34" i="122"/>
  <c r="I34" i="131"/>
  <c r="J33" i="131"/>
  <c r="I34" i="97"/>
  <c r="K32" i="138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J33" i="84"/>
  <c r="I34" i="84"/>
  <c r="E34" i="57"/>
  <c r="C33" i="57"/>
  <c r="J32" i="166"/>
  <c r="I33" i="166"/>
  <c r="E33" i="149"/>
  <c r="C32" i="149"/>
  <c r="K35" i="22"/>
  <c r="C30" i="32"/>
  <c r="E31" i="32"/>
  <c r="J31" i="32"/>
  <c r="K31" i="32" s="1"/>
  <c r="J33" i="138"/>
  <c r="I34" i="138"/>
  <c r="C33" i="139"/>
  <c r="E34" i="139"/>
  <c r="K35" i="82"/>
  <c r="Y37" i="2"/>
  <c r="E35" i="20"/>
  <c r="C34" i="20"/>
  <c r="I35" i="28"/>
  <c r="J31" i="166"/>
  <c r="I37" i="22"/>
  <c r="J36" i="22"/>
  <c r="I34" i="162"/>
  <c r="CB37" i="1"/>
  <c r="E31" i="156"/>
  <c r="C30" i="156"/>
  <c r="J31" i="156"/>
  <c r="K31" i="156" s="1"/>
  <c r="E34" i="74"/>
  <c r="C33" i="74"/>
  <c r="J34" i="74"/>
  <c r="K34" i="74" s="1"/>
  <c r="J35" i="142"/>
  <c r="I36" i="142"/>
  <c r="E34" i="135"/>
  <c r="C33" i="135"/>
  <c r="I37" i="82"/>
  <c r="J36" i="82"/>
  <c r="E36" i="49"/>
  <c r="C35" i="49"/>
  <c r="I34" i="49"/>
  <c r="I52" i="150"/>
  <c r="J51" i="150"/>
  <c r="C34" i="21"/>
  <c r="E35" i="21"/>
  <c r="I33" i="105"/>
  <c r="J32" i="105"/>
  <c r="I38" i="74"/>
  <c r="J37" i="74"/>
  <c r="I34" i="56"/>
  <c r="I33" i="140"/>
  <c r="I35" i="60"/>
  <c r="J34" i="60"/>
  <c r="I35" i="159"/>
  <c r="J34" i="159"/>
  <c r="K33" i="159" s="1"/>
  <c r="I33" i="36"/>
  <c r="K34" i="59"/>
  <c r="E36" i="12"/>
  <c r="C35" i="12"/>
  <c r="M36" i="1"/>
  <c r="X36" i="2"/>
  <c r="J32" i="120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CL35" i="2" s="1"/>
  <c r="E36" i="155"/>
  <c r="C34" i="70"/>
  <c r="E35" i="70"/>
  <c r="I36" i="26"/>
  <c r="J35" i="26"/>
  <c r="K34" i="98"/>
  <c r="K36" i="75"/>
  <c r="C33" i="150"/>
  <c r="E34" i="150"/>
  <c r="J34" i="150"/>
  <c r="K34" i="150" s="1"/>
  <c r="E34" i="64"/>
  <c r="C33" i="64"/>
  <c r="BQ37" i="1"/>
  <c r="E36" i="90"/>
  <c r="C35" i="90"/>
  <c r="I33" i="148"/>
  <c r="BQ37" i="2"/>
  <c r="I35" i="124"/>
  <c r="J34" i="124"/>
  <c r="I36" i="127"/>
  <c r="J35" i="127"/>
  <c r="C33" i="110"/>
  <c r="E34" i="110"/>
  <c r="Y37" i="1"/>
  <c r="C35" i="28"/>
  <c r="E36" i="28"/>
  <c r="FA36" i="2"/>
  <c r="E29" i="98"/>
  <c r="C28" i="98"/>
  <c r="J29" i="98"/>
  <c r="K29" i="98" s="1"/>
  <c r="E33" i="171"/>
  <c r="C32" i="171"/>
  <c r="J32" i="171" s="1"/>
  <c r="E35" i="117"/>
  <c r="C34" i="117"/>
  <c r="E32" i="111"/>
  <c r="C31" i="111"/>
  <c r="I35" i="25"/>
  <c r="J34" i="25"/>
  <c r="I34" i="31"/>
  <c r="I35" i="139"/>
  <c r="J34" i="139"/>
  <c r="E33" i="69"/>
  <c r="C32" i="69"/>
  <c r="I33" i="125"/>
  <c r="EP36" i="2"/>
  <c r="E35" i="23"/>
  <c r="C34" i="23"/>
  <c r="K34" i="127"/>
  <c r="I33" i="91"/>
  <c r="I34" i="54"/>
  <c r="J33" i="54"/>
  <c r="E35" i="80"/>
  <c r="C34" i="80"/>
  <c r="I33" i="34"/>
  <c r="J32" i="34"/>
  <c r="E32" i="160"/>
  <c r="C31" i="160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E33" i="61"/>
  <c r="C32" i="61"/>
  <c r="J33" i="61"/>
  <c r="K33" i="61" s="1"/>
  <c r="E31" i="87"/>
  <c r="C30" i="87"/>
  <c r="J31" i="87"/>
  <c r="K31" i="87" s="1"/>
  <c r="I36" i="78"/>
  <c r="J35" i="78"/>
  <c r="C33" i="103"/>
  <c r="E34" i="103"/>
  <c r="C32" i="37"/>
  <c r="E33" i="37"/>
  <c r="E33" i="47"/>
  <c r="C32" i="47"/>
  <c r="C34" i="36"/>
  <c r="CW34" i="2" s="1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K34" i="156"/>
  <c r="C35" i="14"/>
  <c r="E36" i="14"/>
  <c r="GR36" i="2"/>
  <c r="I35" i="158"/>
  <c r="J34" i="129"/>
  <c r="I35" i="129"/>
  <c r="I38" i="145"/>
  <c r="J37" i="145"/>
  <c r="I33" i="147"/>
  <c r="I33" i="96"/>
  <c r="C32" i="163"/>
  <c r="E33" i="163"/>
  <c r="I34" i="50"/>
  <c r="E32" i="45"/>
  <c r="C31" i="45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K35" i="71" s="1"/>
  <c r="I33" i="130"/>
  <c r="K32" i="87"/>
  <c r="I33" i="45"/>
  <c r="J32" i="45"/>
  <c r="C35" i="55"/>
  <c r="FK35" i="2" s="1"/>
  <c r="E36" i="55"/>
  <c r="AU37" i="2"/>
  <c r="I33" i="143"/>
  <c r="C34" i="169"/>
  <c r="E35" i="169"/>
  <c r="HY35" i="2"/>
  <c r="C32" i="168"/>
  <c r="E33" i="168"/>
  <c r="J35" i="77"/>
  <c r="I36" i="77"/>
  <c r="E35" i="132"/>
  <c r="C34" i="132"/>
  <c r="C32" i="84"/>
  <c r="E33" i="84"/>
  <c r="I35" i="63"/>
  <c r="J34" i="63"/>
  <c r="E36" i="152"/>
  <c r="C35" i="152"/>
  <c r="AI36" i="1"/>
  <c r="I34" i="20"/>
  <c r="E35" i="142"/>
  <c r="C34" i="142"/>
  <c r="J33" i="87"/>
  <c r="I34" i="87"/>
  <c r="CM37" i="2"/>
  <c r="E34" i="67"/>
  <c r="C33" i="67"/>
  <c r="C28" i="82"/>
  <c r="E29" i="82"/>
  <c r="J29" i="82"/>
  <c r="K29" i="82" s="1"/>
  <c r="E36" i="172"/>
  <c r="C35" i="172"/>
  <c r="I33" i="65"/>
  <c r="E36" i="58"/>
  <c r="C35" i="58"/>
  <c r="CA35" i="2" s="1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C32" i="72"/>
  <c r="E33" i="72"/>
  <c r="E32" i="102"/>
  <c r="C31" i="102"/>
  <c r="E32" i="34"/>
  <c r="C31" i="34"/>
  <c r="I34" i="103"/>
  <c r="J33" i="103"/>
  <c r="C35" i="107"/>
  <c r="E36" i="107"/>
  <c r="J37" i="15"/>
  <c r="I38" i="15"/>
  <c r="EE37" i="2"/>
  <c r="I36" i="172"/>
  <c r="J35" i="172"/>
  <c r="E74" i="24"/>
  <c r="C73" i="24"/>
  <c r="I34" i="5"/>
  <c r="J33" i="5"/>
  <c r="J34" i="16"/>
  <c r="I33" i="64"/>
  <c r="I34" i="123"/>
  <c r="J33" i="123"/>
  <c r="I33" i="47"/>
  <c r="J32" i="47"/>
  <c r="K32" i="131"/>
  <c r="K36" i="46"/>
  <c r="E34" i="113"/>
  <c r="C33" i="113"/>
  <c r="GS37" i="2"/>
  <c r="E34" i="137"/>
  <c r="C33" i="137"/>
  <c r="J33" i="137" s="1"/>
  <c r="I34" i="76"/>
  <c r="EP37" i="2"/>
  <c r="I36" i="29"/>
  <c r="J35" i="29"/>
  <c r="E34" i="25"/>
  <c r="C33" i="25"/>
  <c r="C33" i="129"/>
  <c r="E34" i="129"/>
  <c r="DS34" i="2"/>
  <c r="I33" i="8"/>
  <c r="J35" i="101"/>
  <c r="I36" i="101"/>
  <c r="K36" i="145"/>
  <c r="C34" i="140"/>
  <c r="E35" i="140"/>
  <c r="I34" i="85"/>
  <c r="J33" i="85"/>
  <c r="C32" i="106"/>
  <c r="E33" i="106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E32" i="105"/>
  <c r="C31" i="105"/>
  <c r="I37" i="24"/>
  <c r="AJ37" i="2"/>
  <c r="E36" i="52"/>
  <c r="C35" i="52"/>
  <c r="BP36" i="2"/>
  <c r="I34" i="21"/>
  <c r="K36" i="133"/>
  <c r="DT35" i="2"/>
  <c r="K34" i="128"/>
  <c r="CA36" i="2"/>
  <c r="I34" i="116"/>
  <c r="C35" i="91"/>
  <c r="E36" i="91"/>
  <c r="I34" i="80"/>
  <c r="I37" i="27"/>
  <c r="J36" i="27"/>
  <c r="J36" i="42"/>
  <c r="I37" i="42"/>
  <c r="C34" i="76"/>
  <c r="E35" i="76"/>
  <c r="I35" i="118"/>
  <c r="J34" i="118"/>
  <c r="C34" i="79"/>
  <c r="E35" i="79"/>
  <c r="X35" i="1"/>
  <c r="I35" i="66"/>
  <c r="J34" i="66"/>
  <c r="J33" i="106"/>
  <c r="I34" i="106"/>
  <c r="CX34" i="2" l="1"/>
  <c r="K32" i="171"/>
  <c r="CB35" i="2"/>
  <c r="FL35" i="2"/>
  <c r="CM35" i="2"/>
  <c r="Y35" i="1"/>
  <c r="I37" i="172"/>
  <c r="J36" i="172"/>
  <c r="E35" i="50"/>
  <c r="C34" i="50"/>
  <c r="AT35" i="2"/>
  <c r="E33" i="67"/>
  <c r="C32" i="67"/>
  <c r="E35" i="158"/>
  <c r="C34" i="158"/>
  <c r="I35" i="56"/>
  <c r="K31" i="166"/>
  <c r="I39" i="75"/>
  <c r="J38" i="75"/>
  <c r="J36" i="117"/>
  <c r="I37" i="117"/>
  <c r="I36" i="113"/>
  <c r="J35" i="113"/>
  <c r="J36" i="89"/>
  <c r="I37" i="89"/>
  <c r="I34" i="146"/>
  <c r="J33" i="146"/>
  <c r="E33" i="4"/>
  <c r="C32" i="4"/>
  <c r="E33" i="11"/>
  <c r="C32" i="11"/>
  <c r="E34" i="97"/>
  <c r="C33" i="97"/>
  <c r="C30" i="43"/>
  <c r="E31" i="43"/>
  <c r="J31" i="43"/>
  <c r="K31" i="43" s="1"/>
  <c r="DT34" i="2"/>
  <c r="J33" i="45"/>
  <c r="K32" i="45" s="1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E34" i="44"/>
  <c r="C33" i="44"/>
  <c r="J35" i="28"/>
  <c r="I36" i="28"/>
  <c r="E34" i="48"/>
  <c r="C33" i="48"/>
  <c r="J34" i="48"/>
  <c r="K34" i="48" s="1"/>
  <c r="HO36" i="2"/>
  <c r="K35" i="89"/>
  <c r="C34" i="46"/>
  <c r="E35" i="46"/>
  <c r="J35" i="46"/>
  <c r="K35" i="46" s="1"/>
  <c r="K34" i="173"/>
  <c r="K36" i="94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I34" i="100"/>
  <c r="I37" i="16"/>
  <c r="J36" i="16"/>
  <c r="K35" i="16" s="1"/>
  <c r="EE36" i="2"/>
  <c r="E33" i="129"/>
  <c r="C32" i="129"/>
  <c r="DS33" i="2"/>
  <c r="J33" i="129"/>
  <c r="K33" i="129" s="1"/>
  <c r="I39" i="15"/>
  <c r="J38" i="15"/>
  <c r="I34" i="130"/>
  <c r="J33" i="130"/>
  <c r="C32" i="103"/>
  <c r="E33" i="103"/>
  <c r="J34" i="31"/>
  <c r="I35" i="31"/>
  <c r="K32" i="105"/>
  <c r="E34" i="20"/>
  <c r="C33" i="20"/>
  <c r="I36" i="18"/>
  <c r="J35" i="18"/>
  <c r="I35" i="73"/>
  <c r="J34" i="73"/>
  <c r="J33" i="171"/>
  <c r="I34" i="171"/>
  <c r="K37" i="7"/>
  <c r="J35" i="115"/>
  <c r="I36" i="115"/>
  <c r="E34" i="147"/>
  <c r="C33" i="147"/>
  <c r="E34" i="35"/>
  <c r="C33" i="35"/>
  <c r="GS36" i="2"/>
  <c r="K34" i="118"/>
  <c r="I36" i="118"/>
  <c r="J35" i="118"/>
  <c r="E33" i="25"/>
  <c r="C32" i="25"/>
  <c r="J33" i="25"/>
  <c r="K33" i="25" s="1"/>
  <c r="K37" i="15"/>
  <c r="IK35" i="2"/>
  <c r="I35" i="87"/>
  <c r="J34" i="87"/>
  <c r="C34" i="14"/>
  <c r="E35" i="14"/>
  <c r="J35" i="14"/>
  <c r="K35" i="14" s="1"/>
  <c r="GR35" i="2"/>
  <c r="BQ36" i="1"/>
  <c r="K34" i="25"/>
  <c r="E34" i="77"/>
  <c r="C33" i="77"/>
  <c r="J34" i="77"/>
  <c r="K34" i="77" s="1"/>
  <c r="I34" i="105"/>
  <c r="J33" i="105"/>
  <c r="I35" i="97"/>
  <c r="J34" i="97"/>
  <c r="K33" i="73"/>
  <c r="E32" i="85"/>
  <c r="C31" i="85"/>
  <c r="J32" i="85"/>
  <c r="K32" i="85" s="1"/>
  <c r="I39" i="7"/>
  <c r="J38" i="7"/>
  <c r="K34" i="115"/>
  <c r="I37" i="78"/>
  <c r="J36" i="78"/>
  <c r="K35" i="78" s="1"/>
  <c r="HD36" i="2"/>
  <c r="J35" i="25"/>
  <c r="I36" i="25"/>
  <c r="C32" i="64"/>
  <c r="E33" i="64"/>
  <c r="E32" i="73"/>
  <c r="C31" i="73"/>
  <c r="J32" i="73"/>
  <c r="K32" i="73" s="1"/>
  <c r="J35" i="92"/>
  <c r="I36" i="92"/>
  <c r="I35" i="168"/>
  <c r="J34" i="168"/>
  <c r="K34" i="167"/>
  <c r="J34" i="19"/>
  <c r="I35" i="19"/>
  <c r="E31" i="59"/>
  <c r="C30" i="59"/>
  <c r="J31" i="59"/>
  <c r="K31" i="59" s="1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K33" i="131"/>
  <c r="I34" i="174"/>
  <c r="K32" i="40"/>
  <c r="E34" i="108"/>
  <c r="C33" i="108"/>
  <c r="E32" i="40"/>
  <c r="C31" i="40"/>
  <c r="K33" i="168"/>
  <c r="I36" i="167"/>
  <c r="J35" i="167"/>
  <c r="E33" i="167"/>
  <c r="C32" i="167"/>
  <c r="J33" i="167"/>
  <c r="K33" i="167" s="1"/>
  <c r="K33" i="19"/>
  <c r="I34" i="40"/>
  <c r="J33" i="40"/>
  <c r="C29" i="146"/>
  <c r="E30" i="146"/>
  <c r="J30" i="146"/>
  <c r="K30" i="146" s="1"/>
  <c r="J34" i="67"/>
  <c r="I35" i="67"/>
  <c r="C32" i="118"/>
  <c r="E33" i="118"/>
  <c r="J33" i="118"/>
  <c r="K33" i="118" s="1"/>
  <c r="C29" i="166"/>
  <c r="E30" i="166"/>
  <c r="J30" i="166"/>
  <c r="K30" i="166" s="1"/>
  <c r="J34" i="86"/>
  <c r="K33" i="86" s="1"/>
  <c r="I35" i="86"/>
  <c r="E32" i="86"/>
  <c r="C31" i="86"/>
  <c r="J32" i="86"/>
  <c r="K32" i="86" s="1"/>
  <c r="E30" i="87"/>
  <c r="C29" i="87"/>
  <c r="J30" i="87"/>
  <c r="K30" i="87" s="1"/>
  <c r="I35" i="103"/>
  <c r="J34" i="103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K33" i="67" s="1"/>
  <c r="I35" i="52"/>
  <c r="K33" i="103"/>
  <c r="I35" i="53"/>
  <c r="I36" i="99"/>
  <c r="J35" i="99"/>
  <c r="K34" i="99" s="1"/>
  <c r="E33" i="150"/>
  <c r="C32" i="150"/>
  <c r="J33" i="150"/>
  <c r="K33" i="150" s="1"/>
  <c r="C32" i="139"/>
  <c r="E33" i="139"/>
  <c r="J33" i="139"/>
  <c r="K33" i="139" s="1"/>
  <c r="I36" i="72"/>
  <c r="J35" i="72"/>
  <c r="CB36" i="1"/>
  <c r="K33" i="173"/>
  <c r="I37" i="128"/>
  <c r="J36" i="128"/>
  <c r="E35" i="93"/>
  <c r="C34" i="93"/>
  <c r="K36" i="27"/>
  <c r="I38" i="27"/>
  <c r="J37" i="27"/>
  <c r="I35" i="76"/>
  <c r="J34" i="76"/>
  <c r="AJ36" i="1"/>
  <c r="K32" i="69"/>
  <c r="I35" i="49"/>
  <c r="I35" i="138"/>
  <c r="J34" i="138"/>
  <c r="I37" i="13"/>
  <c r="J36" i="13"/>
  <c r="E30" i="157"/>
  <c r="C29" i="157"/>
  <c r="J30" i="157"/>
  <c r="K30" i="157" s="1"/>
  <c r="K34" i="72"/>
  <c r="C31" i="62"/>
  <c r="E32" i="62"/>
  <c r="J32" i="62"/>
  <c r="K32" i="62" s="1"/>
  <c r="K33" i="115"/>
  <c r="J33" i="17"/>
  <c r="I34" i="17"/>
  <c r="K35" i="128"/>
  <c r="E31" i="102"/>
  <c r="C30" i="102"/>
  <c r="J31" i="102"/>
  <c r="K31" i="102" s="1"/>
  <c r="E35" i="152"/>
  <c r="C34" i="152"/>
  <c r="HZ36" i="2"/>
  <c r="J34" i="88"/>
  <c r="I35" i="88"/>
  <c r="E32" i="61"/>
  <c r="C31" i="61"/>
  <c r="J32" i="61"/>
  <c r="K32" i="61" s="1"/>
  <c r="I34" i="69"/>
  <c r="J33" i="69"/>
  <c r="C31" i="171"/>
  <c r="E32" i="171"/>
  <c r="I36" i="83"/>
  <c r="J35" i="83"/>
  <c r="C34" i="49"/>
  <c r="E35" i="49"/>
  <c r="K33" i="138"/>
  <c r="I39" i="46"/>
  <c r="J38" i="46"/>
  <c r="C29" i="138"/>
  <c r="E30" i="138"/>
  <c r="J30" i="138"/>
  <c r="K30" i="138" s="1"/>
  <c r="J36" i="107"/>
  <c r="I37" i="107"/>
  <c r="E33" i="128"/>
  <c r="C32" i="128"/>
  <c r="J33" i="128"/>
  <c r="K33" i="128" s="1"/>
  <c r="E34" i="71"/>
  <c r="C33" i="71"/>
  <c r="J34" i="71"/>
  <c r="K34" i="71" s="1"/>
  <c r="C34" i="6"/>
  <c r="E35" i="6"/>
  <c r="CA35" i="1"/>
  <c r="I36" i="93"/>
  <c r="J35" i="93"/>
  <c r="E33" i="130"/>
  <c r="C32" i="130"/>
  <c r="I36" i="66"/>
  <c r="J35" i="66"/>
  <c r="I35" i="131"/>
  <c r="J34" i="131"/>
  <c r="E33" i="137"/>
  <c r="C32" i="137"/>
  <c r="I35" i="154"/>
  <c r="J34" i="154"/>
  <c r="J35" i="107"/>
  <c r="K35" i="107" s="1"/>
  <c r="IV35" i="2"/>
  <c r="IV36" i="2"/>
  <c r="K51" i="150"/>
  <c r="I36" i="68"/>
  <c r="J35" i="68"/>
  <c r="K34" i="68" s="1"/>
  <c r="E34" i="164"/>
  <c r="C33" i="164"/>
  <c r="J34" i="164"/>
  <c r="K34" i="164" s="1"/>
  <c r="C30" i="160"/>
  <c r="E31" i="160"/>
  <c r="J31" i="160"/>
  <c r="K31" i="160" s="1"/>
  <c r="J36" i="26"/>
  <c r="K35" i="26" s="1"/>
  <c r="I37" i="26"/>
  <c r="C33" i="13"/>
  <c r="E34" i="13"/>
  <c r="J34" i="13"/>
  <c r="K34" i="13" s="1"/>
  <c r="E35" i="92"/>
  <c r="C34" i="92"/>
  <c r="C33" i="63"/>
  <c r="E34" i="63"/>
  <c r="CL34" i="2"/>
  <c r="I34" i="90"/>
  <c r="J33" i="43"/>
  <c r="K32" i="43" s="1"/>
  <c r="I34" i="43"/>
  <c r="E35" i="3"/>
  <c r="C34" i="3"/>
  <c r="J35" i="44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C27" i="98"/>
  <c r="E28" i="98"/>
  <c r="J28" i="98"/>
  <c r="K28" i="98" s="1"/>
  <c r="K36" i="74"/>
  <c r="I38" i="82"/>
  <c r="J37" i="82"/>
  <c r="C29" i="32"/>
  <c r="E30" i="32"/>
  <c r="J30" i="32"/>
  <c r="K30" i="32" s="1"/>
  <c r="I35" i="114"/>
  <c r="J34" i="114"/>
  <c r="E34" i="119"/>
  <c r="C33" i="119"/>
  <c r="K35" i="98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2" i="72"/>
  <c r="C31" i="72"/>
  <c r="J32" i="72"/>
  <c r="K32" i="72" s="1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K34" i="30"/>
  <c r="J34" i="23"/>
  <c r="K34" i="23" s="1"/>
  <c r="I37" i="98"/>
  <c r="J36" i="98"/>
  <c r="I35" i="155"/>
  <c r="J34" i="155"/>
  <c r="I36" i="165"/>
  <c r="J35" i="165"/>
  <c r="C34" i="8"/>
  <c r="HC35" i="2"/>
  <c r="E35" i="8"/>
  <c r="BP35" i="1"/>
  <c r="E32" i="84"/>
  <c r="C31" i="84"/>
  <c r="J32" i="84"/>
  <c r="K32" i="84" s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2" i="149"/>
  <c r="C31" i="149"/>
  <c r="J32" i="149"/>
  <c r="K32" i="149" s="1"/>
  <c r="E34" i="96"/>
  <c r="C33" i="96"/>
  <c r="K36" i="79"/>
  <c r="J35" i="30"/>
  <c r="I36" i="30"/>
  <c r="C32" i="18"/>
  <c r="E33" i="18"/>
  <c r="J33" i="18"/>
  <c r="K33" i="18" s="1"/>
  <c r="I36" i="23"/>
  <c r="J35" i="23"/>
  <c r="K34" i="26"/>
  <c r="K34" i="165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K32" i="120"/>
  <c r="J37" i="79"/>
  <c r="I38" i="79"/>
  <c r="C32" i="5"/>
  <c r="E33" i="5"/>
  <c r="E33" i="144"/>
  <c r="C32" i="144"/>
  <c r="K35" i="29"/>
  <c r="K34" i="44"/>
  <c r="E33" i="116"/>
  <c r="C32" i="116"/>
  <c r="DI35" i="2"/>
  <c r="J36" i="9"/>
  <c r="I37" i="9"/>
  <c r="C30" i="45"/>
  <c r="E31" i="45"/>
  <c r="J31" i="45"/>
  <c r="K31" i="45" s="1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I35" i="153"/>
  <c r="J34" i="153"/>
  <c r="E33" i="99"/>
  <c r="C32" i="99"/>
  <c r="J33" i="99"/>
  <c r="K33" i="99" s="1"/>
  <c r="C32" i="161"/>
  <c r="E33" i="16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I38" i="71"/>
  <c r="K33" i="54"/>
  <c r="C34" i="28"/>
  <c r="E35" i="28"/>
  <c r="C29" i="30"/>
  <c r="E30" i="30"/>
  <c r="J30" i="30"/>
  <c r="K30" i="30" s="1"/>
  <c r="N36" i="1"/>
  <c r="K34" i="157"/>
  <c r="E33" i="112"/>
  <c r="C32" i="112"/>
  <c r="E34" i="76"/>
  <c r="C33" i="76"/>
  <c r="FW36" i="2"/>
  <c r="K32" i="47"/>
  <c r="E34" i="133"/>
  <c r="C33" i="133"/>
  <c r="J34" i="133"/>
  <c r="K34" i="133" s="1"/>
  <c r="DH34" i="2"/>
  <c r="K36" i="71"/>
  <c r="J34" i="54"/>
  <c r="I35" i="54"/>
  <c r="E35" i="12"/>
  <c r="C34" i="12"/>
  <c r="M35" i="1"/>
  <c r="X35" i="2"/>
  <c r="J35" i="12"/>
  <c r="K35" i="12" s="1"/>
  <c r="C32" i="57"/>
  <c r="E33" i="57"/>
  <c r="J34" i="3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K37" i="61"/>
  <c r="E33" i="74"/>
  <c r="C32" i="74"/>
  <c r="J33" i="74"/>
  <c r="K33" i="74" s="1"/>
  <c r="I37" i="62"/>
  <c r="J36" i="62"/>
  <c r="E35" i="7"/>
  <c r="AT35" i="1"/>
  <c r="C34" i="7"/>
  <c r="EO34" i="2" s="1"/>
  <c r="J35" i="7"/>
  <c r="K35" i="7" s="1"/>
  <c r="E32" i="159"/>
  <c r="C31" i="159"/>
  <c r="J32" i="159"/>
  <c r="K32" i="159" s="1"/>
  <c r="C31" i="26"/>
  <c r="E32" i="26"/>
  <c r="J32" i="26"/>
  <c r="K32" i="26" s="1"/>
  <c r="C30" i="105"/>
  <c r="E31" i="105"/>
  <c r="J31" i="105"/>
  <c r="K31" i="105" s="1"/>
  <c r="I35" i="21"/>
  <c r="J34" i="21"/>
  <c r="E32" i="106"/>
  <c r="C31" i="106"/>
  <c r="J32" i="106"/>
  <c r="K32" i="106" s="1"/>
  <c r="K33" i="123"/>
  <c r="E32" i="124"/>
  <c r="C31" i="124"/>
  <c r="J32" i="124"/>
  <c r="K32" i="124" s="1"/>
  <c r="I37" i="48"/>
  <c r="J36" i="48"/>
  <c r="C31" i="168"/>
  <c r="E32" i="168"/>
  <c r="J32" i="168"/>
  <c r="K32" i="168" s="1"/>
  <c r="J34" i="4"/>
  <c r="I35" i="4"/>
  <c r="I34" i="91"/>
  <c r="I39" i="61"/>
  <c r="J38" i="61"/>
  <c r="I35" i="84"/>
  <c r="J34" i="84"/>
  <c r="J34" i="119"/>
  <c r="I35" i="119"/>
  <c r="I36" i="149"/>
  <c r="J35" i="149"/>
  <c r="K34" i="149" s="1"/>
  <c r="I35" i="57"/>
  <c r="J34" i="57"/>
  <c r="E32" i="120"/>
  <c r="C31" i="120"/>
  <c r="J35" i="10"/>
  <c r="I36" i="10"/>
  <c r="I34" i="35"/>
  <c r="J33" i="35"/>
  <c r="J38" i="133"/>
  <c r="I39" i="133"/>
  <c r="I35" i="151"/>
  <c r="J34" i="151"/>
  <c r="K33" i="84"/>
  <c r="HO35" i="2"/>
  <c r="J34" i="10"/>
  <c r="AU36" i="1"/>
  <c r="J34" i="33"/>
  <c r="I35" i="33"/>
  <c r="J33" i="160"/>
  <c r="I34" i="160"/>
  <c r="C32" i="16"/>
  <c r="E33" i="16"/>
  <c r="J33" i="16"/>
  <c r="K33" i="16" s="1"/>
  <c r="J34" i="169"/>
  <c r="I35" i="169"/>
  <c r="IU34" i="2"/>
  <c r="E35" i="58"/>
  <c r="C34" i="58"/>
  <c r="CA34" i="2" s="1"/>
  <c r="HZ35" i="2"/>
  <c r="E32" i="163"/>
  <c r="C31" i="163"/>
  <c r="E33" i="110"/>
  <c r="C32" i="110"/>
  <c r="I34" i="36"/>
  <c r="K33" i="161"/>
  <c r="BQ36" i="2"/>
  <c r="I35" i="85"/>
  <c r="J34" i="85"/>
  <c r="I34" i="64"/>
  <c r="J33" i="64"/>
  <c r="J33" i="96"/>
  <c r="I34" i="96"/>
  <c r="J38" i="134"/>
  <c r="I39" i="134"/>
  <c r="C33" i="23"/>
  <c r="E34" i="23"/>
  <c r="K35" i="127"/>
  <c r="I35" i="170"/>
  <c r="E30" i="156"/>
  <c r="C29" i="156"/>
  <c r="J30" i="156"/>
  <c r="K30" i="156" s="1"/>
  <c r="I35" i="161"/>
  <c r="J34" i="161"/>
  <c r="E34" i="89"/>
  <c r="C33" i="89"/>
  <c r="HN34" i="2"/>
  <c r="J34" i="89"/>
  <c r="K34" i="89" s="1"/>
  <c r="M35" i="2"/>
  <c r="K33" i="157"/>
  <c r="K36" i="7"/>
  <c r="E33" i="60"/>
  <c r="C32" i="60"/>
  <c r="J33" i="60"/>
  <c r="K33" i="60" s="1"/>
  <c r="K32" i="160"/>
  <c r="E34" i="38"/>
  <c r="C33" i="38"/>
  <c r="E32" i="173"/>
  <c r="C31" i="173"/>
  <c r="J32" i="173"/>
  <c r="K32" i="173" s="1"/>
  <c r="E34" i="79"/>
  <c r="C33" i="79"/>
  <c r="J34" i="79"/>
  <c r="K34" i="79" s="1"/>
  <c r="K33" i="87"/>
  <c r="K35" i="48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3" i="149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K37" i="12"/>
  <c r="E35" i="109"/>
  <c r="C34" i="109"/>
  <c r="ED35" i="2"/>
  <c r="C33" i="154"/>
  <c r="E34" i="154"/>
  <c r="K33" i="4"/>
  <c r="AI35" i="2"/>
  <c r="E34" i="140"/>
  <c r="C33" i="140"/>
  <c r="AI34" i="2"/>
  <c r="I34" i="147"/>
  <c r="J33" i="147"/>
  <c r="I36" i="124"/>
  <c r="J35" i="124"/>
  <c r="K34" i="60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4" i="135"/>
  <c r="I37" i="135"/>
  <c r="J36" i="135"/>
  <c r="K35" i="135" s="1"/>
  <c r="FA35" i="2"/>
  <c r="I34" i="125"/>
  <c r="I36" i="60"/>
  <c r="J35" i="60"/>
  <c r="J32" i="163"/>
  <c r="K32" i="163" s="1"/>
  <c r="J33" i="81"/>
  <c r="I34" i="81"/>
  <c r="C32" i="94"/>
  <c r="E33" i="94"/>
  <c r="J33" i="94"/>
  <c r="K33" i="94" s="1"/>
  <c r="J35" i="152"/>
  <c r="C32" i="126"/>
  <c r="E33" i="126"/>
  <c r="K35" i="51"/>
  <c r="I34" i="65"/>
  <c r="J33" i="65"/>
  <c r="K33" i="5"/>
  <c r="E35" i="27"/>
  <c r="C34" i="27"/>
  <c r="J35" i="27"/>
  <c r="K35" i="27" s="1"/>
  <c r="E35" i="172"/>
  <c r="C34" i="172"/>
  <c r="I34" i="143"/>
  <c r="I35" i="106"/>
  <c r="J34" i="106"/>
  <c r="J34" i="5"/>
  <c r="I35" i="5"/>
  <c r="K37" i="145"/>
  <c r="K33" i="106"/>
  <c r="J36" i="101"/>
  <c r="I37" i="101"/>
  <c r="E73" i="24"/>
  <c r="C72" i="24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I37" i="51"/>
  <c r="I34" i="47"/>
  <c r="J33" i="47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K34" i="66"/>
  <c r="I38" i="24"/>
  <c r="K35" i="101"/>
  <c r="J35" i="129"/>
  <c r="K34" i="129" s="1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K35" i="172"/>
  <c r="AU36" i="2"/>
  <c r="E28" i="82"/>
  <c r="C27" i="82"/>
  <c r="J28" i="82"/>
  <c r="K28" i="82" s="1"/>
  <c r="C34" i="55"/>
  <c r="FK34" i="2" s="1"/>
  <c r="E35" i="55"/>
  <c r="I34" i="148"/>
  <c r="J33" i="148"/>
  <c r="J34" i="137"/>
  <c r="I35" i="137"/>
  <c r="I38" i="22"/>
  <c r="J37" i="22"/>
  <c r="I38" i="59"/>
  <c r="J37" i="59"/>
  <c r="K37" i="75"/>
  <c r="E34" i="162"/>
  <c r="C33" i="162"/>
  <c r="K35" i="117"/>
  <c r="K34" i="113"/>
  <c r="C30" i="165"/>
  <c r="E31" i="165"/>
  <c r="J31" i="165"/>
  <c r="K31" i="165" s="1"/>
  <c r="E32" i="51"/>
  <c r="C31" i="51"/>
  <c r="J32" i="51"/>
  <c r="K32" i="51" s="1"/>
  <c r="K32" i="146"/>
  <c r="AI34" i="1"/>
  <c r="EO35" i="2"/>
  <c r="I38" i="14"/>
  <c r="J37" i="14"/>
  <c r="K33" i="72"/>
  <c r="CB34" i="2" l="1"/>
  <c r="EP34" i="2"/>
  <c r="FL34" i="2"/>
  <c r="C33" i="27"/>
  <c r="E34" i="27"/>
  <c r="J34" i="27"/>
  <c r="K34" i="27" s="1"/>
  <c r="I35" i="160"/>
  <c r="J34" i="160"/>
  <c r="K33" i="160" s="1"/>
  <c r="J34" i="163"/>
  <c r="I35" i="163"/>
  <c r="I36" i="4"/>
  <c r="J35" i="4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I40" i="75"/>
  <c r="J39" i="75"/>
  <c r="E33" i="31"/>
  <c r="C32" i="31"/>
  <c r="J33" i="31"/>
  <c r="K33" i="31" s="1"/>
  <c r="E31" i="62"/>
  <c r="C30" i="62"/>
  <c r="J31" i="62"/>
  <c r="K31" i="62" s="1"/>
  <c r="I37" i="18"/>
  <c r="J36" i="18"/>
  <c r="K36" i="156"/>
  <c r="C33" i="174"/>
  <c r="E34" i="174"/>
  <c r="J34" i="112"/>
  <c r="I35" i="112"/>
  <c r="I36" i="33"/>
  <c r="J35" i="33"/>
  <c r="K34" i="4"/>
  <c r="J38" i="59"/>
  <c r="I39" i="59"/>
  <c r="E31" i="69"/>
  <c r="C30" i="69"/>
  <c r="J31" i="69"/>
  <c r="K31" i="69" s="1"/>
  <c r="J35" i="39"/>
  <c r="I36" i="39"/>
  <c r="E33" i="23"/>
  <c r="C32" i="23"/>
  <c r="J33" i="23"/>
  <c r="K33" i="23" s="1"/>
  <c r="K34" i="33"/>
  <c r="I38" i="62"/>
  <c r="J37" i="62"/>
  <c r="E31" i="84"/>
  <c r="C30" i="84"/>
  <c r="J31" i="84"/>
  <c r="K31" i="84" s="1"/>
  <c r="E33" i="41"/>
  <c r="C32" i="41"/>
  <c r="J33" i="41"/>
  <c r="K33" i="41" s="1"/>
  <c r="J36" i="37"/>
  <c r="I37" i="37"/>
  <c r="E34" i="3"/>
  <c r="C33" i="3"/>
  <c r="C28" i="138"/>
  <c r="E29" i="138"/>
  <c r="J29" i="138"/>
  <c r="K29" i="138" s="1"/>
  <c r="C31" i="139"/>
  <c r="E32" i="139"/>
  <c r="J32" i="139"/>
  <c r="K32" i="139" s="1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E30" i="45"/>
  <c r="C29" i="45"/>
  <c r="J30" i="45"/>
  <c r="K30" i="45" s="1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E29" i="157"/>
  <c r="C28" i="157"/>
  <c r="J29" i="157"/>
  <c r="K29" i="157" s="1"/>
  <c r="E32" i="150"/>
  <c r="C31" i="150"/>
  <c r="J32" i="150"/>
  <c r="K32" i="150" s="1"/>
  <c r="J35" i="20"/>
  <c r="K34" i="20" s="1"/>
  <c r="I36" i="20"/>
  <c r="K35" i="167"/>
  <c r="I37" i="92"/>
  <c r="J36" i="92"/>
  <c r="GS35" i="2"/>
  <c r="K34" i="139"/>
  <c r="J37" i="9"/>
  <c r="I38" i="9"/>
  <c r="K34" i="10"/>
  <c r="K36" i="48"/>
  <c r="E33" i="133"/>
  <c r="C32" i="133"/>
  <c r="J33" i="133"/>
  <c r="K33" i="133" s="1"/>
  <c r="DH33" i="2"/>
  <c r="I36" i="121"/>
  <c r="J35" i="121"/>
  <c r="J34" i="102"/>
  <c r="I35" i="102"/>
  <c r="K34" i="37"/>
  <c r="I37" i="167"/>
  <c r="J36" i="167"/>
  <c r="J35" i="3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E31" i="168"/>
  <c r="C30" i="168"/>
  <c r="J31" i="168"/>
  <c r="K31" i="168" s="1"/>
  <c r="C31" i="74"/>
  <c r="E32" i="74"/>
  <c r="J32" i="74"/>
  <c r="K32" i="74" s="1"/>
  <c r="I35" i="96"/>
  <c r="J34" i="96"/>
  <c r="I38" i="48"/>
  <c r="J37" i="48"/>
  <c r="K34" i="121"/>
  <c r="K33" i="102"/>
  <c r="HD35" i="2"/>
  <c r="E33" i="119"/>
  <c r="C32" i="119"/>
  <c r="J33" i="119"/>
  <c r="K33" i="119" s="1"/>
  <c r="I35" i="43"/>
  <c r="J34" i="43"/>
  <c r="K35" i="99"/>
  <c r="K34" i="31"/>
  <c r="I37" i="158"/>
  <c r="J36" i="158"/>
  <c r="K35" i="158" s="1"/>
  <c r="C32" i="125"/>
  <c r="E33" i="125"/>
  <c r="J37" i="152"/>
  <c r="I38" i="152"/>
  <c r="K35" i="124"/>
  <c r="K34" i="144"/>
  <c r="E33" i="79"/>
  <c r="C32" i="79"/>
  <c r="J33" i="79"/>
  <c r="K33" i="79" s="1"/>
  <c r="K36" i="77"/>
  <c r="E34" i="8"/>
  <c r="C33" i="8"/>
  <c r="HC34" i="2"/>
  <c r="BP34" i="1"/>
  <c r="E31" i="127"/>
  <c r="C30" i="127"/>
  <c r="J31" i="127"/>
  <c r="K31" i="127" s="1"/>
  <c r="K33" i="43"/>
  <c r="E34" i="49"/>
  <c r="C33" i="49"/>
  <c r="I38" i="13"/>
  <c r="J37" i="13"/>
  <c r="K36" i="13" s="1"/>
  <c r="I37" i="99"/>
  <c r="J36" i="99"/>
  <c r="E33" i="101"/>
  <c r="C32" i="101"/>
  <c r="J33" i="101"/>
  <c r="K33" i="101" s="1"/>
  <c r="E31" i="73"/>
  <c r="C30" i="73"/>
  <c r="J31" i="73"/>
  <c r="K31" i="73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52"/>
  <c r="E31" i="124"/>
  <c r="C30" i="124"/>
  <c r="J31" i="124"/>
  <c r="K31" i="124" s="1"/>
  <c r="I38" i="77"/>
  <c r="J37" i="77"/>
  <c r="C31" i="116"/>
  <c r="E32" i="116"/>
  <c r="J32" i="116"/>
  <c r="K32" i="116" s="1"/>
  <c r="K35" i="132"/>
  <c r="K34" i="80"/>
  <c r="K34" i="114"/>
  <c r="K34" i="154"/>
  <c r="K35" i="83"/>
  <c r="K37" i="46"/>
  <c r="E31" i="40"/>
  <c r="C30" i="40"/>
  <c r="J31" i="40"/>
  <c r="K31" i="40" s="1"/>
  <c r="C31" i="103"/>
  <c r="E32" i="103"/>
  <c r="J32" i="103"/>
  <c r="K32" i="103" s="1"/>
  <c r="I35" i="45"/>
  <c r="J34" i="45"/>
  <c r="E32" i="67"/>
  <c r="C31" i="67"/>
  <c r="J32" i="67"/>
  <c r="K32" i="67" s="1"/>
  <c r="K38" i="134"/>
  <c r="J35" i="144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K35" i="23"/>
  <c r="K35" i="165"/>
  <c r="I36" i="80"/>
  <c r="J35" i="80"/>
  <c r="I36" i="114"/>
  <c r="J35" i="114"/>
  <c r="I35" i="90"/>
  <c r="J34" i="90"/>
  <c r="I36" i="154"/>
  <c r="J35" i="154"/>
  <c r="I37" i="83"/>
  <c r="J36" i="83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I37" i="165"/>
  <c r="J36" i="165"/>
  <c r="CM34" i="2"/>
  <c r="C31" i="137"/>
  <c r="E32" i="137"/>
  <c r="J32" i="137"/>
  <c r="K32" i="137" s="1"/>
  <c r="I36" i="138"/>
  <c r="J35" i="138"/>
  <c r="E33" i="108"/>
  <c r="C32" i="108"/>
  <c r="J33" i="108"/>
  <c r="K33" i="108" s="1"/>
  <c r="E32" i="64"/>
  <c r="C31" i="64"/>
  <c r="J32" i="64"/>
  <c r="K32" i="64" s="1"/>
  <c r="J34" i="130"/>
  <c r="K33" i="130" s="1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C31" i="94"/>
  <c r="E32" i="94"/>
  <c r="J32" i="94"/>
  <c r="K32" i="94" s="1"/>
  <c r="E33" i="140"/>
  <c r="C32" i="140"/>
  <c r="I36" i="85"/>
  <c r="J35" i="85"/>
  <c r="J35" i="151"/>
  <c r="I36" i="151"/>
  <c r="K34" i="155"/>
  <c r="C30" i="171"/>
  <c r="E31" i="171"/>
  <c r="J31" i="171"/>
  <c r="K31" i="171" s="1"/>
  <c r="I36" i="49"/>
  <c r="J35" i="49"/>
  <c r="I36" i="52"/>
  <c r="J35" i="52"/>
  <c r="E29" i="87"/>
  <c r="C28" i="87"/>
  <c r="J29" i="87"/>
  <c r="K29" i="87" s="1"/>
  <c r="J36" i="25"/>
  <c r="K35" i="25" s="1"/>
  <c r="I37" i="25"/>
  <c r="E34" i="50"/>
  <c r="C33" i="50"/>
  <c r="AT34" i="2"/>
  <c r="K37" i="22"/>
  <c r="J33" i="140"/>
  <c r="I35" i="81"/>
  <c r="J34" i="81"/>
  <c r="C30" i="115"/>
  <c r="E31" i="115"/>
  <c r="J31" i="115"/>
  <c r="K31" i="115" s="1"/>
  <c r="E33" i="38"/>
  <c r="C32" i="38"/>
  <c r="J39" i="133"/>
  <c r="I40" i="133"/>
  <c r="E31" i="106"/>
  <c r="C30" i="106"/>
  <c r="J31" i="106"/>
  <c r="K31" i="106" s="1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E33" i="15"/>
  <c r="C32" i="15"/>
  <c r="J33" i="15"/>
  <c r="K33" i="15" s="1"/>
  <c r="E29" i="32"/>
  <c r="C28" i="32"/>
  <c r="J29" i="32"/>
  <c r="K29" i="32" s="1"/>
  <c r="E33" i="63"/>
  <c r="C32" i="63"/>
  <c r="J33" i="63"/>
  <c r="K33" i="63" s="1"/>
  <c r="K34" i="131"/>
  <c r="K33" i="69"/>
  <c r="J34" i="49"/>
  <c r="K34" i="49" s="1"/>
  <c r="K38" i="15"/>
  <c r="E34" i="170"/>
  <c r="C33" i="170"/>
  <c r="K38" i="133"/>
  <c r="E32" i="112"/>
  <c r="C31" i="112"/>
  <c r="J32" i="112"/>
  <c r="K32" i="112" s="1"/>
  <c r="K36" i="98"/>
  <c r="E34" i="92"/>
  <c r="C33" i="92"/>
  <c r="J34" i="92"/>
  <c r="K34" i="92" s="1"/>
  <c r="I36" i="131"/>
  <c r="J35" i="131"/>
  <c r="I35" i="69"/>
  <c r="J34" i="69"/>
  <c r="K34" i="83"/>
  <c r="I40" i="15"/>
  <c r="J39" i="15"/>
  <c r="K36" i="172"/>
  <c r="I39" i="22"/>
  <c r="J38" i="22"/>
  <c r="C31" i="104"/>
  <c r="E32" i="104"/>
  <c r="J32" i="104"/>
  <c r="K32" i="104" s="1"/>
  <c r="C31" i="18"/>
  <c r="E32" i="18"/>
  <c r="J32" i="18"/>
  <c r="K32" i="18" s="1"/>
  <c r="I38" i="98"/>
  <c r="J37" i="98"/>
  <c r="I39" i="82"/>
  <c r="J38" i="82"/>
  <c r="K37" i="82" s="1"/>
  <c r="E31" i="86"/>
  <c r="C30" i="86"/>
  <c r="J31" i="86"/>
  <c r="K31" i="86" s="1"/>
  <c r="J34" i="174"/>
  <c r="I35" i="174"/>
  <c r="E32" i="25"/>
  <c r="C31" i="25"/>
  <c r="J32" i="25"/>
  <c r="K32" i="25" s="1"/>
  <c r="E30" i="43"/>
  <c r="C29" i="43"/>
  <c r="J30" i="43"/>
  <c r="K30" i="43" s="1"/>
  <c r="I38" i="172"/>
  <c r="J37" i="172"/>
  <c r="E27" i="82"/>
  <c r="C26" i="82"/>
  <c r="J27" i="82"/>
  <c r="K27" i="82" s="1"/>
  <c r="AJ35" i="2"/>
  <c r="I35" i="36"/>
  <c r="J34" i="36"/>
  <c r="I37" i="30"/>
  <c r="J36" i="30"/>
  <c r="C29" i="34"/>
  <c r="E30" i="34"/>
  <c r="J30" i="34"/>
  <c r="K30" i="34" s="1"/>
  <c r="I37" i="66"/>
  <c r="J36" i="66"/>
  <c r="K35" i="66" s="1"/>
  <c r="K33" i="11"/>
  <c r="K36" i="78"/>
  <c r="DT33" i="2"/>
  <c r="E34" i="46"/>
  <c r="C33" i="46"/>
  <c r="AI33" i="1" s="1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I35" i="35"/>
  <c r="E72" i="24"/>
  <c r="C71" i="24"/>
  <c r="I37" i="60"/>
  <c r="J36" i="60"/>
  <c r="I36" i="111"/>
  <c r="J35" i="111"/>
  <c r="C31" i="60"/>
  <c r="E32" i="60"/>
  <c r="J32" i="60"/>
  <c r="K32" i="60" s="1"/>
  <c r="J36" i="10"/>
  <c r="I37" i="10"/>
  <c r="E32" i="5"/>
  <c r="C31" i="5"/>
  <c r="J32" i="5"/>
  <c r="K32" i="5" s="1"/>
  <c r="K35" i="30"/>
  <c r="E32" i="130"/>
  <c r="C31" i="130"/>
  <c r="J32" i="130"/>
  <c r="K32" i="130" s="1"/>
  <c r="C30" i="61"/>
  <c r="E31" i="61"/>
  <c r="J31" i="61"/>
  <c r="K31" i="61" s="1"/>
  <c r="J34" i="11"/>
  <c r="I35" i="11"/>
  <c r="J35" i="86"/>
  <c r="I36" i="86"/>
  <c r="C32" i="21"/>
  <c r="E33" i="21"/>
  <c r="J33" i="21"/>
  <c r="K33" i="21" s="1"/>
  <c r="J37" i="78"/>
  <c r="I38" i="78"/>
  <c r="C31" i="129"/>
  <c r="E32" i="129"/>
  <c r="J32" i="129"/>
  <c r="K32" i="129" s="1"/>
  <c r="DS32" i="2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K32" i="102"/>
  <c r="E33" i="13"/>
  <c r="C32" i="13"/>
  <c r="J33" i="13"/>
  <c r="K33" i="13" s="1"/>
  <c r="K34" i="76"/>
  <c r="C33" i="53"/>
  <c r="E34" i="53"/>
  <c r="K34" i="86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CW32" i="2" s="1"/>
  <c r="E33" i="36"/>
  <c r="K35" i="10"/>
  <c r="J38" i="14"/>
  <c r="I39" i="14"/>
  <c r="I38" i="101"/>
  <c r="J37" i="101"/>
  <c r="J33" i="125"/>
  <c r="C32" i="95"/>
  <c r="E33" i="95"/>
  <c r="I39" i="79"/>
  <c r="J38" i="79"/>
  <c r="E33" i="96"/>
  <c r="C32" i="96"/>
  <c r="E27" i="98"/>
  <c r="C26" i="98"/>
  <c r="J27" i="98"/>
  <c r="K27" i="98" s="1"/>
  <c r="K36" i="82"/>
  <c r="K35" i="93"/>
  <c r="I36" i="88"/>
  <c r="J35" i="88"/>
  <c r="J35" i="76"/>
  <c r="I36" i="76"/>
  <c r="K38" i="7"/>
  <c r="E32" i="11"/>
  <c r="C31" i="11"/>
  <c r="J32" i="11"/>
  <c r="K32" i="11" s="1"/>
  <c r="K34" i="41"/>
  <c r="AJ34" i="2"/>
  <c r="K33" i="35"/>
  <c r="K34" i="111"/>
  <c r="E32" i="161"/>
  <c r="C31" i="161"/>
  <c r="J32" i="161"/>
  <c r="K32" i="161" s="1"/>
  <c r="K37" i="14"/>
  <c r="I35" i="125"/>
  <c r="J34" i="125"/>
  <c r="E33" i="154"/>
  <c r="C32" i="154"/>
  <c r="J33" i="154"/>
  <c r="K33" i="154" s="1"/>
  <c r="IJ33" i="2"/>
  <c r="EE35" i="2"/>
  <c r="C30" i="120"/>
  <c r="E31" i="120"/>
  <c r="J31" i="120"/>
  <c r="K31" i="120" s="1"/>
  <c r="E30" i="105"/>
  <c r="C29" i="105"/>
  <c r="J30" i="105"/>
  <c r="K30" i="105" s="1"/>
  <c r="EP35" i="2"/>
  <c r="I35" i="8"/>
  <c r="J34" i="8"/>
  <c r="K38" i="145"/>
  <c r="K36" i="101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I37" i="93"/>
  <c r="K34" i="88"/>
  <c r="K37" i="27"/>
  <c r="E33" i="114"/>
  <c r="C32" i="114"/>
  <c r="J33" i="114"/>
  <c r="K33" i="114" s="1"/>
  <c r="I40" i="7"/>
  <c r="J39" i="7"/>
  <c r="K34" i="151"/>
  <c r="J39" i="145"/>
  <c r="I40" i="145"/>
  <c r="N35" i="2"/>
  <c r="K34" i="57"/>
  <c r="J35" i="153"/>
  <c r="K34" i="153" s="1"/>
  <c r="I36" i="153"/>
  <c r="FW35" i="2"/>
  <c r="GR33" i="2"/>
  <c r="I38" i="26"/>
  <c r="J37" i="26"/>
  <c r="CB35" i="1"/>
  <c r="J38" i="27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J35" i="3"/>
  <c r="K34" i="3" s="1"/>
  <c r="I36" i="3"/>
  <c r="K35" i="157"/>
  <c r="C33" i="155"/>
  <c r="CL33" i="2" s="1"/>
  <c r="E34" i="155"/>
  <c r="C30" i="149"/>
  <c r="E31" i="149"/>
  <c r="J31" i="149"/>
  <c r="K31" i="149" s="1"/>
  <c r="C31" i="135"/>
  <c r="E32" i="135"/>
  <c r="J32" i="135"/>
  <c r="K32" i="135" s="1"/>
  <c r="K36" i="26"/>
  <c r="C30" i="85"/>
  <c r="E31" i="85"/>
  <c r="J31" i="85"/>
  <c r="K31" i="85" s="1"/>
  <c r="C32" i="35"/>
  <c r="E33" i="35"/>
  <c r="I38" i="16"/>
  <c r="J37" i="16"/>
  <c r="E33" i="48"/>
  <c r="C32" i="48"/>
  <c r="J33" i="48"/>
  <c r="K33" i="48" s="1"/>
  <c r="E31" i="173"/>
  <c r="C30" i="173"/>
  <c r="J31" i="173"/>
  <c r="K31" i="173" s="1"/>
  <c r="J34" i="140"/>
  <c r="I35" i="140"/>
  <c r="AJ34" i="1"/>
  <c r="N34" i="2"/>
  <c r="I37" i="157"/>
  <c r="J36" i="157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CA33" i="2" s="1"/>
  <c r="E34" i="58"/>
  <c r="J36" i="149"/>
  <c r="I37" i="149"/>
  <c r="K33" i="166"/>
  <c r="C32" i="80"/>
  <c r="E33" i="80"/>
  <c r="J33" i="80"/>
  <c r="K33" i="80" s="1"/>
  <c r="K33" i="120"/>
  <c r="C31" i="118"/>
  <c r="E32" i="118"/>
  <c r="J32" i="118"/>
  <c r="K32" i="118" s="1"/>
  <c r="E34" i="107"/>
  <c r="C33" i="107"/>
  <c r="J34" i="107"/>
  <c r="K34" i="107" s="1"/>
  <c r="C32" i="147"/>
  <c r="E33" i="147"/>
  <c r="I35" i="100"/>
  <c r="J34" i="100"/>
  <c r="K35" i="122"/>
  <c r="K33" i="146"/>
  <c r="E29" i="30"/>
  <c r="C28" i="30"/>
  <c r="J29" i="30"/>
  <c r="K29" i="30" s="1"/>
  <c r="C30" i="51"/>
  <c r="E31" i="51"/>
  <c r="J31" i="51"/>
  <c r="K31" i="51" s="1"/>
  <c r="K35" i="62"/>
  <c r="K33" i="144"/>
  <c r="K34" i="106"/>
  <c r="E31" i="141"/>
  <c r="C30" i="141"/>
  <c r="J31" i="141"/>
  <c r="K31" i="141" s="1"/>
  <c r="E34" i="136"/>
  <c r="C33" i="136"/>
  <c r="J34" i="136"/>
  <c r="K34" i="136" s="1"/>
  <c r="J35" i="119"/>
  <c r="I36" i="119"/>
  <c r="E34" i="28"/>
  <c r="C33" i="28"/>
  <c r="AI33" i="2" s="1"/>
  <c r="J34" i="28"/>
  <c r="K34" i="28" s="1"/>
  <c r="J34" i="166"/>
  <c r="I35" i="166"/>
  <c r="I35" i="120"/>
  <c r="J34" i="120"/>
  <c r="E31" i="39"/>
  <c r="C30" i="39"/>
  <c r="J31" i="39"/>
  <c r="K31" i="39" s="1"/>
  <c r="E33" i="71"/>
  <c r="C32" i="71"/>
  <c r="J33" i="71"/>
  <c r="K33" i="71" s="1"/>
  <c r="I54" i="150"/>
  <c r="J53" i="150"/>
  <c r="I36" i="67"/>
  <c r="J35" i="67"/>
  <c r="K34" i="67" s="1"/>
  <c r="K34" i="18"/>
  <c r="I37" i="28"/>
  <c r="J36" i="28"/>
  <c r="I35" i="146"/>
  <c r="J34" i="146"/>
  <c r="C31" i="17"/>
  <c r="E32" i="17"/>
  <c r="J32" i="17"/>
  <c r="K32" i="17" s="1"/>
  <c r="C32" i="33"/>
  <c r="E33" i="33"/>
  <c r="J33" i="33"/>
  <c r="K33" i="33" s="1"/>
  <c r="HO34" i="2"/>
  <c r="K35" i="149"/>
  <c r="C30" i="26"/>
  <c r="E31" i="26"/>
  <c r="J31" i="26"/>
  <c r="K31" i="26" s="1"/>
  <c r="I40" i="12"/>
  <c r="J39" i="12"/>
  <c r="IV34" i="2"/>
  <c r="K34" i="119"/>
  <c r="C30" i="159"/>
  <c r="E31" i="159"/>
  <c r="J31" i="159"/>
  <c r="K31" i="159" s="1"/>
  <c r="E32" i="57"/>
  <c r="C31" i="57"/>
  <c r="J32" i="57"/>
  <c r="K32" i="57" s="1"/>
  <c r="J34" i="34"/>
  <c r="I35" i="34"/>
  <c r="E33" i="70"/>
  <c r="C32" i="70"/>
  <c r="J33" i="70"/>
  <c r="K33" i="70" s="1"/>
  <c r="I39" i="42"/>
  <c r="J38" i="42"/>
  <c r="K37" i="42" s="1"/>
  <c r="E30" i="160"/>
  <c r="C29" i="160"/>
  <c r="J30" i="160"/>
  <c r="K30" i="160" s="1"/>
  <c r="E30" i="102"/>
  <c r="C29" i="102"/>
  <c r="J30" i="102"/>
  <c r="K30" i="102" s="1"/>
  <c r="I38" i="128"/>
  <c r="J37" i="128"/>
  <c r="K36" i="128" s="1"/>
  <c r="K52" i="150"/>
  <c r="I37" i="115"/>
  <c r="J36" i="115"/>
  <c r="J38" i="94"/>
  <c r="I39" i="94"/>
  <c r="K35" i="28"/>
  <c r="J37" i="89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C32" i="151"/>
  <c r="E33" i="151"/>
  <c r="J33" i="151"/>
  <c r="K33" i="151" s="1"/>
  <c r="J35" i="161"/>
  <c r="I36" i="161"/>
  <c r="J35" i="169"/>
  <c r="I36" i="169"/>
  <c r="I39" i="71"/>
  <c r="J38" i="71"/>
  <c r="I38" i="142"/>
  <c r="J37" i="142"/>
  <c r="C32" i="132"/>
  <c r="E33" i="132"/>
  <c r="J33" i="132"/>
  <c r="K33" i="132" s="1"/>
  <c r="K33" i="34"/>
  <c r="K32" i="34"/>
  <c r="C33" i="143"/>
  <c r="E34" i="143"/>
  <c r="I36" i="97"/>
  <c r="J35" i="97"/>
  <c r="K34" i="97" s="1"/>
  <c r="K35" i="115"/>
  <c r="J36" i="173"/>
  <c r="I37" i="173"/>
  <c r="K37" i="74"/>
  <c r="K36" i="89"/>
  <c r="K34" i="39"/>
  <c r="I37" i="129"/>
  <c r="J36" i="129"/>
  <c r="K35" i="129" s="1"/>
  <c r="K34" i="162"/>
  <c r="E32" i="81"/>
  <c r="C31" i="81"/>
  <c r="J32" i="81"/>
  <c r="K32" i="81" s="1"/>
  <c r="K34" i="161"/>
  <c r="J35" i="123"/>
  <c r="I36" i="123"/>
  <c r="C29" i="165"/>
  <c r="E30" i="165"/>
  <c r="J30" i="165"/>
  <c r="K30" i="165" s="1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K35" i="173"/>
  <c r="C32" i="44"/>
  <c r="E33" i="44"/>
  <c r="J33" i="44"/>
  <c r="K33" i="44" s="1"/>
  <c r="K35" i="113"/>
  <c r="K34" i="123"/>
  <c r="I35" i="38"/>
  <c r="J34" i="38"/>
  <c r="K34" i="70"/>
  <c r="K35" i="9"/>
  <c r="C31" i="66"/>
  <c r="E32" i="66"/>
  <c r="J32" i="66"/>
  <c r="K32" i="66" s="1"/>
  <c r="BF35" i="2"/>
  <c r="I35" i="17"/>
  <c r="J34" i="17"/>
  <c r="E32" i="75"/>
  <c r="C31" i="75"/>
  <c r="J32" i="75"/>
  <c r="K32" i="75" s="1"/>
  <c r="C28" i="146"/>
  <c r="E29" i="146"/>
  <c r="J29" i="146"/>
  <c r="K29" i="146" s="1"/>
  <c r="J34" i="105"/>
  <c r="I35" i="105"/>
  <c r="I35" i="171"/>
  <c r="J34" i="17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29" i="156"/>
  <c r="C28" i="156"/>
  <c r="J29" i="156"/>
  <c r="K29" i="156" s="1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I35" i="95"/>
  <c r="J34" i="95"/>
  <c r="C32" i="142"/>
  <c r="E33" i="142"/>
  <c r="J33" i="142"/>
  <c r="K33" i="142" s="1"/>
  <c r="E34" i="91"/>
  <c r="C33" i="91"/>
  <c r="K34" i="63"/>
  <c r="I38" i="107"/>
  <c r="J37" i="107"/>
  <c r="K33" i="17"/>
  <c r="K35" i="72"/>
  <c r="K33" i="40"/>
  <c r="C29" i="59"/>
  <c r="E30" i="59"/>
  <c r="J30" i="59"/>
  <c r="K30" i="59" s="1"/>
  <c r="K33" i="171"/>
  <c r="E34" i="90"/>
  <c r="C33" i="90"/>
  <c r="J37" i="117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E31" i="72"/>
  <c r="C30" i="72"/>
  <c r="J31" i="72"/>
  <c r="K31" i="72" s="1"/>
  <c r="K35" i="68"/>
  <c r="K36" i="107"/>
  <c r="J36" i="72"/>
  <c r="I37" i="72"/>
  <c r="J34" i="40"/>
  <c r="I35" i="40"/>
  <c r="E33" i="77"/>
  <c r="C32" i="77"/>
  <c r="J33" i="77"/>
  <c r="K33" i="77" s="1"/>
  <c r="C33" i="121"/>
  <c r="E34" i="121"/>
  <c r="K36" i="117"/>
  <c r="X34" i="1"/>
  <c r="I38" i="51"/>
  <c r="J37" i="51"/>
  <c r="K36" i="51" s="1"/>
  <c r="K33" i="163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AJ33" i="1" l="1"/>
  <c r="Y33" i="1"/>
  <c r="CM33" i="2"/>
  <c r="CB33" i="2"/>
  <c r="AJ33" i="2"/>
  <c r="CX32" i="2"/>
  <c r="FL33" i="2"/>
  <c r="K34" i="170"/>
  <c r="I36" i="40"/>
  <c r="J35" i="40"/>
  <c r="I36" i="55"/>
  <c r="J35" i="55"/>
  <c r="C31" i="114"/>
  <c r="E32" i="114"/>
  <c r="J32" i="114"/>
  <c r="K32" i="114" s="1"/>
  <c r="E26" i="98"/>
  <c r="C25" i="98"/>
  <c r="J26" i="98"/>
  <c r="K26" i="98" s="1"/>
  <c r="I38" i="118"/>
  <c r="J37" i="118"/>
  <c r="J36" i="86"/>
  <c r="I37" i="86"/>
  <c r="C28" i="43"/>
  <c r="E29" i="43"/>
  <c r="J29" i="43"/>
  <c r="K29" i="43" s="1"/>
  <c r="I37" i="49"/>
  <c r="J36" i="49"/>
  <c r="J36" i="121"/>
  <c r="I37" i="121"/>
  <c r="I36" i="143"/>
  <c r="J35" i="143"/>
  <c r="J36" i="67"/>
  <c r="I37" i="67"/>
  <c r="K36" i="68"/>
  <c r="J35" i="171"/>
  <c r="K34" i="171" s="1"/>
  <c r="I36" i="171"/>
  <c r="I38" i="173"/>
  <c r="J37" i="173"/>
  <c r="HZ33" i="2"/>
  <c r="C30" i="57"/>
  <c r="E31" i="57"/>
  <c r="J31" i="57"/>
  <c r="K31" i="57" s="1"/>
  <c r="K53" i="150"/>
  <c r="C29" i="51"/>
  <c r="E30" i="51"/>
  <c r="J30" i="51"/>
  <c r="K30" i="51" s="1"/>
  <c r="I36" i="140"/>
  <c r="J35" i="140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I38" i="72"/>
  <c r="J37" i="72"/>
  <c r="I36" i="105"/>
  <c r="J35" i="105"/>
  <c r="E31" i="128"/>
  <c r="C30" i="128"/>
  <c r="J31" i="128"/>
  <c r="K31" i="128" s="1"/>
  <c r="C31" i="169"/>
  <c r="E32" i="169"/>
  <c r="J32" i="169"/>
  <c r="K32" i="169" s="1"/>
  <c r="J54" i="150"/>
  <c r="I55" i="150"/>
  <c r="K34" i="140"/>
  <c r="E30" i="120"/>
  <c r="C29" i="120"/>
  <c r="J30" i="120"/>
  <c r="K30" i="120" s="1"/>
  <c r="I36" i="11"/>
  <c r="J35" i="11"/>
  <c r="E31" i="68"/>
  <c r="C30" i="68"/>
  <c r="J31" i="68"/>
  <c r="K31" i="68" s="1"/>
  <c r="C29" i="127"/>
  <c r="E30" i="127"/>
  <c r="J30" i="127"/>
  <c r="K30" i="127" s="1"/>
  <c r="C27" i="138"/>
  <c r="E28" i="138"/>
  <c r="J28" i="138"/>
  <c r="K28" i="138" s="1"/>
  <c r="J36" i="33"/>
  <c r="I37" i="33"/>
  <c r="J37" i="44"/>
  <c r="I38" i="44"/>
  <c r="K36" i="72"/>
  <c r="K34" i="105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K34" i="11"/>
  <c r="C30" i="25"/>
  <c r="E31" i="25"/>
  <c r="J31" i="25"/>
  <c r="K31" i="25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DH32" i="2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E29" i="59"/>
  <c r="C28" i="59"/>
  <c r="J29" i="59"/>
  <c r="K29" i="59" s="1"/>
  <c r="J36" i="97"/>
  <c r="I37" i="97"/>
  <c r="J38" i="89"/>
  <c r="I39" i="89"/>
  <c r="C29" i="173"/>
  <c r="E30" i="173"/>
  <c r="J30" i="173"/>
  <c r="K30" i="173" s="1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E31" i="103"/>
  <c r="C30" i="103"/>
  <c r="J31" i="103"/>
  <c r="K31" i="103" s="1"/>
  <c r="E32" i="134"/>
  <c r="C31" i="134"/>
  <c r="EZ32" i="2"/>
  <c r="J32" i="134"/>
  <c r="K32" i="134" s="1"/>
  <c r="HD34" i="2"/>
  <c r="C32" i="3"/>
  <c r="E33" i="3"/>
  <c r="J33" i="3"/>
  <c r="K33" i="3" s="1"/>
  <c r="E28" i="146"/>
  <c r="C27" i="146"/>
  <c r="J28" i="146"/>
  <c r="K28" i="146" s="1"/>
  <c r="E32" i="164"/>
  <c r="C31" i="164"/>
  <c r="J32" i="164"/>
  <c r="K32" i="164" s="1"/>
  <c r="K37" i="89"/>
  <c r="C29" i="159"/>
  <c r="E30" i="159"/>
  <c r="J30" i="159"/>
  <c r="K30" i="159" s="1"/>
  <c r="C28" i="111"/>
  <c r="E29" i="111"/>
  <c r="J29" i="111"/>
  <c r="K29" i="111" s="1"/>
  <c r="C31" i="13"/>
  <c r="E32" i="13"/>
  <c r="J32" i="13"/>
  <c r="K32" i="13" s="1"/>
  <c r="K35" i="15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K34" i="100"/>
  <c r="K37" i="29"/>
  <c r="E32" i="154"/>
  <c r="C31" i="154"/>
  <c r="J32" i="154"/>
  <c r="K32" i="154" s="1"/>
  <c r="J39" i="79"/>
  <c r="I40" i="79"/>
  <c r="C29" i="61"/>
  <c r="E30" i="61"/>
  <c r="J30" i="61"/>
  <c r="K30" i="61" s="1"/>
  <c r="C32" i="46"/>
  <c r="E33" i="46"/>
  <c r="J33" i="46"/>
  <c r="K33" i="46" s="1"/>
  <c r="E31" i="112"/>
  <c r="C30" i="112"/>
  <c r="J31" i="112"/>
  <c r="K31" i="112" s="1"/>
  <c r="K35" i="85"/>
  <c r="E31" i="137"/>
  <c r="C30" i="137"/>
  <c r="J31" i="137"/>
  <c r="K31" i="137" s="1"/>
  <c r="J38" i="9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I36" i="100"/>
  <c r="E32" i="48"/>
  <c r="C31" i="48"/>
  <c r="J32" i="48"/>
  <c r="K32" i="48" s="1"/>
  <c r="E28" i="166"/>
  <c r="C27" i="166"/>
  <c r="J28" i="166"/>
  <c r="K28" i="166" s="1"/>
  <c r="J38" i="29"/>
  <c r="I39" i="29"/>
  <c r="E30" i="86"/>
  <c r="C29" i="86"/>
  <c r="J30" i="86"/>
  <c r="K30" i="86" s="1"/>
  <c r="C29" i="106"/>
  <c r="E30" i="106"/>
  <c r="J30" i="106"/>
  <c r="K30" i="106" s="1"/>
  <c r="I37" i="85"/>
  <c r="J36" i="85"/>
  <c r="E32" i="88"/>
  <c r="C31" i="88"/>
  <c r="J32" i="88"/>
  <c r="K32" i="88" s="1"/>
  <c r="K37" i="9"/>
  <c r="J36" i="116"/>
  <c r="I37" i="116"/>
  <c r="E30" i="72"/>
  <c r="C29" i="72"/>
  <c r="J30" i="72"/>
  <c r="K30" i="72" s="1"/>
  <c r="I40" i="94"/>
  <c r="J39" i="94"/>
  <c r="K33" i="95"/>
  <c r="K37" i="107"/>
  <c r="K38" i="94"/>
  <c r="E32" i="122"/>
  <c r="C31" i="122"/>
  <c r="J32" i="122"/>
  <c r="K32" i="122" s="1"/>
  <c r="C31" i="95"/>
  <c r="E32" i="95"/>
  <c r="J32" i="95"/>
  <c r="K32" i="95" s="1"/>
  <c r="C30" i="130"/>
  <c r="E31" i="130"/>
  <c r="J31" i="130"/>
  <c r="K31" i="130" s="1"/>
  <c r="C29" i="40"/>
  <c r="E30" i="40"/>
  <c r="J30" i="40"/>
  <c r="K30" i="40" s="1"/>
  <c r="K33" i="96"/>
  <c r="E31" i="74"/>
  <c r="C30" i="74"/>
  <c r="J31" i="74"/>
  <c r="K31" i="74" s="1"/>
  <c r="J37" i="18"/>
  <c r="K36" i="18" s="1"/>
  <c r="I38" i="18"/>
  <c r="K35" i="4"/>
  <c r="I38" i="63"/>
  <c r="J37" i="63"/>
  <c r="C32" i="56"/>
  <c r="E33" i="56"/>
  <c r="J33" i="56"/>
  <c r="K33" i="56" s="1"/>
  <c r="J36" i="54"/>
  <c r="I37" i="54"/>
  <c r="J36" i="104"/>
  <c r="I37" i="104"/>
  <c r="I39" i="107"/>
  <c r="J38" i="107"/>
  <c r="K34" i="17"/>
  <c r="K36" i="115"/>
  <c r="C31" i="147"/>
  <c r="E32" i="147"/>
  <c r="J32" i="147"/>
  <c r="K32" i="147" s="1"/>
  <c r="K38" i="32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E32" i="140"/>
  <c r="C31" i="140"/>
  <c r="J32" i="140"/>
  <c r="K32" i="140" s="1"/>
  <c r="I37" i="137"/>
  <c r="J36" i="137"/>
  <c r="J35" i="141"/>
  <c r="I36" i="141"/>
  <c r="BE33" i="2"/>
  <c r="J36" i="4"/>
  <c r="I37" i="4"/>
  <c r="AU34" i="1"/>
  <c r="E33" i="7"/>
  <c r="C32" i="7"/>
  <c r="AT33" i="1"/>
  <c r="J33" i="7"/>
  <c r="K33" i="7" s="1"/>
  <c r="K36" i="63"/>
  <c r="K35" i="54"/>
  <c r="K37" i="71"/>
  <c r="I38" i="115"/>
  <c r="J37" i="115"/>
  <c r="I41" i="12"/>
  <c r="J40" i="12"/>
  <c r="E33" i="93"/>
  <c r="C32" i="93"/>
  <c r="J33" i="93"/>
  <c r="K33" i="93" s="1"/>
  <c r="I39" i="16"/>
  <c r="J38" i="16"/>
  <c r="I40" i="32"/>
  <c r="J39" i="32"/>
  <c r="K38" i="82"/>
  <c r="K39" i="133"/>
  <c r="J37" i="165"/>
  <c r="K36" i="165" s="1"/>
  <c r="I38" i="165"/>
  <c r="E30" i="168"/>
  <c r="C29" i="168"/>
  <c r="J30" i="168"/>
  <c r="K30" i="168" s="1"/>
  <c r="C31" i="41"/>
  <c r="E32" i="41"/>
  <c r="J32" i="41"/>
  <c r="K32" i="41" s="1"/>
  <c r="C29" i="62"/>
  <c r="E30" i="62"/>
  <c r="J30" i="62"/>
  <c r="K30" i="62" s="1"/>
  <c r="E31" i="75"/>
  <c r="C30" i="75"/>
  <c r="J31" i="75"/>
  <c r="K31" i="75" s="1"/>
  <c r="C27" i="156"/>
  <c r="E28" i="156"/>
  <c r="J28" i="156"/>
  <c r="K28" i="156" s="1"/>
  <c r="I36" i="17"/>
  <c r="J35" i="17"/>
  <c r="K34" i="120"/>
  <c r="C32" i="91"/>
  <c r="E33" i="91"/>
  <c r="J33" i="91"/>
  <c r="K33" i="91" s="1"/>
  <c r="J38" i="101"/>
  <c r="K37" i="101" s="1"/>
  <c r="I39" i="101"/>
  <c r="J39" i="82"/>
  <c r="I40" i="82"/>
  <c r="E32" i="38"/>
  <c r="C31" i="38"/>
  <c r="J32" i="38"/>
  <c r="K32" i="38" s="1"/>
  <c r="K36" i="23"/>
  <c r="J35" i="64"/>
  <c r="K34" i="64" s="1"/>
  <c r="I36" i="64"/>
  <c r="E32" i="79"/>
  <c r="C31" i="79"/>
  <c r="J32" i="79"/>
  <c r="K32" i="79" s="1"/>
  <c r="E29" i="45"/>
  <c r="C28" i="45"/>
  <c r="J29" i="45"/>
  <c r="K29" i="45" s="1"/>
  <c r="I36" i="120"/>
  <c r="J35" i="120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K34" i="58"/>
  <c r="I40" i="14"/>
  <c r="J39" i="14"/>
  <c r="E31" i="9"/>
  <c r="C30" i="9"/>
  <c r="J31" i="9"/>
  <c r="K31" i="9" s="1"/>
  <c r="K36" i="66"/>
  <c r="I38" i="23"/>
  <c r="J37" i="23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E33" i="152"/>
  <c r="J33" i="152"/>
  <c r="K33" i="152" s="1"/>
  <c r="I36" i="58"/>
  <c r="J35" i="58"/>
  <c r="C30" i="161"/>
  <c r="E31" i="161"/>
  <c r="J31" i="161"/>
  <c r="K31" i="161" s="1"/>
  <c r="K38" i="14"/>
  <c r="E31" i="5"/>
  <c r="C30" i="5"/>
  <c r="J31" i="5"/>
  <c r="K31" i="5" s="1"/>
  <c r="J37" i="66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E30" i="84"/>
  <c r="C29" i="84"/>
  <c r="J30" i="84"/>
  <c r="K30" i="84" s="1"/>
  <c r="K34" i="163"/>
  <c r="C31" i="76"/>
  <c r="E32" i="76"/>
  <c r="J32" i="76"/>
  <c r="K32" i="76" s="1"/>
  <c r="C32" i="158"/>
  <c r="E33" i="158"/>
  <c r="J33" i="158"/>
  <c r="K33" i="158" s="1"/>
  <c r="I37" i="20"/>
  <c r="J36" i="20"/>
  <c r="K35" i="97"/>
  <c r="I39" i="128"/>
  <c r="J38" i="128"/>
  <c r="C32" i="28"/>
  <c r="E33" i="28"/>
  <c r="J33" i="28"/>
  <c r="K33" i="28" s="1"/>
  <c r="C30" i="118"/>
  <c r="E31" i="118"/>
  <c r="J31" i="118"/>
  <c r="K31" i="118" s="1"/>
  <c r="CB34" i="1"/>
  <c r="C29" i="85"/>
  <c r="E30" i="85"/>
  <c r="J30" i="85"/>
  <c r="K30" i="85" s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K34" i="160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I40" i="71"/>
  <c r="J39" i="71"/>
  <c r="J35" i="95"/>
  <c r="I36" i="95"/>
  <c r="C28" i="165"/>
  <c r="E29" i="165"/>
  <c r="J29" i="165"/>
  <c r="K29" i="165" s="1"/>
  <c r="E29" i="102"/>
  <c r="C28" i="102"/>
  <c r="J29" i="102"/>
  <c r="K29" i="102" s="1"/>
  <c r="GS33" i="2"/>
  <c r="E31" i="18"/>
  <c r="C30" i="18"/>
  <c r="J31" i="18"/>
  <c r="K31" i="18" s="1"/>
  <c r="J35" i="81"/>
  <c r="K34" i="81" s="1"/>
  <c r="I36" i="81"/>
  <c r="K35" i="126"/>
  <c r="E33" i="14"/>
  <c r="C32" i="14"/>
  <c r="J33" i="14"/>
  <c r="K33" i="14" s="1"/>
  <c r="K34" i="137"/>
  <c r="E31" i="150"/>
  <c r="C30" i="150"/>
  <c r="J31" i="150"/>
  <c r="K31" i="150" s="1"/>
  <c r="J38" i="62"/>
  <c r="K37" i="62" s="1"/>
  <c r="I39" i="62"/>
  <c r="K36" i="62"/>
  <c r="BQ34" i="2"/>
  <c r="K36" i="159"/>
  <c r="K35" i="70"/>
  <c r="J36" i="50"/>
  <c r="I37" i="50"/>
  <c r="I37" i="123"/>
  <c r="J36" i="123"/>
  <c r="I37" i="169"/>
  <c r="J36" i="169"/>
  <c r="M33" i="2"/>
  <c r="I37" i="119"/>
  <c r="J36" i="119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K35" i="87"/>
  <c r="J36" i="126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I38" i="159"/>
  <c r="E31" i="148"/>
  <c r="C30" i="148"/>
  <c r="J31" i="148"/>
  <c r="K31" i="148" s="1"/>
  <c r="I37" i="70"/>
  <c r="J36" i="70"/>
  <c r="K35" i="50"/>
  <c r="K34" i="50"/>
  <c r="K35" i="123"/>
  <c r="K35" i="169"/>
  <c r="K35" i="119"/>
  <c r="E32" i="80"/>
  <c r="C31" i="80"/>
  <c r="J32" i="80"/>
  <c r="K32" i="80" s="1"/>
  <c r="E31" i="135"/>
  <c r="C30" i="135"/>
  <c r="J31" i="135"/>
  <c r="K31" i="135" s="1"/>
  <c r="EE34" i="2"/>
  <c r="C30" i="60"/>
  <c r="E31" i="60"/>
  <c r="J31" i="60"/>
  <c r="K31" i="60" s="1"/>
  <c r="K34" i="36"/>
  <c r="I36" i="109"/>
  <c r="J35" i="109"/>
  <c r="I37" i="87"/>
  <c r="J36" i="87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M32" i="2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0" i="73"/>
  <c r="C29" i="73"/>
  <c r="J30" i="73"/>
  <c r="K30" i="73" s="1"/>
  <c r="C27" i="157"/>
  <c r="E28" i="157"/>
  <c r="J28" i="157"/>
  <c r="K28" i="157" s="1"/>
  <c r="E32" i="23"/>
  <c r="C31" i="23"/>
  <c r="J32" i="23"/>
  <c r="K32" i="23" s="1"/>
  <c r="K35" i="139"/>
  <c r="E29" i="160"/>
  <c r="C28" i="160"/>
  <c r="J29" i="160"/>
  <c r="K29" i="160" s="1"/>
  <c r="E33" i="136"/>
  <c r="C32" i="136"/>
  <c r="J33" i="136"/>
  <c r="K33" i="136" s="1"/>
  <c r="I38" i="149"/>
  <c r="J37" i="149"/>
  <c r="E31" i="11"/>
  <c r="C30" i="11"/>
  <c r="J31" i="11"/>
  <c r="K31" i="11" s="1"/>
  <c r="DT32" i="2"/>
  <c r="I37" i="111"/>
  <c r="J36" i="111"/>
  <c r="K34" i="21"/>
  <c r="E28" i="32"/>
  <c r="C27" i="32"/>
  <c r="J28" i="32"/>
  <c r="K28" i="32" s="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7" i="128"/>
  <c r="K36" i="149"/>
  <c r="FW34" i="2"/>
  <c r="E30" i="149"/>
  <c r="C29" i="149"/>
  <c r="J30" i="149"/>
  <c r="K30" i="149" s="1"/>
  <c r="I37" i="21"/>
  <c r="J36" i="21"/>
  <c r="K35" i="21" s="1"/>
  <c r="K36" i="60"/>
  <c r="I40" i="22"/>
  <c r="J39" i="22"/>
  <c r="K38" i="22" s="1"/>
  <c r="K35" i="53"/>
  <c r="I36" i="148"/>
  <c r="J35" i="148"/>
  <c r="K35" i="3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K35" i="84"/>
  <c r="C30" i="81"/>
  <c r="E31" i="81"/>
  <c r="J31" i="81"/>
  <c r="K31" i="81" s="1"/>
  <c r="K38" i="42"/>
  <c r="E31" i="17"/>
  <c r="C30" i="17"/>
  <c r="J31" i="17"/>
  <c r="K31" i="17" s="1"/>
  <c r="IK34" i="2"/>
  <c r="I38" i="60"/>
  <c r="J37" i="60"/>
  <c r="I38" i="25"/>
  <c r="J37" i="25"/>
  <c r="K36" i="25" s="1"/>
  <c r="J36" i="53"/>
  <c r="I37" i="53"/>
  <c r="K34" i="148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I40" i="42"/>
  <c r="J39" i="42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I37" i="76"/>
  <c r="K35" i="60"/>
  <c r="C30" i="129"/>
  <c r="E31" i="129"/>
  <c r="J31" i="129"/>
  <c r="K31" i="129" s="1"/>
  <c r="DS31" i="2"/>
  <c r="C70" i="24"/>
  <c r="E71" i="24"/>
  <c r="C31" i="15"/>
  <c r="E32" i="15"/>
  <c r="J32" i="15"/>
  <c r="K32" i="15" s="1"/>
  <c r="K34" i="138"/>
  <c r="K36" i="167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K35" i="76"/>
  <c r="J38" i="164"/>
  <c r="I39" i="164"/>
  <c r="I41" i="15"/>
  <c r="J40" i="15"/>
  <c r="E33" i="29"/>
  <c r="C32" i="29"/>
  <c r="BE32" i="2" s="1"/>
  <c r="J33" i="29"/>
  <c r="K33" i="29" s="1"/>
  <c r="K36" i="83"/>
  <c r="J36" i="144"/>
  <c r="I37" i="144"/>
  <c r="K33" i="64"/>
  <c r="K34" i="43"/>
  <c r="I38" i="167"/>
  <c r="J37" i="167"/>
  <c r="J38" i="132"/>
  <c r="K37" i="132" s="1"/>
  <c r="I39" i="132"/>
  <c r="E32" i="96"/>
  <c r="C31" i="96"/>
  <c r="J32" i="96"/>
  <c r="K32" i="96" s="1"/>
  <c r="K37" i="51"/>
  <c r="K34" i="47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K36" i="157"/>
  <c r="J36" i="3"/>
  <c r="I37" i="3"/>
  <c r="K35" i="88"/>
  <c r="K37" i="164"/>
  <c r="I39" i="78"/>
  <c r="J38" i="78"/>
  <c r="K37" i="78" s="1"/>
  <c r="J35" i="35"/>
  <c r="K34" i="35" s="1"/>
  <c r="I36" i="35"/>
  <c r="E26" i="82"/>
  <c r="C25" i="82"/>
  <c r="J26" i="82"/>
  <c r="K26" i="82" s="1"/>
  <c r="K35" i="155"/>
  <c r="C27" i="87"/>
  <c r="E28" i="87"/>
  <c r="J28" i="87"/>
  <c r="K28" i="87" s="1"/>
  <c r="I36" i="130"/>
  <c r="J35" i="130"/>
  <c r="J37" i="83"/>
  <c r="I38" i="83"/>
  <c r="K33" i="147"/>
  <c r="J37" i="99"/>
  <c r="I38" i="99"/>
  <c r="J35" i="43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I38" i="28"/>
  <c r="J37" i="28"/>
  <c r="K36" i="28" s="1"/>
  <c r="C31" i="89"/>
  <c r="E32" i="89"/>
  <c r="J32" i="89"/>
  <c r="K32" i="89" s="1"/>
  <c r="HN32" i="2"/>
  <c r="J37" i="157"/>
  <c r="I38" i="157"/>
  <c r="K35" i="3"/>
  <c r="I37" i="88"/>
  <c r="J36" i="88"/>
  <c r="K34" i="69"/>
  <c r="J36" i="155"/>
  <c r="I37" i="155"/>
  <c r="K34" i="130"/>
  <c r="K37" i="13"/>
  <c r="I36" i="102"/>
  <c r="J35" i="102"/>
  <c r="C29" i="69"/>
  <c r="E30" i="69"/>
  <c r="J30" i="69"/>
  <c r="K30" i="69" s="1"/>
  <c r="Y34" i="2"/>
  <c r="I37" i="84"/>
  <c r="J36" i="84"/>
  <c r="J38" i="117"/>
  <c r="I39" i="117"/>
  <c r="J37" i="113"/>
  <c r="I38" i="113"/>
  <c r="K33" i="105"/>
  <c r="I38" i="129"/>
  <c r="J37" i="129"/>
  <c r="K37" i="135"/>
  <c r="I36" i="34"/>
  <c r="J35" i="34"/>
  <c r="K37" i="94"/>
  <c r="K35" i="57"/>
  <c r="K37" i="172"/>
  <c r="J35" i="69"/>
  <c r="I36" i="69"/>
  <c r="K35" i="52"/>
  <c r="I37" i="154"/>
  <c r="J36" i="154"/>
  <c r="K35" i="154" s="1"/>
  <c r="K34" i="126"/>
  <c r="J38" i="13"/>
  <c r="I39" i="13"/>
  <c r="E32" i="119"/>
  <c r="C31" i="119"/>
  <c r="J32" i="119"/>
  <c r="K32" i="119" s="1"/>
  <c r="K34" i="102"/>
  <c r="K35" i="44"/>
  <c r="E33" i="12"/>
  <c r="C32" i="12"/>
  <c r="M33" i="1"/>
  <c r="X33" i="2"/>
  <c r="J33" i="12"/>
  <c r="K33" i="12" s="1"/>
  <c r="K37" i="117"/>
  <c r="K37" i="127"/>
  <c r="K35" i="5"/>
  <c r="K34" i="34"/>
  <c r="K34" i="5"/>
  <c r="I37" i="57"/>
  <c r="J36" i="57"/>
  <c r="J40" i="7"/>
  <c r="K39" i="7" s="1"/>
  <c r="I41" i="7"/>
  <c r="C28" i="105"/>
  <c r="E29" i="105"/>
  <c r="J29" i="105"/>
  <c r="K29" i="105" s="1"/>
  <c r="I40" i="24"/>
  <c r="I39" i="172"/>
  <c r="J38" i="172"/>
  <c r="I37" i="52"/>
  <c r="J36" i="52"/>
  <c r="C30" i="64"/>
  <c r="E31" i="64"/>
  <c r="J31" i="64"/>
  <c r="K31" i="64" s="1"/>
  <c r="C30" i="67"/>
  <c r="E31" i="67"/>
  <c r="J31" i="67"/>
  <c r="K31" i="67" s="1"/>
  <c r="K36" i="124"/>
  <c r="C32" i="49"/>
  <c r="E33" i="49"/>
  <c r="J33" i="49"/>
  <c r="K33" i="49" s="1"/>
  <c r="K36" i="9"/>
  <c r="E31" i="139"/>
  <c r="C30" i="139"/>
  <c r="J31" i="139"/>
  <c r="K31" i="139" s="1"/>
  <c r="J39" i="59"/>
  <c r="I40" i="59"/>
  <c r="I37" i="108"/>
  <c r="J36" i="108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I39" i="127"/>
  <c r="J35" i="110"/>
  <c r="K34" i="110" s="1"/>
  <c r="I36" i="110"/>
  <c r="E31" i="22"/>
  <c r="C30" i="22"/>
  <c r="J31" i="22"/>
  <c r="K31" i="22" s="1"/>
  <c r="I37" i="5"/>
  <c r="J36" i="5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K35" i="49"/>
  <c r="I36" i="90"/>
  <c r="J35" i="90"/>
  <c r="I38" i="124"/>
  <c r="J37" i="124"/>
  <c r="K35" i="121"/>
  <c r="J36" i="56"/>
  <c r="K35" i="56" s="1"/>
  <c r="I37" i="56"/>
  <c r="K35" i="108"/>
  <c r="K34" i="52"/>
  <c r="CB32" i="2" l="1"/>
  <c r="BF32" i="2"/>
  <c r="C29" i="22"/>
  <c r="E30" i="22"/>
  <c r="J30" i="22"/>
  <c r="K30" i="22" s="1"/>
  <c r="I39" i="149"/>
  <c r="J38" i="149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E29" i="61"/>
  <c r="C28" i="61"/>
  <c r="J29" i="61"/>
  <c r="K29" i="61" s="1"/>
  <c r="C29" i="54"/>
  <c r="E30" i="54"/>
  <c r="J30" i="54"/>
  <c r="K30" i="54" s="1"/>
  <c r="K36" i="138"/>
  <c r="I38" i="86"/>
  <c r="J37" i="86"/>
  <c r="K36" i="153"/>
  <c r="K39" i="71"/>
  <c r="E31" i="79"/>
  <c r="C30" i="79"/>
  <c r="J31" i="79"/>
  <c r="K31" i="79" s="1"/>
  <c r="C28" i="168"/>
  <c r="E29" i="168"/>
  <c r="J29" i="168"/>
  <c r="K29" i="168" s="1"/>
  <c r="K35" i="141"/>
  <c r="K36" i="104"/>
  <c r="I41" i="79"/>
  <c r="J40" i="79"/>
  <c r="I38" i="138"/>
  <c r="J37" i="138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E27" i="157"/>
  <c r="C26" i="157"/>
  <c r="J27" i="157"/>
  <c r="K27" i="157" s="1"/>
  <c r="I38" i="153"/>
  <c r="J37" i="153"/>
  <c r="BQ33" i="2"/>
  <c r="I41" i="71"/>
  <c r="J40" i="7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I37" i="100"/>
  <c r="J36" i="100"/>
  <c r="K39" i="79"/>
  <c r="E28" i="111"/>
  <c r="C27" i="111"/>
  <c r="J28" i="111"/>
  <c r="K28" i="111" s="1"/>
  <c r="K35" i="174"/>
  <c r="K35" i="112"/>
  <c r="K37" i="118"/>
  <c r="I40" i="132"/>
  <c r="J39" i="132"/>
  <c r="J37" i="106"/>
  <c r="I38" i="106"/>
  <c r="I40" i="164"/>
  <c r="J39" i="164"/>
  <c r="K38" i="164" s="1"/>
  <c r="J41" i="46"/>
  <c r="I42" i="46"/>
  <c r="C31" i="50"/>
  <c r="E32" i="50"/>
  <c r="AT32" i="2"/>
  <c r="J32" i="50"/>
  <c r="K32" i="50" s="1"/>
  <c r="I38" i="87"/>
  <c r="J37" i="87"/>
  <c r="K35" i="160"/>
  <c r="E31" i="31"/>
  <c r="C30" i="31"/>
  <c r="J31" i="31"/>
  <c r="K31" i="31" s="1"/>
  <c r="I37" i="64"/>
  <c r="J36" i="64"/>
  <c r="J37" i="137"/>
  <c r="I38" i="137"/>
  <c r="K36" i="54"/>
  <c r="K35" i="100"/>
  <c r="IJ32" i="2"/>
  <c r="J36" i="174"/>
  <c r="I37" i="174"/>
  <c r="J36" i="112"/>
  <c r="I37" i="112"/>
  <c r="I39" i="44"/>
  <c r="J38" i="44"/>
  <c r="I39" i="118"/>
  <c r="J38" i="118"/>
  <c r="J39" i="172"/>
  <c r="K38" i="172" s="1"/>
  <c r="I40" i="172"/>
  <c r="K36" i="106"/>
  <c r="K40" i="46"/>
  <c r="K35" i="109"/>
  <c r="E32" i="52"/>
  <c r="C31" i="52"/>
  <c r="BP32" i="2"/>
  <c r="J32" i="52"/>
  <c r="K32" i="52" s="1"/>
  <c r="I37" i="160"/>
  <c r="J36" i="160"/>
  <c r="J39" i="128"/>
  <c r="K38" i="128" s="1"/>
  <c r="I40" i="128"/>
  <c r="K39" i="14"/>
  <c r="K35" i="64"/>
  <c r="I39" i="165"/>
  <c r="J38" i="165"/>
  <c r="K37" i="165" s="1"/>
  <c r="K39" i="94"/>
  <c r="K36" i="168"/>
  <c r="K37" i="44"/>
  <c r="J36" i="105"/>
  <c r="I37" i="105"/>
  <c r="E29" i="51"/>
  <c r="C28" i="51"/>
  <c r="J29" i="51"/>
  <c r="K29" i="51" s="1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C28" i="73"/>
  <c r="E29" i="73"/>
  <c r="J29" i="73"/>
  <c r="K29" i="73" s="1"/>
  <c r="E30" i="83"/>
  <c r="C29" i="83"/>
  <c r="J30" i="83"/>
  <c r="K30" i="83" s="1"/>
  <c r="I37" i="109"/>
  <c r="J36" i="109"/>
  <c r="K34" i="95"/>
  <c r="I40" i="62"/>
  <c r="J39" i="62"/>
  <c r="K38" i="62" s="1"/>
  <c r="J40" i="14"/>
  <c r="I41" i="14"/>
  <c r="J40" i="94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I38" i="33"/>
  <c r="J37" i="33"/>
  <c r="C24" i="98"/>
  <c r="E25" i="98"/>
  <c r="J25" i="98"/>
  <c r="K25" i="98" s="1"/>
  <c r="I42" i="61"/>
  <c r="J41" i="61"/>
  <c r="J37" i="88"/>
  <c r="I38" i="88"/>
  <c r="C27" i="105"/>
  <c r="E28" i="105"/>
  <c r="J28" i="105"/>
  <c r="K28" i="105" s="1"/>
  <c r="C26" i="32"/>
  <c r="E27" i="32"/>
  <c r="J27" i="32"/>
  <c r="K27" i="32" s="1"/>
  <c r="K39" i="134"/>
  <c r="K36" i="20"/>
  <c r="AI32" i="2"/>
  <c r="E29" i="159"/>
  <c r="C28" i="159"/>
  <c r="J29" i="159"/>
  <c r="K29" i="159" s="1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I42" i="7"/>
  <c r="J38" i="157"/>
  <c r="I39" i="157"/>
  <c r="K35" i="144"/>
  <c r="K36" i="73"/>
  <c r="I37" i="8"/>
  <c r="J36" i="8"/>
  <c r="K39" i="46"/>
  <c r="K34" i="65"/>
  <c r="J41" i="134"/>
  <c r="I42" i="134"/>
  <c r="K35" i="20"/>
  <c r="I38" i="20"/>
  <c r="J37" i="20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28" i="72"/>
  <c r="E29" i="72"/>
  <c r="J29" i="72"/>
  <c r="K29" i="72" s="1"/>
  <c r="K37" i="68"/>
  <c r="C31" i="155"/>
  <c r="E32" i="155"/>
  <c r="J32" i="155"/>
  <c r="K32" i="155" s="1"/>
  <c r="E31" i="21"/>
  <c r="C30" i="21"/>
  <c r="J31" i="21"/>
  <c r="K31" i="21" s="1"/>
  <c r="I37" i="65"/>
  <c r="J36" i="65"/>
  <c r="K35" i="65" s="1"/>
  <c r="C29" i="161"/>
  <c r="E30" i="161"/>
  <c r="J30" i="161"/>
  <c r="K30" i="161" s="1"/>
  <c r="K37" i="63"/>
  <c r="C31" i="143"/>
  <c r="E32" i="143"/>
  <c r="J32" i="143"/>
  <c r="K32" i="143" s="1"/>
  <c r="J38" i="68"/>
  <c r="I39" i="68"/>
  <c r="E30" i="57"/>
  <c r="C29" i="57"/>
  <c r="J30" i="57"/>
  <c r="K30" i="57" s="1"/>
  <c r="K38" i="132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K40" i="7"/>
  <c r="K35" i="34"/>
  <c r="K37" i="157"/>
  <c r="E31" i="15"/>
  <c r="C30" i="15"/>
  <c r="J31" i="15"/>
  <c r="K31" i="15" s="1"/>
  <c r="N32" i="2"/>
  <c r="I37" i="34"/>
  <c r="J36" i="34"/>
  <c r="HO32" i="2"/>
  <c r="I42" i="145"/>
  <c r="J41" i="145"/>
  <c r="K39" i="15"/>
  <c r="K35" i="148"/>
  <c r="E29" i="47"/>
  <c r="C28" i="47"/>
  <c r="J29" i="47"/>
  <c r="K29" i="47" s="1"/>
  <c r="E30" i="60"/>
  <c r="C29" i="60"/>
  <c r="J30" i="60"/>
  <c r="K30" i="60" s="1"/>
  <c r="I38" i="126"/>
  <c r="J37" i="126"/>
  <c r="E30" i="150"/>
  <c r="C29" i="150"/>
  <c r="J30" i="150"/>
  <c r="K30" i="150" s="1"/>
  <c r="E29" i="37"/>
  <c r="C28" i="37"/>
  <c r="J29" i="37"/>
  <c r="K29" i="37" s="1"/>
  <c r="J39" i="152"/>
  <c r="K38" i="152" s="1"/>
  <c r="I40" i="152"/>
  <c r="K35" i="58"/>
  <c r="C30" i="35"/>
  <c r="E31" i="35"/>
  <c r="J31" i="35"/>
  <c r="K31" i="35" s="1"/>
  <c r="I41" i="82"/>
  <c r="J40" i="82"/>
  <c r="I39" i="63"/>
  <c r="J38" i="63"/>
  <c r="C30" i="164"/>
  <c r="E31" i="164"/>
  <c r="J31" i="164"/>
  <c r="K31" i="164" s="1"/>
  <c r="E31" i="133"/>
  <c r="C30" i="133"/>
  <c r="J31" i="133"/>
  <c r="K31" i="133" s="1"/>
  <c r="DH31" i="2"/>
  <c r="K36" i="44"/>
  <c r="C30" i="114"/>
  <c r="E31" i="114"/>
  <c r="J31" i="114"/>
  <c r="K31" i="114" s="1"/>
  <c r="I39" i="83"/>
  <c r="J38" i="83"/>
  <c r="I38" i="73"/>
  <c r="J37" i="73"/>
  <c r="K40" i="145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C30" i="33"/>
  <c r="E31" i="33"/>
  <c r="M31" i="2"/>
  <c r="J31" i="33"/>
  <c r="K31" i="33" s="1"/>
  <c r="E32" i="158"/>
  <c r="C31" i="158"/>
  <c r="J32" i="158"/>
  <c r="K32" i="158" s="1"/>
  <c r="I37" i="58"/>
  <c r="J36" i="58"/>
  <c r="J40" i="32"/>
  <c r="K39" i="32" s="1"/>
  <c r="I41" i="32"/>
  <c r="J41" i="133"/>
  <c r="I42" i="133"/>
  <c r="E31" i="71"/>
  <c r="C30" i="71"/>
  <c r="J31" i="71"/>
  <c r="K31" i="71" s="1"/>
  <c r="I39" i="93"/>
  <c r="J38" i="93"/>
  <c r="E27" i="138"/>
  <c r="C26" i="138"/>
  <c r="J27" i="138"/>
  <c r="K27" i="138" s="1"/>
  <c r="K35" i="33"/>
  <c r="K37" i="129"/>
  <c r="I37" i="130"/>
  <c r="J36" i="130"/>
  <c r="E70" i="24"/>
  <c r="C69" i="24"/>
  <c r="C28" i="124"/>
  <c r="E29" i="124"/>
  <c r="J29" i="124"/>
  <c r="K29" i="124" s="1"/>
  <c r="J37" i="111"/>
  <c r="I38" i="111"/>
  <c r="I38" i="103"/>
  <c r="J37" i="103"/>
  <c r="I38" i="161"/>
  <c r="J37" i="161"/>
  <c r="K37" i="152"/>
  <c r="I40" i="101"/>
  <c r="J39" i="101"/>
  <c r="J38" i="18"/>
  <c r="I39" i="18"/>
  <c r="I38" i="116"/>
  <c r="J37" i="116"/>
  <c r="K36" i="80"/>
  <c r="K35" i="168"/>
  <c r="K38" i="122"/>
  <c r="K35" i="55"/>
  <c r="I39" i="129"/>
  <c r="J38" i="129"/>
  <c r="E31" i="89"/>
  <c r="C30" i="89"/>
  <c r="J31" i="89"/>
  <c r="K31" i="89" s="1"/>
  <c r="C31" i="42"/>
  <c r="E32" i="42"/>
  <c r="J32" i="42"/>
  <c r="K32" i="42" s="1"/>
  <c r="FV32" i="2"/>
  <c r="DT31" i="2"/>
  <c r="K39" i="22"/>
  <c r="I40" i="16"/>
  <c r="J39" i="16"/>
  <c r="K38" i="16" s="1"/>
  <c r="K36" i="116"/>
  <c r="E30" i="65"/>
  <c r="C29" i="65"/>
  <c r="J30" i="65"/>
  <c r="K30" i="65" s="1"/>
  <c r="E27" i="146"/>
  <c r="C26" i="146"/>
  <c r="J27" i="146"/>
  <c r="K27" i="146" s="1"/>
  <c r="J37" i="80"/>
  <c r="I38" i="80"/>
  <c r="J39" i="122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I37" i="147"/>
  <c r="K36" i="162"/>
  <c r="C31" i="152"/>
  <c r="E32" i="152"/>
  <c r="J32" i="152"/>
  <c r="K32" i="152" s="1"/>
  <c r="E32" i="170"/>
  <c r="C31" i="170"/>
  <c r="J32" i="170"/>
  <c r="K32" i="170" s="1"/>
  <c r="K34" i="141"/>
  <c r="I37" i="171"/>
  <c r="J36" i="171"/>
  <c r="K36" i="103"/>
  <c r="K37" i="28"/>
  <c r="E30" i="139"/>
  <c r="C29" i="139"/>
  <c r="J30" i="139"/>
  <c r="K30" i="139" s="1"/>
  <c r="I39" i="113"/>
  <c r="J38" i="113"/>
  <c r="I39" i="28"/>
  <c r="J38" i="28"/>
  <c r="E27" i="87"/>
  <c r="C26" i="87"/>
  <c r="J27" i="87"/>
  <c r="K27" i="87" s="1"/>
  <c r="K34" i="38"/>
  <c r="J37" i="162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E29" i="173"/>
  <c r="C28" i="173"/>
  <c r="J29" i="173"/>
  <c r="K29" i="173" s="1"/>
  <c r="C28" i="127"/>
  <c r="E29" i="127"/>
  <c r="J29" i="127"/>
  <c r="K29" i="127" s="1"/>
  <c r="J36" i="40"/>
  <c r="K35" i="40" s="1"/>
  <c r="I37" i="40"/>
  <c r="E30" i="129"/>
  <c r="C29" i="129"/>
  <c r="J30" i="129"/>
  <c r="K30" i="129" s="1"/>
  <c r="DS30" i="2"/>
  <c r="K36" i="21"/>
  <c r="K35" i="162"/>
  <c r="C31" i="91"/>
  <c r="E32" i="91"/>
  <c r="J32" i="91"/>
  <c r="K32" i="91" s="1"/>
  <c r="E30" i="74"/>
  <c r="C29" i="74"/>
  <c r="J30" i="74"/>
  <c r="K30" i="74" s="1"/>
  <c r="FK32" i="2"/>
  <c r="K35" i="116"/>
  <c r="I40" i="89"/>
  <c r="J39" i="89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I40" i="9"/>
  <c r="E32" i="174"/>
  <c r="C31" i="174"/>
  <c r="J32" i="174"/>
  <c r="K32" i="174" s="1"/>
  <c r="K38" i="89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7" i="113"/>
  <c r="K36" i="129"/>
  <c r="E25" i="82"/>
  <c r="C24" i="82"/>
  <c r="J25" i="82"/>
  <c r="K25" i="82" s="1"/>
  <c r="C30" i="96"/>
  <c r="E31" i="96"/>
  <c r="J31" i="96"/>
  <c r="K31" i="96" s="1"/>
  <c r="J36" i="146"/>
  <c r="I37" i="146"/>
  <c r="J37" i="76"/>
  <c r="I38" i="76"/>
  <c r="K35" i="81"/>
  <c r="E29" i="115"/>
  <c r="C28" i="115"/>
  <c r="J29" i="115"/>
  <c r="K29" i="115" s="1"/>
  <c r="E30" i="16"/>
  <c r="C29" i="16"/>
  <c r="J30" i="16"/>
  <c r="K30" i="16" s="1"/>
  <c r="K35" i="17"/>
  <c r="J41" i="12"/>
  <c r="I42" i="12"/>
  <c r="K38" i="9"/>
  <c r="I38" i="97"/>
  <c r="J37" i="97"/>
  <c r="E30" i="68"/>
  <c r="C29" i="68"/>
  <c r="J30" i="68"/>
  <c r="K30" i="68" s="1"/>
  <c r="E30" i="126"/>
  <c r="C29" i="126"/>
  <c r="J30" i="126"/>
  <c r="K30" i="126" s="1"/>
  <c r="J40" i="59"/>
  <c r="K39" i="59" s="1"/>
  <c r="I41" i="59"/>
  <c r="K35" i="147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6" i="5"/>
  <c r="K39" i="61"/>
  <c r="I38" i="5"/>
  <c r="J37" i="5"/>
  <c r="K36" i="113"/>
  <c r="K35" i="106"/>
  <c r="K36" i="76"/>
  <c r="J38" i="60"/>
  <c r="I39" i="60"/>
  <c r="C28" i="149"/>
  <c r="E29" i="149"/>
  <c r="J29" i="149"/>
  <c r="K29" i="149" s="1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C28" i="84"/>
  <c r="E29" i="84"/>
  <c r="J29" i="84"/>
  <c r="K29" i="84" s="1"/>
  <c r="J36" i="17"/>
  <c r="I37" i="17"/>
  <c r="K35" i="125"/>
  <c r="K35" i="137"/>
  <c r="J36" i="96"/>
  <c r="K35" i="96" s="1"/>
  <c r="I37" i="96"/>
  <c r="E32" i="3"/>
  <c r="C31" i="3"/>
  <c r="J32" i="3"/>
  <c r="K32" i="3" s="1"/>
  <c r="K36" i="97"/>
  <c r="I38" i="67"/>
  <c r="J37" i="67"/>
  <c r="K35" i="146"/>
  <c r="Y33" i="2"/>
  <c r="K36" i="84"/>
  <c r="I37" i="35"/>
  <c r="J36" i="35"/>
  <c r="K35" i="35" s="1"/>
  <c r="K35" i="39"/>
  <c r="K34" i="8"/>
  <c r="K37" i="149"/>
  <c r="K35" i="36"/>
  <c r="K36" i="10"/>
  <c r="J38" i="10"/>
  <c r="I39" i="10"/>
  <c r="J38" i="115"/>
  <c r="K37" i="115" s="1"/>
  <c r="I39" i="115"/>
  <c r="J36" i="125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K36" i="67"/>
  <c r="E32" i="121"/>
  <c r="C31" i="121"/>
  <c r="J32" i="121"/>
  <c r="K32" i="121" s="1"/>
  <c r="K38" i="136"/>
  <c r="C27" i="59"/>
  <c r="E28" i="59"/>
  <c r="J28" i="59"/>
  <c r="K28" i="59" s="1"/>
  <c r="I37" i="11"/>
  <c r="J36" i="11"/>
  <c r="K35" i="11" s="1"/>
  <c r="I38" i="114"/>
  <c r="J37" i="114"/>
  <c r="C30" i="36"/>
  <c r="E31" i="36"/>
  <c r="J31" i="36"/>
  <c r="K31" i="36" s="1"/>
  <c r="K40" i="74"/>
  <c r="I40" i="136"/>
  <c r="J39" i="136"/>
  <c r="I41" i="27"/>
  <c r="J40" i="27"/>
  <c r="K39" i="27" s="1"/>
  <c r="C26" i="156"/>
  <c r="E27" i="156"/>
  <c r="J27" i="156"/>
  <c r="K27" i="156" s="1"/>
  <c r="J38" i="41"/>
  <c r="K37" i="41" s="1"/>
  <c r="I39" i="41"/>
  <c r="HD33" i="2"/>
  <c r="E30" i="25"/>
  <c r="C29" i="25"/>
  <c r="J30" i="25"/>
  <c r="K30" i="25" s="1"/>
  <c r="K36" i="114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C28" i="106"/>
  <c r="E29" i="106"/>
  <c r="J29" i="106"/>
  <c r="K29" i="106" s="1"/>
  <c r="BQ33" i="1"/>
  <c r="E29" i="120"/>
  <c r="C28" i="120"/>
  <c r="J29" i="120"/>
  <c r="K29" i="120" s="1"/>
  <c r="K37" i="122"/>
  <c r="J39" i="142"/>
  <c r="I40" i="142"/>
  <c r="J38" i="167"/>
  <c r="I39" i="167"/>
  <c r="K35" i="19"/>
  <c r="EP32" i="2"/>
  <c r="K36" i="70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I39" i="30"/>
  <c r="J38" i="30"/>
  <c r="K37" i="30" s="1"/>
  <c r="K38" i="142"/>
  <c r="K37" i="136"/>
  <c r="C30" i="97"/>
  <c r="E31" i="97"/>
  <c r="EO31" i="2"/>
  <c r="J31" i="97"/>
  <c r="K31" i="97" s="1"/>
  <c r="I38" i="70"/>
  <c r="J37" i="70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6" i="12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K35" i="120"/>
  <c r="C31" i="7"/>
  <c r="E32" i="7"/>
  <c r="AT32" i="1"/>
  <c r="J32" i="7"/>
  <c r="K32" i="7" s="1"/>
  <c r="E30" i="130"/>
  <c r="C29" i="130"/>
  <c r="J30" i="130"/>
  <c r="K30" i="130" s="1"/>
  <c r="K34" i="112"/>
  <c r="J55" i="150"/>
  <c r="I56" i="150"/>
  <c r="K34" i="45"/>
  <c r="J39" i="127"/>
  <c r="I40" i="127"/>
  <c r="C29" i="67"/>
  <c r="E30" i="67"/>
  <c r="J30" i="67"/>
  <c r="K30" i="67" s="1"/>
  <c r="E32" i="58"/>
  <c r="C31" i="58"/>
  <c r="CA31" i="2" s="1"/>
  <c r="J32" i="58"/>
  <c r="K32" i="58" s="1"/>
  <c r="I38" i="56"/>
  <c r="J37" i="56"/>
  <c r="K38" i="127"/>
  <c r="K36" i="56"/>
  <c r="E31" i="119"/>
  <c r="C30" i="119"/>
  <c r="J31" i="119"/>
  <c r="K31" i="119" s="1"/>
  <c r="K35" i="102"/>
  <c r="J37" i="170"/>
  <c r="K36" i="170" s="1"/>
  <c r="I38" i="170"/>
  <c r="J37" i="3"/>
  <c r="K36" i="3" s="1"/>
  <c r="I38" i="3"/>
  <c r="C30" i="151"/>
  <c r="E31" i="151"/>
  <c r="J31" i="151"/>
  <c r="K31" i="151" s="1"/>
  <c r="K36" i="31"/>
  <c r="E28" i="160"/>
  <c r="C27" i="160"/>
  <c r="J28" i="160"/>
  <c r="K28" i="160" s="1"/>
  <c r="E31" i="145"/>
  <c r="C30" i="145"/>
  <c r="J31" i="145"/>
  <c r="K31" i="145" s="1"/>
  <c r="E30" i="148"/>
  <c r="C29" i="148"/>
  <c r="J30" i="148"/>
  <c r="K30" i="148" s="1"/>
  <c r="E28" i="102"/>
  <c r="C27" i="102"/>
  <c r="J28" i="102"/>
  <c r="K28" i="102" s="1"/>
  <c r="J39" i="26"/>
  <c r="K38" i="26" s="1"/>
  <c r="I40" i="26"/>
  <c r="E29" i="85"/>
  <c r="C28" i="85"/>
  <c r="J29" i="85"/>
  <c r="K29" i="85" s="1"/>
  <c r="C29" i="94"/>
  <c r="E30" i="94"/>
  <c r="J30" i="94"/>
  <c r="K30" i="94" s="1"/>
  <c r="J36" i="120"/>
  <c r="I37" i="120"/>
  <c r="E31" i="147"/>
  <c r="C30" i="147"/>
  <c r="J31" i="147"/>
  <c r="K31" i="147" s="1"/>
  <c r="J39" i="29"/>
  <c r="I40" i="29"/>
  <c r="K34" i="174"/>
  <c r="I40" i="48"/>
  <c r="J39" i="48"/>
  <c r="K38" i="48" s="1"/>
  <c r="K35" i="114"/>
  <c r="I37" i="102"/>
  <c r="J36" i="102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7" i="92"/>
  <c r="K35" i="104"/>
  <c r="E29" i="62"/>
  <c r="C28" i="62"/>
  <c r="J29" i="62"/>
  <c r="K29" i="62" s="1"/>
  <c r="K39" i="12"/>
  <c r="K38" i="29"/>
  <c r="C29" i="103"/>
  <c r="E30" i="103"/>
  <c r="J30" i="103"/>
  <c r="K30" i="103" s="1"/>
  <c r="C29" i="4"/>
  <c r="E30" i="4"/>
  <c r="J30" i="4"/>
  <c r="K30" i="4" s="1"/>
  <c r="E28" i="131"/>
  <c r="C27" i="131"/>
  <c r="J28" i="131"/>
  <c r="K28" i="131" s="1"/>
  <c r="N33" i="1"/>
  <c r="E30" i="64"/>
  <c r="C29" i="64"/>
  <c r="J30" i="64"/>
  <c r="K30" i="64" s="1"/>
  <c r="E29" i="141"/>
  <c r="C28" i="141"/>
  <c r="J29" i="141"/>
  <c r="K29" i="141" s="1"/>
  <c r="K37" i="158"/>
  <c r="I39" i="159"/>
  <c r="J38" i="159"/>
  <c r="IV33" i="2"/>
  <c r="K38" i="98"/>
  <c r="J38" i="92"/>
  <c r="I39" i="92"/>
  <c r="C30" i="95"/>
  <c r="E31" i="95"/>
  <c r="J31" i="95"/>
  <c r="K31" i="95" s="1"/>
  <c r="C31" i="46"/>
  <c r="AI31" i="1" s="1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I39" i="158"/>
  <c r="I38" i="123"/>
  <c r="J37" i="123"/>
  <c r="K36" i="123" s="1"/>
  <c r="CB33" i="1"/>
  <c r="I40" i="98"/>
  <c r="J39" i="98"/>
  <c r="C27" i="45"/>
  <c r="E28" i="45"/>
  <c r="J28" i="45"/>
  <c r="K28" i="45" s="1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K36" i="151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I38" i="50"/>
  <c r="C27" i="165"/>
  <c r="E28" i="165"/>
  <c r="J28" i="165"/>
  <c r="K28" i="165" s="1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E31" i="169"/>
  <c r="C30" i="169"/>
  <c r="HY31" i="2"/>
  <c r="J31" i="169"/>
  <c r="K31" i="169" s="1"/>
  <c r="E32" i="92"/>
  <c r="C31" i="92"/>
  <c r="J32" i="92"/>
  <c r="K32" i="92" s="1"/>
  <c r="E32" i="90"/>
  <c r="C31" i="90"/>
  <c r="CL31" i="2" s="1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BE31" i="2" s="1"/>
  <c r="E32" i="29"/>
  <c r="J32" i="29"/>
  <c r="K32" i="29" s="1"/>
  <c r="X32" i="1"/>
  <c r="J38" i="139"/>
  <c r="K37" i="139" s="1"/>
  <c r="I39" i="139"/>
  <c r="K35" i="47"/>
  <c r="J39" i="77"/>
  <c r="I40" i="77"/>
  <c r="C31" i="172"/>
  <c r="E32" i="172"/>
  <c r="J32" i="172"/>
  <c r="K32" i="172" s="1"/>
  <c r="K36" i="50"/>
  <c r="J36" i="95"/>
  <c r="I37" i="95"/>
  <c r="C29" i="118"/>
  <c r="E30" i="118"/>
  <c r="J30" i="118"/>
  <c r="K30" i="118" s="1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7" i="43"/>
  <c r="E28" i="43"/>
  <c r="J28" i="43"/>
  <c r="K28" i="43" s="1"/>
  <c r="AJ31" i="1" l="1"/>
  <c r="BF31" i="2"/>
  <c r="CB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I41" i="135"/>
  <c r="E28" i="127"/>
  <c r="C27" i="127"/>
  <c r="J28" i="127"/>
  <c r="K28" i="127" s="1"/>
  <c r="C28" i="139"/>
  <c r="E29" i="139"/>
  <c r="J29" i="139"/>
  <c r="K29" i="139" s="1"/>
  <c r="N32" i="1"/>
  <c r="J37" i="112"/>
  <c r="I38" i="112"/>
  <c r="E26" i="157"/>
  <c r="C25" i="157"/>
  <c r="J26" i="157"/>
  <c r="K26" i="157" s="1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E29" i="118"/>
  <c r="C28" i="118"/>
  <c r="J29" i="118"/>
  <c r="K29" i="118" s="1"/>
  <c r="I42" i="42"/>
  <c r="J41" i="42"/>
  <c r="I39" i="144"/>
  <c r="J38" i="144"/>
  <c r="I57" i="150"/>
  <c r="J56" i="150"/>
  <c r="FA31" i="2"/>
  <c r="E28" i="120"/>
  <c r="C27" i="120"/>
  <c r="J28" i="120"/>
  <c r="K28" i="120" s="1"/>
  <c r="J37" i="110"/>
  <c r="I38" i="110"/>
  <c r="E29" i="68"/>
  <c r="C28" i="68"/>
  <c r="J29" i="68"/>
  <c r="K29" i="68" s="1"/>
  <c r="J38" i="53"/>
  <c r="K37" i="53" s="1"/>
  <c r="I39" i="53"/>
  <c r="K39" i="135"/>
  <c r="Y32" i="2"/>
  <c r="E30" i="89"/>
  <c r="C29" i="89"/>
  <c r="J30" i="89"/>
  <c r="K30" i="89" s="1"/>
  <c r="I38" i="130"/>
  <c r="J37" i="130"/>
  <c r="K40" i="82"/>
  <c r="C30" i="143"/>
  <c r="E31" i="143"/>
  <c r="J31" i="143"/>
  <c r="K31" i="143" s="1"/>
  <c r="J42" i="134"/>
  <c r="I43" i="134"/>
  <c r="AJ32" i="2"/>
  <c r="I42" i="94"/>
  <c r="J41" i="94"/>
  <c r="I38" i="105"/>
  <c r="J37" i="105"/>
  <c r="K36" i="112"/>
  <c r="J40" i="132"/>
  <c r="I41" i="132"/>
  <c r="K36" i="110"/>
  <c r="I41" i="117"/>
  <c r="J40" i="117"/>
  <c r="I42" i="82"/>
  <c r="J41" i="82"/>
  <c r="K41" i="134"/>
  <c r="K36" i="105"/>
  <c r="I38" i="174"/>
  <c r="J37" i="174"/>
  <c r="EE32" i="2"/>
  <c r="HZ31" i="2"/>
  <c r="C29" i="10"/>
  <c r="E30" i="10"/>
  <c r="J30" i="10"/>
  <c r="K30" i="10" s="1"/>
  <c r="E30" i="134"/>
  <c r="C29" i="134"/>
  <c r="EZ30" i="2"/>
  <c r="J30" i="134"/>
  <c r="K30" i="134" s="1"/>
  <c r="I38" i="143"/>
  <c r="J37" i="143"/>
  <c r="K37" i="67"/>
  <c r="K37" i="97"/>
  <c r="J37" i="166"/>
  <c r="I38" i="166"/>
  <c r="K39" i="117"/>
  <c r="C27" i="173"/>
  <c r="E28" i="173"/>
  <c r="J28" i="173"/>
  <c r="K28" i="173" s="1"/>
  <c r="C30" i="12"/>
  <c r="E31" i="12"/>
  <c r="X31" i="2"/>
  <c r="M31" i="1"/>
  <c r="J31" i="12"/>
  <c r="K31" i="12" s="1"/>
  <c r="J37" i="38"/>
  <c r="I38" i="38"/>
  <c r="K36" i="174"/>
  <c r="J38" i="49"/>
  <c r="I39" i="49"/>
  <c r="J37" i="95"/>
  <c r="K36" i="95" s="1"/>
  <c r="I38" i="95"/>
  <c r="K40" i="42"/>
  <c r="K37" i="144"/>
  <c r="C29" i="145"/>
  <c r="E30" i="145"/>
  <c r="J30" i="145"/>
  <c r="K30" i="145" s="1"/>
  <c r="K55" i="150"/>
  <c r="E30" i="169"/>
  <c r="C29" i="169"/>
  <c r="J30" i="169"/>
  <c r="K30" i="169" s="1"/>
  <c r="K36" i="143"/>
  <c r="E31" i="121"/>
  <c r="C30" i="121"/>
  <c r="J31" i="121"/>
  <c r="K31" i="121" s="1"/>
  <c r="I39" i="67"/>
  <c r="J38" i="67"/>
  <c r="I39" i="97"/>
  <c r="J38" i="97"/>
  <c r="I40" i="129"/>
  <c r="J39" i="129"/>
  <c r="K38" i="129" s="1"/>
  <c r="K40" i="134"/>
  <c r="I42" i="14"/>
  <c r="J41" i="14"/>
  <c r="IK32" i="2"/>
  <c r="E28" i="168"/>
  <c r="C27" i="168"/>
  <c r="J28" i="168"/>
  <c r="K28" i="168" s="1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28" i="130"/>
  <c r="E29" i="130"/>
  <c r="J29" i="130"/>
  <c r="K29" i="130" s="1"/>
  <c r="CW30" i="2"/>
  <c r="BQ32" i="1"/>
  <c r="C27" i="149"/>
  <c r="E28" i="149"/>
  <c r="J28" i="149"/>
  <c r="K28" i="149" s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HD32" i="2"/>
  <c r="I40" i="60"/>
  <c r="J39" i="60"/>
  <c r="I43" i="12"/>
  <c r="J42" i="12"/>
  <c r="I38" i="171"/>
  <c r="J37" i="171"/>
  <c r="E29" i="161"/>
  <c r="C28" i="161"/>
  <c r="J29" i="161"/>
  <c r="K29" i="161" s="1"/>
  <c r="K36" i="8"/>
  <c r="E27" i="111"/>
  <c r="C26" i="111"/>
  <c r="J27" i="111"/>
  <c r="K27" i="111" s="1"/>
  <c r="C29" i="79"/>
  <c r="E30" i="79"/>
  <c r="J30" i="79"/>
  <c r="K30" i="79" s="1"/>
  <c r="K36" i="47"/>
  <c r="E31" i="172"/>
  <c r="C30" i="172"/>
  <c r="J31" i="172"/>
  <c r="K31" i="172" s="1"/>
  <c r="I39" i="151"/>
  <c r="J38" i="151"/>
  <c r="J39" i="124"/>
  <c r="I40" i="124"/>
  <c r="K54" i="150"/>
  <c r="C28" i="112"/>
  <c r="E29" i="112"/>
  <c r="J29" i="112"/>
  <c r="K29" i="112" s="1"/>
  <c r="E28" i="106"/>
  <c r="C27" i="106"/>
  <c r="J28" i="106"/>
  <c r="K28" i="106" s="1"/>
  <c r="E29" i="25"/>
  <c r="C28" i="25"/>
  <c r="J29" i="25"/>
  <c r="K29" i="25" s="1"/>
  <c r="J37" i="45"/>
  <c r="I38" i="45"/>
  <c r="E29" i="113"/>
  <c r="C28" i="113"/>
  <c r="J29" i="113"/>
  <c r="K29" i="113" s="1"/>
  <c r="I40" i="173"/>
  <c r="J39" i="173"/>
  <c r="K38" i="173" s="1"/>
  <c r="K37" i="173"/>
  <c r="E26" i="138"/>
  <c r="C25" i="138"/>
  <c r="J26" i="138"/>
  <c r="K26" i="138" s="1"/>
  <c r="K37" i="108"/>
  <c r="J40" i="152"/>
  <c r="I41" i="152"/>
  <c r="I38" i="8"/>
  <c r="J37" i="8"/>
  <c r="I41" i="62"/>
  <c r="J40" i="62"/>
  <c r="I39" i="137"/>
  <c r="J38" i="137"/>
  <c r="J42" i="15"/>
  <c r="I43" i="15"/>
  <c r="K37" i="39"/>
  <c r="AU32" i="1"/>
  <c r="E31" i="8"/>
  <c r="C30" i="8"/>
  <c r="HC31" i="2"/>
  <c r="BP31" i="1"/>
  <c r="J31" i="8"/>
  <c r="K31" i="8" s="1"/>
  <c r="K36" i="45"/>
  <c r="E28" i="171"/>
  <c r="C27" i="171"/>
  <c r="J28" i="171"/>
  <c r="K28" i="171" s="1"/>
  <c r="J39" i="37"/>
  <c r="I40" i="37"/>
  <c r="J40" i="122"/>
  <c r="I41" i="122"/>
  <c r="J38" i="108"/>
  <c r="I39" i="108"/>
  <c r="K39" i="152"/>
  <c r="E26" i="32"/>
  <c r="C25" i="32"/>
  <c r="J26" i="32"/>
  <c r="K26" i="32" s="1"/>
  <c r="J39" i="165"/>
  <c r="K38" i="165" s="1"/>
  <c r="I40" i="165"/>
  <c r="K37" i="137"/>
  <c r="I43" i="74"/>
  <c r="J42" i="74"/>
  <c r="I39" i="39"/>
  <c r="J38" i="39"/>
  <c r="IV31" i="2"/>
  <c r="K37" i="49"/>
  <c r="J40" i="48"/>
  <c r="I41" i="48"/>
  <c r="CX31" i="2"/>
  <c r="K38" i="93"/>
  <c r="J37" i="65"/>
  <c r="K36" i="65" s="1"/>
  <c r="I38" i="65"/>
  <c r="K35" i="8"/>
  <c r="K41" i="74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C26" i="160"/>
  <c r="E27" i="160"/>
  <c r="J27" i="160"/>
  <c r="K27" i="160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7" i="54"/>
  <c r="K38" i="23"/>
  <c r="I39" i="3"/>
  <c r="J38" i="3"/>
  <c r="K36" i="16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E27" i="105"/>
  <c r="C26" i="105"/>
  <c r="J27" i="105"/>
  <c r="K27" i="105" s="1"/>
  <c r="K39" i="128"/>
  <c r="I39" i="54"/>
  <c r="J38" i="54"/>
  <c r="I39" i="86"/>
  <c r="J38" i="86"/>
  <c r="K37" i="86" s="1"/>
  <c r="J37" i="163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E26" i="146"/>
  <c r="C25" i="146"/>
  <c r="J26" i="146"/>
  <c r="K26" i="146" s="1"/>
  <c r="I40" i="18"/>
  <c r="J39" i="18"/>
  <c r="K37" i="73"/>
  <c r="C28" i="150"/>
  <c r="E29" i="150"/>
  <c r="J29" i="150"/>
  <c r="K29" i="150" s="1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8" i="124"/>
  <c r="E29" i="137"/>
  <c r="C28" i="137"/>
  <c r="J29" i="137"/>
  <c r="K29" i="137" s="1"/>
  <c r="C28" i="74"/>
  <c r="E29" i="74"/>
  <c r="J29" i="74"/>
  <c r="K29" i="74" s="1"/>
  <c r="E31" i="152"/>
  <c r="C30" i="152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K37" i="154"/>
  <c r="K37" i="151"/>
  <c r="E29" i="110"/>
  <c r="C28" i="110"/>
  <c r="J29" i="110"/>
  <c r="K29" i="110" s="1"/>
  <c r="E26" i="156"/>
  <c r="C25" i="156"/>
  <c r="J26" i="156"/>
  <c r="K26" i="156" s="1"/>
  <c r="C29" i="132"/>
  <c r="E30" i="132"/>
  <c r="J30" i="132"/>
  <c r="K30" i="132" s="1"/>
  <c r="K41" i="133"/>
  <c r="K38" i="83"/>
  <c r="E31" i="155"/>
  <c r="C30" i="155"/>
  <c r="J31" i="155"/>
  <c r="K31" i="155" s="1"/>
  <c r="E29" i="103"/>
  <c r="C28" i="103"/>
  <c r="J29" i="103"/>
  <c r="K29" i="103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K36" i="147"/>
  <c r="J40" i="101"/>
  <c r="I41" i="101"/>
  <c r="K40" i="32"/>
  <c r="I43" i="61"/>
  <c r="J42" i="61"/>
  <c r="C27" i="73"/>
  <c r="E28" i="73"/>
  <c r="J28" i="73"/>
  <c r="K28" i="73" s="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E29" i="60"/>
  <c r="C28" i="60"/>
  <c r="J29" i="60"/>
  <c r="K29" i="60" s="1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7" i="62"/>
  <c r="E28" i="62"/>
  <c r="J28" i="62"/>
  <c r="K28" i="62" s="1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I40" i="115"/>
  <c r="J37" i="146"/>
  <c r="I38" i="146"/>
  <c r="K37" i="18"/>
  <c r="K36" i="58"/>
  <c r="E30" i="114"/>
  <c r="C29" i="114"/>
  <c r="J30" i="114"/>
  <c r="K30" i="114" s="1"/>
  <c r="C28" i="144"/>
  <c r="E29" i="144"/>
  <c r="J29" i="144"/>
  <c r="K29" i="144" s="1"/>
  <c r="E28" i="72"/>
  <c r="C27" i="72"/>
  <c r="J28" i="72"/>
  <c r="K28" i="72" s="1"/>
  <c r="C29" i="162"/>
  <c r="E30" i="162"/>
  <c r="J30" i="162"/>
  <c r="K30" i="162" s="1"/>
  <c r="I38" i="36"/>
  <c r="J37" i="36"/>
  <c r="K36" i="144"/>
  <c r="K38" i="115"/>
  <c r="E29" i="99"/>
  <c r="C28" i="99"/>
  <c r="J29" i="99"/>
  <c r="K29" i="99" s="1"/>
  <c r="J38" i="162"/>
  <c r="I39" i="162"/>
  <c r="K37" i="161"/>
  <c r="E24" i="98"/>
  <c r="C23" i="98"/>
  <c r="J24" i="98"/>
  <c r="K24" i="98" s="1"/>
  <c r="E30" i="20"/>
  <c r="C29" i="20"/>
  <c r="J30" i="20"/>
  <c r="K30" i="20" s="1"/>
  <c r="AU32" i="2"/>
  <c r="E29" i="5"/>
  <c r="C28" i="5"/>
  <c r="J29" i="5"/>
  <c r="K29" i="5" s="1"/>
  <c r="I39" i="84"/>
  <c r="J38" i="84"/>
  <c r="E28" i="61"/>
  <c r="C27" i="61"/>
  <c r="J28" i="61"/>
  <c r="K28" i="61" s="1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I38" i="58"/>
  <c r="J40" i="107"/>
  <c r="K39" i="107" s="1"/>
  <c r="I41" i="107"/>
  <c r="K36" i="90"/>
  <c r="E27" i="165"/>
  <c r="C26" i="165"/>
  <c r="J27" i="165"/>
  <c r="K27" i="165" s="1"/>
  <c r="E27" i="45"/>
  <c r="C26" i="45"/>
  <c r="J27" i="45"/>
  <c r="K27" i="45" s="1"/>
  <c r="C27" i="69"/>
  <c r="E28" i="69"/>
  <c r="J28" i="69"/>
  <c r="K28" i="69" s="1"/>
  <c r="K36" i="119"/>
  <c r="I43" i="75"/>
  <c r="J42" i="75"/>
  <c r="I40" i="10"/>
  <c r="J39" i="10"/>
  <c r="K38" i="10" s="1"/>
  <c r="I39" i="21"/>
  <c r="J38" i="21"/>
  <c r="K37" i="21" s="1"/>
  <c r="I41" i="16"/>
  <c r="J40" i="16"/>
  <c r="K39" i="16" s="1"/>
  <c r="I39" i="161"/>
  <c r="J38" i="16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7" i="84"/>
  <c r="I41" i="13"/>
  <c r="J40" i="13"/>
  <c r="K39" i="13" s="1"/>
  <c r="E29" i="94"/>
  <c r="C28" i="94"/>
  <c r="J29" i="94"/>
  <c r="K29" i="94" s="1"/>
  <c r="J38" i="70"/>
  <c r="K37" i="70" s="1"/>
  <c r="I39" i="70"/>
  <c r="K41" i="75"/>
  <c r="J37" i="90"/>
  <c r="I38" i="90"/>
  <c r="K37" i="23"/>
  <c r="E28" i="85"/>
  <c r="C27" i="85"/>
  <c r="J28" i="85"/>
  <c r="K28" i="85" s="1"/>
  <c r="E28" i="84"/>
  <c r="C27" i="84"/>
  <c r="J28" i="84"/>
  <c r="K28" i="84" s="1"/>
  <c r="K40" i="12"/>
  <c r="DT30" i="2"/>
  <c r="K38" i="101"/>
  <c r="E31" i="158"/>
  <c r="C30" i="158"/>
  <c r="J31" i="158"/>
  <c r="K31" i="158" s="1"/>
  <c r="K38" i="72"/>
  <c r="K37" i="33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K38" i="25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DH30" i="2"/>
  <c r="K36" i="33"/>
  <c r="I39" i="33"/>
  <c r="J38" i="33"/>
  <c r="I43" i="46"/>
  <c r="J42" i="46"/>
  <c r="K36" i="140"/>
  <c r="C29" i="48"/>
  <c r="E30" i="48"/>
  <c r="J30" i="48"/>
  <c r="K30" i="48" s="1"/>
  <c r="I40" i="149"/>
  <c r="J39" i="149"/>
  <c r="J40" i="98"/>
  <c r="I41" i="98"/>
  <c r="K38" i="159"/>
  <c r="K37" i="169"/>
  <c r="I41" i="26"/>
  <c r="J40" i="26"/>
  <c r="C29" i="97"/>
  <c r="E30" i="97"/>
  <c r="EO30" i="2"/>
  <c r="J30" i="97"/>
  <c r="K30" i="97" s="1"/>
  <c r="K35" i="143"/>
  <c r="I40" i="25"/>
  <c r="J39" i="25"/>
  <c r="C27" i="26"/>
  <c r="E28" i="26"/>
  <c r="J28" i="26"/>
  <c r="K28" i="26" s="1"/>
  <c r="E29" i="129"/>
  <c r="C28" i="129"/>
  <c r="J29" i="129"/>
  <c r="K29" i="129" s="1"/>
  <c r="DS29" i="2"/>
  <c r="E31" i="55"/>
  <c r="C30" i="55"/>
  <c r="J31" i="55"/>
  <c r="K31" i="55" s="1"/>
  <c r="I39" i="111"/>
  <c r="J38" i="111"/>
  <c r="K36" i="126"/>
  <c r="E30" i="70"/>
  <c r="C29" i="70"/>
  <c r="J30" i="70"/>
  <c r="K30" i="70" s="1"/>
  <c r="AI31" i="2"/>
  <c r="K37" i="168"/>
  <c r="I41" i="172"/>
  <c r="J40" i="172"/>
  <c r="K41" i="46"/>
  <c r="J37" i="140"/>
  <c r="I38" i="140"/>
  <c r="E27" i="43"/>
  <c r="C26" i="43"/>
  <c r="J27" i="43"/>
  <c r="K27" i="43" s="1"/>
  <c r="C29" i="147"/>
  <c r="E30" i="147"/>
  <c r="J30" i="147"/>
  <c r="K30" i="147" s="1"/>
  <c r="E26" i="166"/>
  <c r="C25" i="166"/>
  <c r="J26" i="166"/>
  <c r="K26" i="166" s="1"/>
  <c r="I40" i="159"/>
  <c r="J39" i="159"/>
  <c r="E31" i="58"/>
  <c r="C30" i="58"/>
  <c r="J31" i="58"/>
  <c r="K31" i="58" s="1"/>
  <c r="K37" i="114"/>
  <c r="C23" i="82"/>
  <c r="E24" i="82"/>
  <c r="J24" i="82"/>
  <c r="K24" i="82" s="1"/>
  <c r="E26" i="87"/>
  <c r="C25" i="87"/>
  <c r="J26" i="87"/>
  <c r="K26" i="87" s="1"/>
  <c r="K37" i="111"/>
  <c r="K37" i="93"/>
  <c r="K41" i="145"/>
  <c r="C29" i="140"/>
  <c r="E30" i="140"/>
  <c r="AI30" i="2"/>
  <c r="J30" i="140"/>
  <c r="K30" i="140" s="1"/>
  <c r="J38" i="168"/>
  <c r="I39" i="168"/>
  <c r="J38" i="131"/>
  <c r="I39" i="131"/>
  <c r="K39" i="172"/>
  <c r="K39" i="164"/>
  <c r="I42" i="71"/>
  <c r="J41" i="71"/>
  <c r="K40" i="71" s="1"/>
  <c r="K37" i="104"/>
  <c r="C28" i="17"/>
  <c r="E29" i="17"/>
  <c r="J29" i="17"/>
  <c r="K29" i="17" s="1"/>
  <c r="I39" i="114"/>
  <c r="J38" i="114"/>
  <c r="E27" i="34"/>
  <c r="C26" i="34"/>
  <c r="J27" i="34"/>
  <c r="K27" i="34" s="1"/>
  <c r="I42" i="59"/>
  <c r="J41" i="59"/>
  <c r="K36" i="81"/>
  <c r="K38" i="135"/>
  <c r="N31" i="2"/>
  <c r="J42" i="145"/>
  <c r="I43" i="145"/>
  <c r="IK31" i="2"/>
  <c r="K37" i="131"/>
  <c r="K36" i="19"/>
  <c r="J40" i="164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K38" i="99"/>
  <c r="K38" i="118"/>
  <c r="I39" i="106"/>
  <c r="J38" i="106"/>
  <c r="X31" i="1"/>
  <c r="I41" i="77"/>
  <c r="J40" i="77"/>
  <c r="IV32" i="2"/>
  <c r="E27" i="102"/>
  <c r="C26" i="102"/>
  <c r="J27" i="102"/>
  <c r="K27" i="102" s="1"/>
  <c r="K38" i="30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M30" i="2"/>
  <c r="J30" i="33"/>
  <c r="K30" i="33" s="1"/>
  <c r="C29" i="164"/>
  <c r="E30" i="164"/>
  <c r="J30" i="164"/>
  <c r="K30" i="164" s="1"/>
  <c r="J39" i="99"/>
  <c r="I40" i="99"/>
  <c r="I40" i="118"/>
  <c r="J39" i="118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K37" i="121"/>
  <c r="I41" i="142"/>
  <c r="J40" i="142"/>
  <c r="K39" i="78"/>
  <c r="K36" i="35"/>
  <c r="E30" i="63"/>
  <c r="C29" i="63"/>
  <c r="J30" i="63"/>
  <c r="K30" i="63" s="1"/>
  <c r="K35" i="171"/>
  <c r="E31" i="100"/>
  <c r="C30" i="100"/>
  <c r="J31" i="100"/>
  <c r="K31" i="100" s="1"/>
  <c r="E69" i="24"/>
  <c r="C68" i="24"/>
  <c r="K36" i="111"/>
  <c r="I40" i="68"/>
  <c r="J39" i="68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E31" i="53"/>
  <c r="C30" i="53"/>
  <c r="J31" i="53"/>
  <c r="K31" i="53" s="1"/>
  <c r="I39" i="121"/>
  <c r="J38" i="121"/>
  <c r="I41" i="78"/>
  <c r="J40" i="78"/>
  <c r="J37" i="35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K36" i="148"/>
  <c r="J39" i="63"/>
  <c r="I40" i="63"/>
  <c r="K36" i="34"/>
  <c r="K38" i="68"/>
  <c r="K37" i="20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BE30" i="2"/>
  <c r="J30" i="41"/>
  <c r="K30" i="41" s="1"/>
  <c r="E31" i="90"/>
  <c r="C30" i="90"/>
  <c r="J31" i="90"/>
  <c r="K31" i="90" s="1"/>
  <c r="K37" i="66"/>
  <c r="I40" i="158"/>
  <c r="J39" i="158"/>
  <c r="K38" i="158" s="1"/>
  <c r="E29" i="64"/>
  <c r="C28" i="64"/>
  <c r="J29" i="64"/>
  <c r="K29" i="64" s="1"/>
  <c r="E29" i="81"/>
  <c r="C28" i="81"/>
  <c r="J29" i="81"/>
  <c r="K29" i="81" s="1"/>
  <c r="E29" i="148"/>
  <c r="C28" i="148"/>
  <c r="J29" i="148"/>
  <c r="K29" i="148" s="1"/>
  <c r="K39" i="127"/>
  <c r="I39" i="19"/>
  <c r="J38" i="19"/>
  <c r="K37" i="19" s="1"/>
  <c r="E27" i="59"/>
  <c r="C26" i="59"/>
  <c r="J27" i="59"/>
  <c r="K27" i="59" s="1"/>
  <c r="HN31" i="2"/>
  <c r="K35" i="38"/>
  <c r="J37" i="148"/>
  <c r="I38" i="148"/>
  <c r="K40" i="133"/>
  <c r="I38" i="34"/>
  <c r="J37" i="34"/>
  <c r="J38" i="20"/>
  <c r="I39" i="20"/>
  <c r="C27" i="159"/>
  <c r="E28" i="159"/>
  <c r="J28" i="159"/>
  <c r="K28" i="159" s="1"/>
  <c r="C27" i="39"/>
  <c r="E28" i="39"/>
  <c r="J28" i="39"/>
  <c r="K28" i="39" s="1"/>
  <c r="C27" i="51"/>
  <c r="E28" i="51"/>
  <c r="J28" i="51"/>
  <c r="K28" i="51" s="1"/>
  <c r="J39" i="44"/>
  <c r="I40" i="44"/>
  <c r="K40" i="61"/>
  <c r="I42" i="79"/>
  <c r="J41" i="79"/>
  <c r="K40" i="79" s="1"/>
  <c r="HZ30" i="2" l="1"/>
  <c r="I40" i="138"/>
  <c r="J39" i="138"/>
  <c r="C25" i="43"/>
  <c r="E26" i="43"/>
  <c r="J26" i="43"/>
  <c r="K26" i="43" s="1"/>
  <c r="E29" i="97"/>
  <c r="C28" i="97"/>
  <c r="J29" i="97"/>
  <c r="K29" i="97" s="1"/>
  <c r="Y31" i="1"/>
  <c r="K40" i="26"/>
  <c r="E30" i="56"/>
  <c r="C29" i="56"/>
  <c r="J30" i="56"/>
  <c r="K30" i="56" s="1"/>
  <c r="J38" i="58"/>
  <c r="I39" i="58"/>
  <c r="J39" i="87"/>
  <c r="I40" i="87"/>
  <c r="J39" i="86"/>
  <c r="I40" i="86"/>
  <c r="I42" i="89"/>
  <c r="J41" i="89"/>
  <c r="C29" i="8"/>
  <c r="E30" i="8"/>
  <c r="BP30" i="1"/>
  <c r="HC30" i="2"/>
  <c r="J30" i="8"/>
  <c r="K30" i="8" s="1"/>
  <c r="C27" i="25"/>
  <c r="E28" i="25"/>
  <c r="J28" i="25"/>
  <c r="K28" i="25" s="1"/>
  <c r="J39" i="67"/>
  <c r="I40" i="67"/>
  <c r="J41" i="132"/>
  <c r="I42" i="132"/>
  <c r="E27" i="120"/>
  <c r="C26" i="120"/>
  <c r="J27" i="120"/>
  <c r="K27" i="120" s="1"/>
  <c r="J39" i="104"/>
  <c r="K38" i="104" s="1"/>
  <c r="I40" i="104"/>
  <c r="C28" i="36"/>
  <c r="E29" i="36"/>
  <c r="J29" i="36"/>
  <c r="K29" i="36" s="1"/>
  <c r="FW31" i="2"/>
  <c r="K38" i="138"/>
  <c r="C26" i="124"/>
  <c r="E27" i="124"/>
  <c r="J27" i="124"/>
  <c r="K27" i="124" s="1"/>
  <c r="E28" i="64"/>
  <c r="C27" i="64"/>
  <c r="J28" i="64"/>
  <c r="K28" i="64" s="1"/>
  <c r="I40" i="168"/>
  <c r="J39" i="168"/>
  <c r="J38" i="140"/>
  <c r="I39" i="140"/>
  <c r="J41" i="26"/>
  <c r="I42" i="26"/>
  <c r="C29" i="158"/>
  <c r="E30" i="158"/>
  <c r="J30" i="158"/>
  <c r="K30" i="158" s="1"/>
  <c r="K37" i="58"/>
  <c r="I40" i="162"/>
  <c r="J39" i="162"/>
  <c r="BQ31" i="2"/>
  <c r="E30" i="29"/>
  <c r="C29" i="29"/>
  <c r="J30" i="29"/>
  <c r="K30" i="29" s="1"/>
  <c r="E29" i="13"/>
  <c r="C28" i="13"/>
  <c r="J29" i="13"/>
  <c r="K29" i="13" s="1"/>
  <c r="I42" i="48"/>
  <c r="J41" i="48"/>
  <c r="K37" i="171"/>
  <c r="CX30" i="2"/>
  <c r="E27" i="173"/>
  <c r="C26" i="173"/>
  <c r="J27" i="173"/>
  <c r="K27" i="173" s="1"/>
  <c r="K40" i="132"/>
  <c r="E28" i="67"/>
  <c r="C27" i="67"/>
  <c r="J28" i="67"/>
  <c r="K28" i="67" s="1"/>
  <c r="K38" i="168"/>
  <c r="K37" i="140"/>
  <c r="E30" i="136"/>
  <c r="C29" i="136"/>
  <c r="J30" i="136"/>
  <c r="K30" i="136" s="1"/>
  <c r="GS31" i="2"/>
  <c r="K38" i="162"/>
  <c r="C28" i="153"/>
  <c r="E29" i="153"/>
  <c r="J29" i="153"/>
  <c r="K29" i="153" s="1"/>
  <c r="C27" i="60"/>
  <c r="E28" i="60"/>
  <c r="J28" i="60"/>
  <c r="K28" i="60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I40" i="88"/>
  <c r="E29" i="21"/>
  <c r="C28" i="21"/>
  <c r="J29" i="21"/>
  <c r="K29" i="21" s="1"/>
  <c r="I41" i="23"/>
  <c r="J40" i="23"/>
  <c r="K39" i="23" s="1"/>
  <c r="C26" i="106"/>
  <c r="E27" i="106"/>
  <c r="J27" i="106"/>
  <c r="K27" i="106" s="1"/>
  <c r="J38" i="166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K37" i="120"/>
  <c r="K38" i="88"/>
  <c r="I44" i="12"/>
  <c r="J43" i="12"/>
  <c r="K42" i="12" s="1"/>
  <c r="C27" i="130"/>
  <c r="E28" i="130"/>
  <c r="J28" i="130"/>
  <c r="K28" i="130" s="1"/>
  <c r="K37" i="166"/>
  <c r="J38" i="105"/>
  <c r="I39" i="105"/>
  <c r="K56" i="150"/>
  <c r="E28" i="139"/>
  <c r="C27" i="139"/>
  <c r="J28" i="139"/>
  <c r="K28" i="139" s="1"/>
  <c r="K40" i="98"/>
  <c r="I40" i="56"/>
  <c r="J39" i="56"/>
  <c r="E30" i="14"/>
  <c r="C29" i="14"/>
  <c r="J30" i="14"/>
  <c r="K30" i="14" s="1"/>
  <c r="C27" i="9"/>
  <c r="E28" i="9"/>
  <c r="J28" i="9"/>
  <c r="K28" i="9" s="1"/>
  <c r="I39" i="120"/>
  <c r="J38" i="120"/>
  <c r="I42" i="51"/>
  <c r="J41" i="51"/>
  <c r="I43" i="24"/>
  <c r="E26" i="105"/>
  <c r="C25" i="105"/>
  <c r="J26" i="105"/>
  <c r="K26" i="105" s="1"/>
  <c r="I39" i="69"/>
  <c r="J38" i="69"/>
  <c r="E30" i="3"/>
  <c r="C29" i="3"/>
  <c r="J30" i="3"/>
  <c r="K30" i="3" s="1"/>
  <c r="I44" i="15"/>
  <c r="J43" i="15"/>
  <c r="K39" i="60"/>
  <c r="J38" i="102"/>
  <c r="I39" i="102"/>
  <c r="K41" i="94"/>
  <c r="I58" i="150"/>
  <c r="J57" i="150"/>
  <c r="C26" i="73"/>
  <c r="E27" i="73"/>
  <c r="J27" i="73"/>
  <c r="K27" i="73" s="1"/>
  <c r="K39" i="77"/>
  <c r="K42" i="15"/>
  <c r="CW29" i="2"/>
  <c r="I41" i="60"/>
  <c r="J40" i="60"/>
  <c r="K37" i="102"/>
  <c r="I43" i="94"/>
  <c r="J42" i="94"/>
  <c r="E27" i="127"/>
  <c r="C26" i="127"/>
  <c r="J27" i="127"/>
  <c r="K27" i="127" s="1"/>
  <c r="AJ30" i="2"/>
  <c r="I40" i="169"/>
  <c r="J39" i="169"/>
  <c r="K42" i="61"/>
  <c r="E28" i="103"/>
  <c r="C27" i="103"/>
  <c r="J28" i="103"/>
  <c r="K28" i="103" s="1"/>
  <c r="I40" i="73"/>
  <c r="J39" i="73"/>
  <c r="K42" i="7"/>
  <c r="E29" i="101"/>
  <c r="C28" i="101"/>
  <c r="J29" i="101"/>
  <c r="K29" i="101" s="1"/>
  <c r="C25" i="160"/>
  <c r="E26" i="160"/>
  <c r="J26" i="160"/>
  <c r="K26" i="160" s="1"/>
  <c r="J39" i="144"/>
  <c r="K38" i="144" s="1"/>
  <c r="I40" i="144"/>
  <c r="I43" i="79"/>
  <c r="J42" i="79"/>
  <c r="I42" i="98"/>
  <c r="J41" i="98"/>
  <c r="I41" i="149"/>
  <c r="J40" i="149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I39" i="11"/>
  <c r="E29" i="78"/>
  <c r="C28" i="78"/>
  <c r="J29" i="78"/>
  <c r="K29" i="78" s="1"/>
  <c r="AJ31" i="2"/>
  <c r="K38" i="169"/>
  <c r="K38" i="161"/>
  <c r="E28" i="11"/>
  <c r="C27" i="11"/>
  <c r="J28" i="11"/>
  <c r="K28" i="11" s="1"/>
  <c r="I44" i="61"/>
  <c r="J43" i="61"/>
  <c r="E28" i="150"/>
  <c r="C27" i="150"/>
  <c r="J28" i="150"/>
  <c r="K28" i="150" s="1"/>
  <c r="I44" i="7"/>
  <c r="J43" i="7"/>
  <c r="J39" i="39"/>
  <c r="I40" i="39"/>
  <c r="I40" i="137"/>
  <c r="J39" i="137"/>
  <c r="E28" i="112"/>
  <c r="C27" i="112"/>
  <c r="CW28" i="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39" i="98"/>
  <c r="I40" i="161"/>
  <c r="J39" i="161"/>
  <c r="C28" i="76"/>
  <c r="E29" i="76"/>
  <c r="J29" i="76"/>
  <c r="K29" i="76" s="1"/>
  <c r="K41" i="61"/>
  <c r="K37" i="88"/>
  <c r="C27" i="167"/>
  <c r="E28" i="167"/>
  <c r="J28" i="167"/>
  <c r="K28" i="167" s="1"/>
  <c r="K37" i="47"/>
  <c r="J43" i="134"/>
  <c r="K42" i="134" s="1"/>
  <c r="I44" i="134"/>
  <c r="I43" i="42"/>
  <c r="J42" i="42"/>
  <c r="K41" i="42" s="1"/>
  <c r="K40" i="135"/>
  <c r="I43" i="22"/>
  <c r="J42" i="22"/>
  <c r="E29" i="38"/>
  <c r="C28" i="38"/>
  <c r="J29" i="38"/>
  <c r="K29" i="38" s="1"/>
  <c r="I40" i="123"/>
  <c r="J39" i="123"/>
  <c r="I44" i="145"/>
  <c r="J43" i="145"/>
  <c r="C28" i="70"/>
  <c r="E29" i="70"/>
  <c r="J29" i="70"/>
  <c r="K29" i="70" s="1"/>
  <c r="C28" i="48"/>
  <c r="E29" i="48"/>
  <c r="J29" i="48"/>
  <c r="K29" i="48" s="1"/>
  <c r="C26" i="84"/>
  <c r="E27" i="84"/>
  <c r="J27" i="84"/>
  <c r="K27" i="84" s="1"/>
  <c r="K40" i="16"/>
  <c r="J38" i="36"/>
  <c r="I39" i="36"/>
  <c r="E27" i="62"/>
  <c r="C26" i="62"/>
  <c r="J27" i="62"/>
  <c r="K27" i="62" s="1"/>
  <c r="K37" i="43"/>
  <c r="K39" i="51"/>
  <c r="J43" i="133"/>
  <c r="I44" i="133"/>
  <c r="I44" i="74"/>
  <c r="J43" i="74"/>
  <c r="K40" i="62"/>
  <c r="J40" i="124"/>
  <c r="I41" i="124"/>
  <c r="I39" i="47"/>
  <c r="J38" i="47"/>
  <c r="FA30" i="2"/>
  <c r="K39" i="158"/>
  <c r="K38" i="123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39" i="124"/>
  <c r="C28" i="134"/>
  <c r="E29" i="134"/>
  <c r="EZ29" i="2"/>
  <c r="J29" i="134"/>
  <c r="K29" i="134" s="1"/>
  <c r="C27" i="118"/>
  <c r="E28" i="118"/>
  <c r="J28" i="118"/>
  <c r="K28" i="118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K39" i="68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K38" i="116"/>
  <c r="C29" i="93"/>
  <c r="E30" i="93"/>
  <c r="J30" i="93"/>
  <c r="K30" i="93" s="1"/>
  <c r="I41" i="165"/>
  <c r="J40" i="165"/>
  <c r="K37" i="8"/>
  <c r="K38" i="151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E30" i="152"/>
  <c r="J30" i="152"/>
  <c r="K30" i="152" s="1"/>
  <c r="C24" i="146"/>
  <c r="E25" i="146"/>
  <c r="J25" i="146"/>
  <c r="K25" i="146" s="1"/>
  <c r="J39" i="116"/>
  <c r="I40" i="116"/>
  <c r="I39" i="100"/>
  <c r="J38" i="100"/>
  <c r="K37" i="100" s="1"/>
  <c r="AU31" i="1"/>
  <c r="K39" i="165"/>
  <c r="I39" i="8"/>
  <c r="J38" i="8"/>
  <c r="J39" i="151"/>
  <c r="I40" i="151"/>
  <c r="E30" i="143"/>
  <c r="C29" i="143"/>
  <c r="J30" i="143"/>
  <c r="K30" i="143" s="1"/>
  <c r="I41" i="63"/>
  <c r="J40" i="63"/>
  <c r="I41" i="158"/>
  <c r="J40" i="158"/>
  <c r="J40" i="113"/>
  <c r="I41" i="113"/>
  <c r="IK30" i="2"/>
  <c r="K37" i="11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I40" i="111"/>
  <c r="K38" i="33"/>
  <c r="I40" i="21"/>
  <c r="J39" i="21"/>
  <c r="I39" i="64"/>
  <c r="J38" i="64"/>
  <c r="E30" i="7"/>
  <c r="C29" i="7"/>
  <c r="AT30" i="1"/>
  <c r="J30" i="7"/>
  <c r="K30" i="7" s="1"/>
  <c r="I42" i="152"/>
  <c r="J41" i="152"/>
  <c r="EE31" i="2"/>
  <c r="C28" i="145"/>
  <c r="E29" i="145"/>
  <c r="J29" i="145"/>
  <c r="K29" i="145" s="1"/>
  <c r="I42" i="164"/>
  <c r="J41" i="164"/>
  <c r="K40" i="164" s="1"/>
  <c r="K38" i="56"/>
  <c r="I41" i="68"/>
  <c r="J40" i="68"/>
  <c r="I41" i="30"/>
  <c r="J40" i="30"/>
  <c r="E23" i="82"/>
  <c r="C22" i="82"/>
  <c r="J23" i="82"/>
  <c r="K23" i="82" s="1"/>
  <c r="K39" i="10"/>
  <c r="E27" i="61"/>
  <c r="C26" i="61"/>
  <c r="J27" i="61"/>
  <c r="K27" i="61" s="1"/>
  <c r="E27" i="72"/>
  <c r="C26" i="72"/>
  <c r="J27" i="72"/>
  <c r="K27" i="72" s="1"/>
  <c r="K40" i="9"/>
  <c r="K37" i="64"/>
  <c r="C24" i="32"/>
  <c r="E25" i="32"/>
  <c r="J25" i="32"/>
  <c r="K25" i="32" s="1"/>
  <c r="K40" i="152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K37" i="130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K38" i="170"/>
  <c r="J39" i="155"/>
  <c r="I40" i="155"/>
  <c r="FL30" i="2"/>
  <c r="K38" i="126"/>
  <c r="K40" i="78"/>
  <c r="C67" i="24"/>
  <c r="E68" i="24"/>
  <c r="J38" i="141"/>
  <c r="I39" i="141"/>
  <c r="E30" i="55"/>
  <c r="C29" i="55"/>
  <c r="J30" i="55"/>
  <c r="K30" i="55" s="1"/>
  <c r="I40" i="170"/>
  <c r="J39" i="170"/>
  <c r="I41" i="10"/>
  <c r="J40" i="10"/>
  <c r="I39" i="17"/>
  <c r="J38" i="17"/>
  <c r="K37" i="17" s="1"/>
  <c r="I40" i="126"/>
  <c r="J39" i="126"/>
  <c r="I42" i="9"/>
  <c r="J41" i="9"/>
  <c r="K38" i="5"/>
  <c r="E30" i="174"/>
  <c r="C29" i="174"/>
  <c r="HY29" i="2" s="1"/>
  <c r="J30" i="174"/>
  <c r="K30" i="174" s="1"/>
  <c r="J38" i="109"/>
  <c r="I39" i="109"/>
  <c r="I39" i="130"/>
  <c r="J38" i="130"/>
  <c r="E27" i="51"/>
  <c r="C26" i="51"/>
  <c r="J27" i="51"/>
  <c r="K27" i="51" s="1"/>
  <c r="K39" i="149"/>
  <c r="C27" i="126"/>
  <c r="E28" i="126"/>
  <c r="J28" i="126"/>
  <c r="K28" i="126" s="1"/>
  <c r="I42" i="78"/>
  <c r="J41" i="78"/>
  <c r="K37" i="138"/>
  <c r="K37" i="31"/>
  <c r="E28" i="135"/>
  <c r="C27" i="135"/>
  <c r="J28" i="135"/>
  <c r="K28" i="135" s="1"/>
  <c r="I43" i="59"/>
  <c r="J42" i="59"/>
  <c r="DI30" i="2"/>
  <c r="K38" i="149"/>
  <c r="K42" i="75"/>
  <c r="K38" i="84"/>
  <c r="E29" i="88"/>
  <c r="C28" i="88"/>
  <c r="FK29" i="2"/>
  <c r="J29" i="88"/>
  <c r="K29" i="88" s="1"/>
  <c r="K39" i="83"/>
  <c r="E28" i="74"/>
  <c r="C27" i="74"/>
  <c r="J28" i="74"/>
  <c r="K28" i="74" s="1"/>
  <c r="I40" i="5"/>
  <c r="J39" i="5"/>
  <c r="K37" i="5"/>
  <c r="K37" i="109"/>
  <c r="I39" i="95"/>
  <c r="J38" i="95"/>
  <c r="HN30" i="2"/>
  <c r="C28" i="23"/>
  <c r="E29" i="23"/>
  <c r="J29" i="23"/>
  <c r="K29" i="23" s="1"/>
  <c r="E27" i="123"/>
  <c r="C26" i="123"/>
  <c r="J27" i="123"/>
  <c r="K27" i="123" s="1"/>
  <c r="E25" i="87"/>
  <c r="C24" i="87"/>
  <c r="J25" i="87"/>
  <c r="K25" i="87" s="1"/>
  <c r="E29" i="125"/>
  <c r="C28" i="125"/>
  <c r="J29" i="125"/>
  <c r="K29" i="125" s="1"/>
  <c r="C28" i="108"/>
  <c r="E29" i="108"/>
  <c r="J29" i="108"/>
  <c r="K29" i="108" s="1"/>
  <c r="I40" i="33"/>
  <c r="J39" i="33"/>
  <c r="E27" i="85"/>
  <c r="C26" i="85"/>
  <c r="J27" i="85"/>
  <c r="K27" i="85" s="1"/>
  <c r="HO31" i="2"/>
  <c r="E25" i="30"/>
  <c r="C24" i="30"/>
  <c r="J25" i="30"/>
  <c r="K25" i="30" s="1"/>
  <c r="K39" i="142"/>
  <c r="K38" i="28"/>
  <c r="E30" i="58"/>
  <c r="C29" i="58"/>
  <c r="J30" i="58"/>
  <c r="K30" i="58" s="1"/>
  <c r="DT29" i="2"/>
  <c r="J38" i="90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7" i="168"/>
  <c r="C26" i="168"/>
  <c r="J27" i="168"/>
  <c r="K27" i="168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I39" i="40"/>
  <c r="E26" i="34"/>
  <c r="C25" i="34"/>
  <c r="J26" i="34"/>
  <c r="K26" i="34" s="1"/>
  <c r="K37" i="90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I40" i="108"/>
  <c r="C24" i="138"/>
  <c r="E25" i="138"/>
  <c r="J25" i="138"/>
  <c r="K25" i="138" s="1"/>
  <c r="I40" i="49"/>
  <c r="J39" i="49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118"/>
  <c r="K37" i="40"/>
  <c r="K39" i="26"/>
  <c r="E28" i="129"/>
  <c r="C27" i="129"/>
  <c r="J28" i="129"/>
  <c r="K28" i="129" s="1"/>
  <c r="DS28" i="2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K38" i="108"/>
  <c r="E29" i="79"/>
  <c r="C28" i="79"/>
  <c r="J29" i="79"/>
  <c r="K29" i="79" s="1"/>
  <c r="J39" i="57"/>
  <c r="I40" i="57"/>
  <c r="K39" i="156"/>
  <c r="K38" i="49"/>
  <c r="E29" i="142"/>
  <c r="C28" i="142"/>
  <c r="J29" i="142"/>
  <c r="K29" i="142" s="1"/>
  <c r="C26" i="39"/>
  <c r="E27" i="39"/>
  <c r="J27" i="39"/>
  <c r="K27" i="39" s="1"/>
  <c r="K42" i="145"/>
  <c r="K37" i="141"/>
  <c r="E26" i="59"/>
  <c r="C25" i="59"/>
  <c r="J26" i="59"/>
  <c r="K26" i="59" s="1"/>
  <c r="J39" i="153"/>
  <c r="I40" i="153"/>
  <c r="I41" i="118"/>
  <c r="J40" i="118"/>
  <c r="I40" i="103"/>
  <c r="J39" i="103"/>
  <c r="J39" i="70"/>
  <c r="I40" i="70"/>
  <c r="E29" i="114"/>
  <c r="C28" i="114"/>
  <c r="J29" i="114"/>
  <c r="K29" i="114" s="1"/>
  <c r="CB31" i="1"/>
  <c r="C28" i="95"/>
  <c r="E29" i="95"/>
  <c r="J29" i="95"/>
  <c r="K29" i="95" s="1"/>
  <c r="K39" i="101"/>
  <c r="K37" i="9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K38" i="21"/>
  <c r="K38" i="153"/>
  <c r="I41" i="99"/>
  <c r="J40" i="99"/>
  <c r="I39" i="81"/>
  <c r="J38" i="81"/>
  <c r="J39" i="114"/>
  <c r="I40" i="114"/>
  <c r="J40" i="159"/>
  <c r="I41" i="159"/>
  <c r="K38" i="103"/>
  <c r="K38" i="70"/>
  <c r="E27" i="69"/>
  <c r="C26" i="69"/>
  <c r="J27" i="69"/>
  <c r="K27" i="69" s="1"/>
  <c r="E28" i="66"/>
  <c r="C27" i="66"/>
  <c r="J28" i="66"/>
  <c r="K28" i="66" s="1"/>
  <c r="C24" i="156"/>
  <c r="E25" i="156"/>
  <c r="J25" i="156"/>
  <c r="K25" i="156" s="1"/>
  <c r="I39" i="91"/>
  <c r="J38" i="91"/>
  <c r="E27" i="40"/>
  <c r="C26" i="40"/>
  <c r="J27" i="40"/>
  <c r="K27" i="40" s="1"/>
  <c r="C26" i="37"/>
  <c r="E27" i="37"/>
  <c r="J27" i="37"/>
  <c r="K27" i="37" s="1"/>
  <c r="K36" i="64"/>
  <c r="I39" i="38"/>
  <c r="J38" i="38"/>
  <c r="BF30" i="2"/>
  <c r="K38" i="111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8" i="19"/>
  <c r="K39" i="99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37" i="38"/>
  <c r="K40" i="94"/>
  <c r="E29" i="33"/>
  <c r="C28" i="33"/>
  <c r="M29" i="2"/>
  <c r="J29" i="33"/>
  <c r="K29" i="33" s="1"/>
  <c r="J41" i="172"/>
  <c r="K40" i="172" s="1"/>
  <c r="I42" i="172"/>
  <c r="CL30" i="2"/>
  <c r="K38" i="44"/>
  <c r="K40" i="127"/>
  <c r="K36" i="11"/>
  <c r="E27" i="26"/>
  <c r="C26" i="26"/>
  <c r="J27" i="26"/>
  <c r="K27" i="26" s="1"/>
  <c r="C27" i="94"/>
  <c r="E28" i="94"/>
  <c r="J28" i="94"/>
  <c r="K28" i="94" s="1"/>
  <c r="C25" i="45"/>
  <c r="E26" i="45"/>
  <c r="J26" i="45"/>
  <c r="K26" i="45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E27" i="159"/>
  <c r="C26" i="159"/>
  <c r="J27" i="159"/>
  <c r="K27" i="159" s="1"/>
  <c r="K40" i="59"/>
  <c r="J39" i="19"/>
  <c r="I40" i="19"/>
  <c r="I42" i="127"/>
  <c r="J41" i="127"/>
  <c r="E29" i="63"/>
  <c r="C28" i="63"/>
  <c r="J29" i="63"/>
  <c r="K29" i="63" s="1"/>
  <c r="E26" i="102"/>
  <c r="C25" i="102"/>
  <c r="J26" i="102"/>
  <c r="K26" i="102" s="1"/>
  <c r="E28" i="17"/>
  <c r="C27" i="17"/>
  <c r="J28" i="17"/>
  <c r="K28" i="17" s="1"/>
  <c r="E25" i="166"/>
  <c r="C24" i="166"/>
  <c r="J25" i="166"/>
  <c r="K25" i="166" s="1"/>
  <c r="K39" i="25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K41" i="82"/>
  <c r="E30" i="46"/>
  <c r="C29" i="46"/>
  <c r="J30" i="46"/>
  <c r="K30" i="46" s="1"/>
  <c r="AI30" i="1"/>
  <c r="J40" i="25"/>
  <c r="I41" i="25"/>
  <c r="E29" i="96"/>
  <c r="C28" i="96"/>
  <c r="J29" i="96"/>
  <c r="K29" i="96" s="1"/>
  <c r="K40" i="13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C24" i="157"/>
  <c r="E25" i="157"/>
  <c r="J25" i="157"/>
  <c r="K25" i="157" s="1"/>
  <c r="K37" i="123"/>
  <c r="I42" i="13"/>
  <c r="J41" i="13"/>
  <c r="E26" i="165"/>
  <c r="C25" i="165"/>
  <c r="J26" i="165"/>
  <c r="K26" i="165" s="1"/>
  <c r="K36" i="17"/>
  <c r="C27" i="18"/>
  <c r="E28" i="18"/>
  <c r="J28" i="18"/>
  <c r="K28" i="18" s="1"/>
  <c r="I39" i="163"/>
  <c r="J38" i="163"/>
  <c r="K38" i="139"/>
  <c r="K40" i="2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7" i="163"/>
  <c r="I42" i="29"/>
  <c r="J41" i="29"/>
  <c r="K39" i="122"/>
  <c r="K38" i="60"/>
  <c r="K36" i="55"/>
  <c r="K40" i="117"/>
  <c r="K39" i="132"/>
  <c r="EP30" i="2"/>
  <c r="E23" i="98"/>
  <c r="C22" i="98"/>
  <c r="J23" i="98"/>
  <c r="K23" i="98" s="1"/>
  <c r="K39" i="115"/>
  <c r="E30" i="27"/>
  <c r="C29" i="27"/>
  <c r="J30" i="27"/>
  <c r="K30" i="27" s="1"/>
  <c r="J39" i="119"/>
  <c r="K38" i="119" s="1"/>
  <c r="I40" i="119"/>
  <c r="K37" i="3"/>
  <c r="K38" i="37"/>
  <c r="I39" i="45"/>
  <c r="J38" i="45"/>
  <c r="C27" i="161"/>
  <c r="E28" i="161"/>
  <c r="J28" i="161"/>
  <c r="K28" i="161" s="1"/>
  <c r="E30" i="12"/>
  <c r="C29" i="12"/>
  <c r="X30" i="2"/>
  <c r="M30" i="1"/>
  <c r="J30" i="12"/>
  <c r="K30" i="12" s="1"/>
  <c r="I42" i="117"/>
  <c r="J41" i="117"/>
  <c r="I39" i="110"/>
  <c r="J38" i="110"/>
  <c r="I39" i="112"/>
  <c r="J38" i="112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K37" i="45"/>
  <c r="E27" i="149"/>
  <c r="C26" i="149"/>
  <c r="J27" i="149"/>
  <c r="K27" i="149" s="1"/>
  <c r="I40" i="97"/>
  <c r="J39" i="97"/>
  <c r="K36" i="166"/>
  <c r="K37" i="110"/>
  <c r="K37" i="112"/>
  <c r="I42" i="77"/>
  <c r="J41" i="77"/>
  <c r="K40" i="77" s="1"/>
  <c r="I40" i="131"/>
  <c r="J39" i="131"/>
  <c r="K38" i="131" s="1"/>
  <c r="K38" i="87"/>
  <c r="K37" i="87"/>
  <c r="I40" i="85"/>
  <c r="J39" i="85"/>
  <c r="E29" i="31"/>
  <c r="C28" i="31"/>
  <c r="CA29" i="2"/>
  <c r="J29" i="31"/>
  <c r="K29" i="31" s="1"/>
  <c r="K38" i="86"/>
  <c r="I42" i="128"/>
  <c r="J41" i="128"/>
  <c r="K40" i="89"/>
  <c r="HD31" i="2"/>
  <c r="K37" i="57"/>
  <c r="K38" i="67"/>
  <c r="K36" i="130"/>
  <c r="IU30" i="2"/>
  <c r="HZ29" i="2" l="1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I40" i="163"/>
  <c r="C25" i="26"/>
  <c r="E26" i="26"/>
  <c r="J26" i="26"/>
  <c r="K26" i="26" s="1"/>
  <c r="J40" i="31"/>
  <c r="I41" i="31"/>
  <c r="I42" i="118"/>
  <c r="J41" i="118"/>
  <c r="E24" i="138"/>
  <c r="C23" i="138"/>
  <c r="J24" i="138"/>
  <c r="K24" i="138" s="1"/>
  <c r="I45" i="75"/>
  <c r="J44" i="75"/>
  <c r="I43" i="78"/>
  <c r="J42" i="78"/>
  <c r="I42" i="113"/>
  <c r="J41" i="113"/>
  <c r="C27" i="154"/>
  <c r="E28" i="154"/>
  <c r="J28" i="154"/>
  <c r="K28" i="154" s="1"/>
  <c r="J39" i="43"/>
  <c r="I40" i="43"/>
  <c r="K39" i="161"/>
  <c r="E27" i="67"/>
  <c r="C26" i="67"/>
  <c r="J27" i="67"/>
  <c r="K27" i="67" s="1"/>
  <c r="K41" i="89"/>
  <c r="I43" i="29"/>
  <c r="J42" i="29"/>
  <c r="K38" i="147"/>
  <c r="CB30" i="1"/>
  <c r="E26" i="40"/>
  <c r="C25" i="40"/>
  <c r="J26" i="40"/>
  <c r="K26" i="40" s="1"/>
  <c r="I41" i="153"/>
  <c r="J40" i="153"/>
  <c r="J40" i="108"/>
  <c r="I41" i="108"/>
  <c r="J39" i="90"/>
  <c r="I40" i="90"/>
  <c r="E29" i="172"/>
  <c r="C28" i="172"/>
  <c r="J29" i="172"/>
  <c r="K29" i="172" s="1"/>
  <c r="K40" i="113"/>
  <c r="J42" i="101"/>
  <c r="I43" i="101"/>
  <c r="I41" i="161"/>
  <c r="J40" i="161"/>
  <c r="E27" i="11"/>
  <c r="C26" i="11"/>
  <c r="J27" i="11"/>
  <c r="K27" i="11" s="1"/>
  <c r="E26" i="73"/>
  <c r="C25" i="73"/>
  <c r="J26" i="73"/>
  <c r="K26" i="73" s="1"/>
  <c r="J40" i="56"/>
  <c r="I41" i="56"/>
  <c r="E27" i="16"/>
  <c r="C26" i="16"/>
  <c r="J27" i="16"/>
  <c r="K27" i="16" s="1"/>
  <c r="I41" i="168"/>
  <c r="J40" i="168"/>
  <c r="J42" i="89"/>
  <c r="I43" i="89"/>
  <c r="E27" i="54"/>
  <c r="C26" i="54"/>
  <c r="J27" i="54"/>
  <c r="K27" i="54" s="1"/>
  <c r="J40" i="97"/>
  <c r="I41" i="97"/>
  <c r="N30" i="1"/>
  <c r="I40" i="147"/>
  <c r="J39" i="147"/>
  <c r="E26" i="159"/>
  <c r="C25" i="159"/>
  <c r="J26" i="159"/>
  <c r="K26" i="159" s="1"/>
  <c r="E29" i="6"/>
  <c r="CA29" i="1"/>
  <c r="C28" i="6"/>
  <c r="IU29" i="2"/>
  <c r="E27" i="5"/>
  <c r="C26" i="5"/>
  <c r="J27" i="5"/>
  <c r="K27" i="5" s="1"/>
  <c r="K39" i="108"/>
  <c r="K38" i="90"/>
  <c r="E67" i="24"/>
  <c r="C66" i="24"/>
  <c r="C67" i="2"/>
  <c r="C67" i="1"/>
  <c r="GG67" i="2"/>
  <c r="BE67" i="1"/>
  <c r="BG67" i="1" s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E27" i="126"/>
  <c r="C26" i="126"/>
  <c r="J27" i="126"/>
  <c r="K27" i="126" s="1"/>
  <c r="J41" i="158"/>
  <c r="K40" i="158" s="1"/>
  <c r="I42" i="158"/>
  <c r="K41" i="156"/>
  <c r="E25" i="160"/>
  <c r="C24" i="160"/>
  <c r="J25" i="160"/>
  <c r="K25" i="160" s="1"/>
  <c r="I59" i="150"/>
  <c r="J58" i="150"/>
  <c r="E26" i="106"/>
  <c r="C25" i="106"/>
  <c r="J26" i="106"/>
  <c r="K26" i="106" s="1"/>
  <c r="C26" i="64"/>
  <c r="E27" i="64"/>
  <c r="J27" i="64"/>
  <c r="K27" i="64" s="1"/>
  <c r="K39" i="86"/>
  <c r="Y30" i="2"/>
  <c r="E29" i="100"/>
  <c r="C28" i="100"/>
  <c r="J29" i="100"/>
  <c r="K29" i="100" s="1"/>
  <c r="C27" i="23"/>
  <c r="E28" i="23"/>
  <c r="J28" i="23"/>
  <c r="K28" i="23" s="1"/>
  <c r="E26" i="149"/>
  <c r="C25" i="149"/>
  <c r="J26" i="149"/>
  <c r="K26" i="149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C24" i="59"/>
  <c r="E25" i="59"/>
  <c r="J25" i="59"/>
  <c r="K25" i="59" s="1"/>
  <c r="HO30" i="2"/>
  <c r="AU30" i="1"/>
  <c r="J42" i="156"/>
  <c r="I43" i="156"/>
  <c r="J40" i="54"/>
  <c r="K39" i="54" s="1"/>
  <c r="I41" i="54"/>
  <c r="I41" i="87"/>
  <c r="J40" i="87"/>
  <c r="K38" i="95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C25" i="173"/>
  <c r="E26" i="173"/>
  <c r="J26" i="173"/>
  <c r="K26" i="173" s="1"/>
  <c r="K40" i="139"/>
  <c r="J42" i="172"/>
  <c r="K41" i="172" s="1"/>
  <c r="I43" i="172"/>
  <c r="I40" i="174"/>
  <c r="J39" i="174"/>
  <c r="E29" i="28"/>
  <c r="C28" i="28"/>
  <c r="AI28" i="2" s="1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E24" i="32"/>
  <c r="C23" i="32"/>
  <c r="J24" i="32"/>
  <c r="K24" i="32" s="1"/>
  <c r="K38" i="102"/>
  <c r="E27" i="139"/>
  <c r="C26" i="139"/>
  <c r="J27" i="139"/>
  <c r="K27" i="139" s="1"/>
  <c r="I40" i="58"/>
  <c r="J39" i="58"/>
  <c r="J41" i="139"/>
  <c r="I42" i="139"/>
  <c r="CM30" i="2"/>
  <c r="IV30" i="2"/>
  <c r="K38" i="97"/>
  <c r="E24" i="156"/>
  <c r="C23" i="156"/>
  <c r="J24" i="156"/>
  <c r="K24" i="156" s="1"/>
  <c r="DI29" i="2"/>
  <c r="J41" i="157"/>
  <c r="I42" i="157"/>
  <c r="E26" i="51"/>
  <c r="C25" i="51"/>
  <c r="J26" i="51"/>
  <c r="K26" i="51" s="1"/>
  <c r="E29" i="143"/>
  <c r="C28" i="143"/>
  <c r="J29" i="143"/>
  <c r="K29" i="143" s="1"/>
  <c r="K40" i="165"/>
  <c r="J41" i="44"/>
  <c r="I42" i="44"/>
  <c r="I45" i="145"/>
  <c r="J44" i="145"/>
  <c r="K38" i="143"/>
  <c r="E28" i="21"/>
  <c r="C27" i="21"/>
  <c r="J28" i="21"/>
  <c r="K28" i="21" s="1"/>
  <c r="E26" i="124"/>
  <c r="C25" i="124"/>
  <c r="J26" i="124"/>
  <c r="K26" i="124" s="1"/>
  <c r="K38" i="58"/>
  <c r="J39" i="146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I40" i="143"/>
  <c r="E28" i="78"/>
  <c r="C27" i="78"/>
  <c r="J28" i="78"/>
  <c r="K28" i="78" s="1"/>
  <c r="K39" i="73"/>
  <c r="K43" i="15"/>
  <c r="E27" i="83"/>
  <c r="C26" i="83"/>
  <c r="J27" i="83"/>
  <c r="K27" i="83" s="1"/>
  <c r="E28" i="96"/>
  <c r="C27" i="96"/>
  <c r="J28" i="96"/>
  <c r="K28" i="96" s="1"/>
  <c r="I44" i="14"/>
  <c r="J43" i="14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J44" i="15"/>
  <c r="I45" i="15"/>
  <c r="I40" i="105"/>
  <c r="J39" i="105"/>
  <c r="J40" i="88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C25" i="168"/>
  <c r="E26" i="168"/>
  <c r="J26" i="168"/>
  <c r="K26" i="168" s="1"/>
  <c r="I41" i="5"/>
  <c r="J40" i="5"/>
  <c r="I40" i="130"/>
  <c r="J39" i="130"/>
  <c r="K39" i="151"/>
  <c r="I40" i="11"/>
  <c r="J39" i="11"/>
  <c r="K38" i="105"/>
  <c r="K39" i="88"/>
  <c r="J39" i="160"/>
  <c r="I40" i="160"/>
  <c r="K41" i="48"/>
  <c r="AU30" i="2"/>
  <c r="K42" i="14"/>
  <c r="E28" i="33"/>
  <c r="C27" i="33"/>
  <c r="J28" i="33"/>
  <c r="K28" i="33" s="1"/>
  <c r="K41" i="71"/>
  <c r="I42" i="25"/>
  <c r="J41" i="25"/>
  <c r="E29" i="50"/>
  <c r="C28" i="50"/>
  <c r="AT29" i="2"/>
  <c r="J29" i="50"/>
  <c r="K29" i="50" s="1"/>
  <c r="DT28" i="2"/>
  <c r="I40" i="96"/>
  <c r="J39" i="96"/>
  <c r="C23" i="30"/>
  <c r="E24" i="30"/>
  <c r="J24" i="30"/>
  <c r="K24" i="30" s="1"/>
  <c r="I40" i="109"/>
  <c r="J39" i="109"/>
  <c r="E26" i="72"/>
  <c r="C25" i="72"/>
  <c r="J26" i="72"/>
  <c r="K26" i="72" s="1"/>
  <c r="J40" i="21"/>
  <c r="I41" i="21"/>
  <c r="K38" i="8"/>
  <c r="K38" i="47"/>
  <c r="E28" i="38"/>
  <c r="C27" i="38"/>
  <c r="J28" i="38"/>
  <c r="K28" i="38" s="1"/>
  <c r="C26" i="103"/>
  <c r="E27" i="103"/>
  <c r="J27" i="103"/>
  <c r="K27" i="103" s="1"/>
  <c r="E29" i="3"/>
  <c r="C28" i="3"/>
  <c r="J29" i="3"/>
  <c r="K29" i="3" s="1"/>
  <c r="I43" i="48"/>
  <c r="J42" i="48"/>
  <c r="E26" i="69"/>
  <c r="C25" i="69"/>
  <c r="J26" i="69"/>
  <c r="K26" i="69" s="1"/>
  <c r="E28" i="142"/>
  <c r="C27" i="142"/>
  <c r="J28" i="142"/>
  <c r="K28" i="142" s="1"/>
  <c r="C26" i="74"/>
  <c r="E27" i="74"/>
  <c r="J27" i="74"/>
  <c r="K27" i="74" s="1"/>
  <c r="K38" i="109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J29" i="107"/>
  <c r="K29" i="107" s="1"/>
  <c r="BQ30" i="2"/>
  <c r="E27" i="81"/>
  <c r="C26" i="81"/>
  <c r="J27" i="81"/>
  <c r="K27" i="81" s="1"/>
  <c r="C26" i="118"/>
  <c r="E27" i="118"/>
  <c r="J27" i="118"/>
  <c r="K27" i="118" s="1"/>
  <c r="I42" i="124"/>
  <c r="J41" i="124"/>
  <c r="K42" i="22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IU28" i="2"/>
  <c r="C27" i="36"/>
  <c r="E28" i="36"/>
  <c r="J28" i="36"/>
  <c r="K28" i="36" s="1"/>
  <c r="C27" i="132"/>
  <c r="E28" i="132"/>
  <c r="J28" i="132"/>
  <c r="K28" i="132" s="1"/>
  <c r="I43" i="128"/>
  <c r="J42" i="128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K40" i="124"/>
  <c r="J43" i="22"/>
  <c r="I44" i="22"/>
  <c r="C24" i="131"/>
  <c r="E25" i="131"/>
  <c r="J25" i="131"/>
  <c r="K25" i="131" s="1"/>
  <c r="K39" i="169"/>
  <c r="C26" i="130"/>
  <c r="E27" i="130"/>
  <c r="J27" i="130"/>
  <c r="K27" i="130" s="1"/>
  <c r="J40" i="104"/>
  <c r="I41" i="104"/>
  <c r="C28" i="53"/>
  <c r="E29" i="53"/>
  <c r="J29" i="53"/>
  <c r="K29" i="53" s="1"/>
  <c r="E27" i="129"/>
  <c r="C26" i="129"/>
  <c r="J27" i="129"/>
  <c r="K27" i="129" s="1"/>
  <c r="DS27" i="2"/>
  <c r="CB30" i="2"/>
  <c r="I41" i="119"/>
  <c r="J40" i="119"/>
  <c r="E24" i="157"/>
  <c r="C23" i="157"/>
  <c r="J24" i="157"/>
  <c r="K24" i="157" s="1"/>
  <c r="E29" i="46"/>
  <c r="C28" i="46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C25" i="61"/>
  <c r="E26" i="61"/>
  <c r="J26" i="61"/>
  <c r="K26" i="61" s="1"/>
  <c r="FA29" i="2"/>
  <c r="J40" i="169"/>
  <c r="I41" i="169"/>
  <c r="C26" i="128"/>
  <c r="E27" i="128"/>
  <c r="J27" i="128"/>
  <c r="K27" i="128" s="1"/>
  <c r="K38" i="54"/>
  <c r="K39" i="104"/>
  <c r="E28" i="44"/>
  <c r="C27" i="44"/>
  <c r="J28" i="44"/>
  <c r="K28" i="44" s="1"/>
  <c r="J41" i="159"/>
  <c r="I42" i="159"/>
  <c r="J40" i="76"/>
  <c r="I41" i="76"/>
  <c r="E26" i="85"/>
  <c r="C25" i="85"/>
  <c r="J26" i="85"/>
  <c r="K26" i="85" s="1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K40" i="25"/>
  <c r="K41" i="128"/>
  <c r="GS30" i="2"/>
  <c r="I44" i="82"/>
  <c r="J43" i="82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EZ28" i="2"/>
  <c r="J28" i="134"/>
  <c r="K28" i="134" s="1"/>
  <c r="I45" i="74"/>
  <c r="J44" i="74"/>
  <c r="K43" i="74" s="1"/>
  <c r="J43" i="42"/>
  <c r="I44" i="42"/>
  <c r="CX28" i="2"/>
  <c r="K37" i="69"/>
  <c r="K39" i="106"/>
  <c r="E27" i="60"/>
  <c r="C26" i="60"/>
  <c r="J27" i="60"/>
  <c r="K27" i="60" s="1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57"/>
  <c r="K37" i="96"/>
  <c r="K39" i="33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E25" i="105"/>
  <c r="C24" i="105"/>
  <c r="J25" i="105"/>
  <c r="K25" i="105" s="1"/>
  <c r="I41" i="106"/>
  <c r="J40" i="106"/>
  <c r="C28" i="29"/>
  <c r="E29" i="29"/>
  <c r="J29" i="29"/>
  <c r="K29" i="29" s="1"/>
  <c r="X29" i="1"/>
  <c r="C25" i="120"/>
  <c r="E26" i="120"/>
  <c r="J26" i="120"/>
  <c r="K26" i="120" s="1"/>
  <c r="E28" i="97"/>
  <c r="C27" i="97"/>
  <c r="EO28" i="2"/>
  <c r="J28" i="97"/>
  <c r="K28" i="97" s="1"/>
  <c r="E27" i="4"/>
  <c r="C26" i="4"/>
  <c r="J27" i="4"/>
  <c r="K27" i="4" s="1"/>
  <c r="C24" i="165"/>
  <c r="E25" i="165"/>
  <c r="J25" i="165"/>
  <c r="K25" i="165" s="1"/>
  <c r="K39" i="114"/>
  <c r="I41" i="121"/>
  <c r="J40" i="121"/>
  <c r="J40" i="4"/>
  <c r="I41" i="4"/>
  <c r="J40" i="33"/>
  <c r="I41" i="33"/>
  <c r="K39" i="126"/>
  <c r="C28" i="92"/>
  <c r="E29" i="92"/>
  <c r="J29" i="92"/>
  <c r="K29" i="92" s="1"/>
  <c r="C21" i="82"/>
  <c r="E22" i="82"/>
  <c r="J22" i="82"/>
  <c r="K22" i="8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K38" i="146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I41" i="126"/>
  <c r="K41" i="62"/>
  <c r="I44" i="24"/>
  <c r="C27" i="153"/>
  <c r="E28" i="153"/>
  <c r="J28" i="153"/>
  <c r="K28" i="153" s="1"/>
  <c r="I43" i="132"/>
  <c r="J42" i="132"/>
  <c r="C27" i="20"/>
  <c r="E28" i="20"/>
  <c r="J28" i="20"/>
  <c r="K28" i="20" s="1"/>
  <c r="K42" i="82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E25" i="102"/>
  <c r="C24" i="102"/>
  <c r="J25" i="102"/>
  <c r="K25" i="102" s="1"/>
  <c r="I42" i="173"/>
  <c r="J41" i="173"/>
  <c r="J39" i="17"/>
  <c r="K38" i="17" s="1"/>
  <c r="I40" i="17"/>
  <c r="I42" i="30"/>
  <c r="J41" i="30"/>
  <c r="K40" i="30" s="1"/>
  <c r="C23" i="146"/>
  <c r="E24" i="146"/>
  <c r="J24" i="146"/>
  <c r="K24" i="146" s="1"/>
  <c r="I41" i="39"/>
  <c r="J40" i="39"/>
  <c r="I42" i="149"/>
  <c r="J41" i="149"/>
  <c r="K40" i="149" s="1"/>
  <c r="K42" i="94"/>
  <c r="K39" i="162"/>
  <c r="I41" i="67"/>
  <c r="J40" i="67"/>
  <c r="C24" i="43"/>
  <c r="E25" i="43"/>
  <c r="J25" i="43"/>
  <c r="K25" i="43" s="1"/>
  <c r="C28" i="170"/>
  <c r="E29" i="170"/>
  <c r="J29" i="170"/>
  <c r="K29" i="170" s="1"/>
  <c r="C27" i="31"/>
  <c r="E28" i="31"/>
  <c r="CA28" i="2"/>
  <c r="J28" i="31"/>
  <c r="K28" i="31" s="1"/>
  <c r="K40" i="37"/>
  <c r="E28" i="108"/>
  <c r="C27" i="108"/>
  <c r="J28" i="108"/>
  <c r="K28" i="108" s="1"/>
  <c r="I42" i="72"/>
  <c r="J41" i="72"/>
  <c r="CL29" i="2"/>
  <c r="K38" i="52"/>
  <c r="I42" i="37"/>
  <c r="J41" i="37"/>
  <c r="I40" i="38"/>
  <c r="J39" i="38"/>
  <c r="J41" i="99"/>
  <c r="I42" i="99"/>
  <c r="I41" i="70"/>
  <c r="J40" i="70"/>
  <c r="HN29" i="2"/>
  <c r="K40" i="10"/>
  <c r="E28" i="10"/>
  <c r="C27" i="10"/>
  <c r="J28" i="10"/>
  <c r="K28" i="10" s="1"/>
  <c r="K40" i="68"/>
  <c r="C27" i="162"/>
  <c r="E28" i="162"/>
  <c r="J28" i="162"/>
  <c r="K28" i="162" s="1"/>
  <c r="J41" i="66"/>
  <c r="I42" i="66"/>
  <c r="E26" i="86"/>
  <c r="C25" i="86"/>
  <c r="J26" i="86"/>
  <c r="K26" i="86" s="1"/>
  <c r="K39" i="39"/>
  <c r="I44" i="94"/>
  <c r="J43" i="94"/>
  <c r="I43" i="51"/>
  <c r="J42" i="51"/>
  <c r="K41" i="51" s="1"/>
  <c r="I41" i="162"/>
  <c r="J40" i="162"/>
  <c r="K39" i="67"/>
  <c r="K39" i="138"/>
  <c r="E27" i="116"/>
  <c r="C26" i="116"/>
  <c r="J27" i="116"/>
  <c r="K27" i="116" s="1"/>
  <c r="J42" i="13"/>
  <c r="I43" i="13"/>
  <c r="K40" i="72"/>
  <c r="K39" i="72"/>
  <c r="K40" i="129"/>
  <c r="C27" i="125"/>
  <c r="E28" i="125"/>
  <c r="J28" i="125"/>
  <c r="K28" i="125" s="1"/>
  <c r="K42" i="59"/>
  <c r="J41" i="10"/>
  <c r="I42" i="10"/>
  <c r="I42" i="68"/>
  <c r="J41" i="68"/>
  <c r="K40" i="66"/>
  <c r="E26" i="62"/>
  <c r="C25" i="62"/>
  <c r="J26" i="62"/>
  <c r="K26" i="62" s="1"/>
  <c r="E27" i="167"/>
  <c r="C26" i="167"/>
  <c r="J27" i="167"/>
  <c r="K27" i="167" s="1"/>
  <c r="J42" i="98"/>
  <c r="I43" i="98"/>
  <c r="K38" i="120"/>
  <c r="C25" i="47"/>
  <c r="E26" i="47"/>
  <c r="J26" i="47"/>
  <c r="K26" i="47" s="1"/>
  <c r="E29" i="42"/>
  <c r="C28" i="42"/>
  <c r="J29" i="42"/>
  <c r="K29" i="42" s="1"/>
  <c r="FV29" i="2"/>
  <c r="J40" i="138"/>
  <c r="I41" i="138"/>
  <c r="K41" i="136"/>
  <c r="J42" i="107"/>
  <c r="K41" i="107" s="1"/>
  <c r="I43" i="107"/>
  <c r="I42" i="83"/>
  <c r="J41" i="83"/>
  <c r="I43" i="142"/>
  <c r="J42" i="142"/>
  <c r="I42" i="129"/>
  <c r="J41" i="129"/>
  <c r="E26" i="171"/>
  <c r="C25" i="171"/>
  <c r="J26" i="171"/>
  <c r="K26" i="171" s="1"/>
  <c r="K40" i="93"/>
  <c r="E28" i="63"/>
  <c r="C27" i="63"/>
  <c r="J28" i="63"/>
  <c r="K28" i="63" s="1"/>
  <c r="CL28" i="2"/>
  <c r="K38" i="3"/>
  <c r="K39" i="173"/>
  <c r="E28" i="89"/>
  <c r="C27" i="89"/>
  <c r="J28" i="89"/>
  <c r="K28" i="89" s="1"/>
  <c r="E25" i="34"/>
  <c r="C24" i="34"/>
  <c r="J25" i="34"/>
  <c r="K25" i="34" s="1"/>
  <c r="K38" i="76"/>
  <c r="I44" i="59"/>
  <c r="J43" i="59"/>
  <c r="K39" i="66"/>
  <c r="E29" i="152"/>
  <c r="C28" i="152"/>
  <c r="J29" i="152"/>
  <c r="K29" i="152" s="1"/>
  <c r="K42" i="133"/>
  <c r="J44" i="7"/>
  <c r="I45" i="7"/>
  <c r="K42" i="79"/>
  <c r="K40" i="60"/>
  <c r="I40" i="120"/>
  <c r="J39" i="120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K41" i="142"/>
  <c r="I42" i="93"/>
  <c r="J41" i="93"/>
  <c r="K38" i="154"/>
  <c r="K40" i="122"/>
  <c r="K43" i="46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I42" i="60"/>
  <c r="J41" i="60"/>
  <c r="C28" i="121"/>
  <c r="E29" i="121"/>
  <c r="J29" i="121"/>
  <c r="K29" i="121" s="1"/>
  <c r="E27" i="25"/>
  <c r="C26" i="25"/>
  <c r="J27" i="25"/>
  <c r="K27" i="25" s="1"/>
  <c r="E27" i="161"/>
  <c r="C26" i="161"/>
  <c r="J27" i="161"/>
  <c r="K27" i="161" s="1"/>
  <c r="I43" i="136"/>
  <c r="J42" i="136"/>
  <c r="C28" i="49"/>
  <c r="E29" i="49"/>
  <c r="J29" i="49"/>
  <c r="K29" i="49" s="1"/>
  <c r="K39" i="139"/>
  <c r="K37" i="55"/>
  <c r="K39" i="70"/>
  <c r="I41" i="131"/>
  <c r="J40" i="131"/>
  <c r="I41" i="80"/>
  <c r="J40" i="80"/>
  <c r="C24" i="45"/>
  <c r="E25" i="45"/>
  <c r="J25" i="45"/>
  <c r="K25" i="45" s="1"/>
  <c r="I45" i="46"/>
  <c r="J44" i="46"/>
  <c r="K39" i="159"/>
  <c r="C26" i="137"/>
  <c r="E27" i="137"/>
  <c r="J27" i="137"/>
  <c r="K27" i="137" s="1"/>
  <c r="I40" i="40"/>
  <c r="J39" i="40"/>
  <c r="E28" i="122"/>
  <c r="C27" i="122"/>
  <c r="J28" i="122"/>
  <c r="K28" i="122" s="1"/>
  <c r="C23" i="87"/>
  <c r="E24" i="87"/>
  <c r="J24" i="87"/>
  <c r="K24" i="87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C26" i="150"/>
  <c r="E27" i="150"/>
  <c r="J27" i="150"/>
  <c r="K27" i="150" s="1"/>
  <c r="I41" i="144"/>
  <c r="J40" i="144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K38" i="40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BE28" i="2"/>
  <c r="J28" i="41"/>
  <c r="K28" i="41" s="1"/>
  <c r="K40" i="18"/>
  <c r="K39" i="144"/>
  <c r="E27" i="9"/>
  <c r="C26" i="9"/>
  <c r="J27" i="9"/>
  <c r="K27" i="9" s="1"/>
  <c r="E28" i="164"/>
  <c r="C27" i="164"/>
  <c r="J28" i="164"/>
  <c r="K28" i="164" s="1"/>
  <c r="I40" i="171"/>
  <c r="J39" i="171"/>
  <c r="I43" i="26"/>
  <c r="J42" i="26"/>
  <c r="K41" i="26" s="1"/>
  <c r="HD30" i="2"/>
  <c r="AI29" i="1"/>
  <c r="E22" i="98"/>
  <c r="C21" i="98"/>
  <c r="J22" i="98"/>
  <c r="K22" i="98" s="1"/>
  <c r="I40" i="125"/>
  <c r="J39" i="125"/>
  <c r="J39" i="112"/>
  <c r="K38" i="112" s="1"/>
  <c r="I40" i="112"/>
  <c r="J39" i="34"/>
  <c r="I40" i="34"/>
  <c r="K37" i="81"/>
  <c r="K40" i="142"/>
  <c r="I42" i="18"/>
  <c r="J41" i="18"/>
  <c r="K38" i="73"/>
  <c r="K37" i="143"/>
  <c r="K37" i="105"/>
  <c r="K38" i="171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41" i="77"/>
  <c r="K38" i="80"/>
  <c r="I43" i="127"/>
  <c r="J42" i="127"/>
  <c r="K41" i="127" s="1"/>
  <c r="J42" i="77"/>
  <c r="I43" i="77"/>
  <c r="I40" i="110"/>
  <c r="J39" i="110"/>
  <c r="K37" i="147"/>
  <c r="K39" i="19"/>
  <c r="K38" i="163"/>
  <c r="K41" i="27"/>
  <c r="C26" i="110"/>
  <c r="E27" i="110"/>
  <c r="J27" i="110"/>
  <c r="K27" i="110" s="1"/>
  <c r="I41" i="52"/>
  <c r="J40" i="52"/>
  <c r="K39" i="31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E26" i="84"/>
  <c r="C25" i="84"/>
  <c r="J26" i="84"/>
  <c r="K26" i="84" s="1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AJ28" i="2" l="1"/>
  <c r="IK28" i="2"/>
  <c r="I45" i="94"/>
  <c r="J44" i="94"/>
  <c r="I43" i="173"/>
  <c r="J42" i="173"/>
  <c r="C24" i="123"/>
  <c r="E25" i="123"/>
  <c r="J25" i="123"/>
  <c r="K25" i="123" s="1"/>
  <c r="C27" i="14"/>
  <c r="E28" i="14"/>
  <c r="J28" i="14"/>
  <c r="K28" i="14" s="1"/>
  <c r="GR28" i="2"/>
  <c r="J45" i="46"/>
  <c r="I46" i="46"/>
  <c r="K43" i="79"/>
  <c r="K39" i="120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C25" i="139"/>
  <c r="E26" i="139"/>
  <c r="J26" i="139"/>
  <c r="K26" i="139" s="1"/>
  <c r="I41" i="102"/>
  <c r="J40" i="102"/>
  <c r="J45" i="75"/>
  <c r="I46" i="75"/>
  <c r="J43" i="127"/>
  <c r="I44" i="127"/>
  <c r="C26" i="151"/>
  <c r="E27" i="151"/>
  <c r="J27" i="151"/>
  <c r="K27" i="151" s="1"/>
  <c r="GS29" i="2"/>
  <c r="J44" i="79"/>
  <c r="I45" i="79"/>
  <c r="I41" i="120"/>
  <c r="J40" i="120"/>
  <c r="C25" i="99"/>
  <c r="E26" i="99"/>
  <c r="J26" i="99"/>
  <c r="K26" i="99" s="1"/>
  <c r="K40" i="106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E21" i="82"/>
  <c r="C20" i="82"/>
  <c r="J21" i="82"/>
  <c r="K21" i="82" s="1"/>
  <c r="I42" i="106"/>
  <c r="J41" i="106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K40" i="144"/>
  <c r="E27" i="10"/>
  <c r="C26" i="10"/>
  <c r="J27" i="10"/>
  <c r="K27" i="10" s="1"/>
  <c r="BQ29" i="1"/>
  <c r="I42" i="144"/>
  <c r="J41" i="144"/>
  <c r="E24" i="45"/>
  <c r="C23" i="45"/>
  <c r="J24" i="45"/>
  <c r="K24" i="45" s="1"/>
  <c r="I41" i="36"/>
  <c r="J40" i="36"/>
  <c r="K42" i="142"/>
  <c r="E24" i="43"/>
  <c r="C23" i="43"/>
  <c r="J24" i="43"/>
  <c r="K24" i="43" s="1"/>
  <c r="K39" i="137"/>
  <c r="C26" i="36"/>
  <c r="E27" i="36"/>
  <c r="J27" i="36"/>
  <c r="K27" i="36" s="1"/>
  <c r="K39" i="160"/>
  <c r="K40" i="123"/>
  <c r="E26" i="83"/>
  <c r="C25" i="83"/>
  <c r="J26" i="83"/>
  <c r="K26" i="83" s="1"/>
  <c r="I43" i="44"/>
  <c r="J42" i="44"/>
  <c r="K43" i="145"/>
  <c r="E23" i="138"/>
  <c r="C22" i="138"/>
  <c r="J23" i="138"/>
  <c r="K23" i="138" s="1"/>
  <c r="I46" i="7"/>
  <c r="J45" i="7"/>
  <c r="K44" i="7" s="1"/>
  <c r="I44" i="142"/>
  <c r="J43" i="142"/>
  <c r="K40" i="67"/>
  <c r="I42" i="137"/>
  <c r="J41" i="137"/>
  <c r="K40" i="137" s="1"/>
  <c r="C23" i="105"/>
  <c r="E24" i="105"/>
  <c r="J24" i="105"/>
  <c r="K24" i="105" s="1"/>
  <c r="C26" i="95"/>
  <c r="E27" i="95"/>
  <c r="J27" i="95"/>
  <c r="K27" i="95" s="1"/>
  <c r="IV28" i="2"/>
  <c r="E28" i="93"/>
  <c r="C27" i="93"/>
  <c r="J28" i="93"/>
  <c r="K28" i="93" s="1"/>
  <c r="J41" i="123"/>
  <c r="I42" i="123"/>
  <c r="K40" i="44"/>
  <c r="J43" i="135"/>
  <c r="I44" i="135"/>
  <c r="J43" i="89"/>
  <c r="I44" i="89"/>
  <c r="I42" i="67"/>
  <c r="J41" i="67"/>
  <c r="E28" i="92"/>
  <c r="C27" i="92"/>
  <c r="J28" i="92"/>
  <c r="K28" i="92" s="1"/>
  <c r="EP29" i="2"/>
  <c r="E25" i="61"/>
  <c r="C24" i="61"/>
  <c r="J25" i="61"/>
  <c r="K25" i="61" s="1"/>
  <c r="C25" i="130"/>
  <c r="E26" i="130"/>
  <c r="J26" i="130"/>
  <c r="K26" i="130" s="1"/>
  <c r="C24" i="72"/>
  <c r="E25" i="72"/>
  <c r="J25" i="72"/>
  <c r="K25" i="72" s="1"/>
  <c r="J43" i="152"/>
  <c r="K42" i="152" s="1"/>
  <c r="I44" i="152"/>
  <c r="K42" i="89"/>
  <c r="E25" i="40"/>
  <c r="C24" i="40"/>
  <c r="J25" i="40"/>
  <c r="K25" i="40" s="1"/>
  <c r="K41" i="118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E26" i="150"/>
  <c r="C25" i="150"/>
  <c r="J26" i="150"/>
  <c r="K26" i="150" s="1"/>
  <c r="K42" i="62"/>
  <c r="I42" i="126"/>
  <c r="J41" i="126"/>
  <c r="E27" i="13"/>
  <c r="C26" i="13"/>
  <c r="J27" i="13"/>
  <c r="K27" i="13" s="1"/>
  <c r="I41" i="8"/>
  <c r="J40" i="8"/>
  <c r="K39" i="11"/>
  <c r="C22" i="32"/>
  <c r="E23" i="32"/>
  <c r="J23" i="32"/>
  <c r="K23" i="32" s="1"/>
  <c r="C23" i="59"/>
  <c r="E24" i="59"/>
  <c r="J24" i="59"/>
  <c r="K24" i="59" s="1"/>
  <c r="I43" i="118"/>
  <c r="J42" i="118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K40" i="70"/>
  <c r="I44" i="62"/>
  <c r="J43" i="62"/>
  <c r="K40" i="126"/>
  <c r="J41" i="33"/>
  <c r="I42" i="33"/>
  <c r="CW27" i="2"/>
  <c r="C25" i="60"/>
  <c r="E26" i="60"/>
  <c r="J26" i="60"/>
  <c r="K26" i="60" s="1"/>
  <c r="I42" i="50"/>
  <c r="J41" i="50"/>
  <c r="E26" i="22"/>
  <c r="C25" i="22"/>
  <c r="J26" i="22"/>
  <c r="K26" i="22" s="1"/>
  <c r="K39" i="8"/>
  <c r="K39" i="109"/>
  <c r="I41" i="11"/>
  <c r="J40" i="1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I42" i="31"/>
  <c r="J41" i="70"/>
  <c r="I42" i="70"/>
  <c r="K40" i="33"/>
  <c r="I41" i="148"/>
  <c r="J40" i="148"/>
  <c r="I41" i="109"/>
  <c r="J40" i="109"/>
  <c r="C26" i="78"/>
  <c r="E27" i="78"/>
  <c r="J27" i="78"/>
  <c r="K27" i="78" s="1"/>
  <c r="C24" i="163"/>
  <c r="E25" i="163"/>
  <c r="J25" i="163"/>
  <c r="K25" i="163" s="1"/>
  <c r="E26" i="64"/>
  <c r="C25" i="64"/>
  <c r="J26" i="64"/>
  <c r="K26" i="64" s="1"/>
  <c r="CC67" i="1"/>
  <c r="Z67" i="1"/>
  <c r="AK67" i="1"/>
  <c r="AV67" i="1"/>
  <c r="BR67" i="1"/>
  <c r="O67" i="1"/>
  <c r="K40" i="31"/>
  <c r="J41" i="131"/>
  <c r="I42" i="131"/>
  <c r="I44" i="13"/>
  <c r="J43" i="13"/>
  <c r="J42" i="99"/>
  <c r="I43" i="99"/>
  <c r="C27" i="91"/>
  <c r="E28" i="91"/>
  <c r="J28" i="91"/>
  <c r="K28" i="91" s="1"/>
  <c r="C24" i="115"/>
  <c r="E25" i="115"/>
  <c r="J25" i="115"/>
  <c r="K25" i="115" s="1"/>
  <c r="J41" i="4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K40" i="4"/>
  <c r="I46" i="134"/>
  <c r="J45" i="134"/>
  <c r="I45" i="22"/>
  <c r="J44" i="22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K40" i="121"/>
  <c r="K44" i="134"/>
  <c r="E25" i="85"/>
  <c r="C24" i="85"/>
  <c r="J25" i="85"/>
  <c r="K25" i="85" s="1"/>
  <c r="J41" i="3"/>
  <c r="I42" i="3"/>
  <c r="K43" i="22"/>
  <c r="E26" i="74"/>
  <c r="C25" i="74"/>
  <c r="J26" i="74"/>
  <c r="K26" i="74" s="1"/>
  <c r="E23" i="30"/>
  <c r="C22" i="30"/>
  <c r="J23" i="30"/>
  <c r="K23" i="30" s="1"/>
  <c r="J40" i="130"/>
  <c r="I41" i="130"/>
  <c r="C24" i="51"/>
  <c r="E25" i="51"/>
  <c r="J25" i="51"/>
  <c r="K25" i="51" s="1"/>
  <c r="C27" i="58"/>
  <c r="E28" i="58"/>
  <c r="J28" i="58"/>
  <c r="K28" i="58" s="1"/>
  <c r="I41" i="91"/>
  <c r="J40" i="91"/>
  <c r="K39" i="91" s="1"/>
  <c r="E25" i="106"/>
  <c r="C24" i="106"/>
  <c r="J25" i="106"/>
  <c r="K25" i="106" s="1"/>
  <c r="I42" i="56"/>
  <c r="J41" i="56"/>
  <c r="J43" i="29"/>
  <c r="I44" i="29"/>
  <c r="I43" i="18"/>
  <c r="J42" i="18"/>
  <c r="I44" i="77"/>
  <c r="J43" i="77"/>
  <c r="K40" i="103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I42" i="121"/>
  <c r="K40" i="3"/>
  <c r="K39" i="96"/>
  <c r="K38" i="130"/>
  <c r="K39" i="123"/>
  <c r="K43" i="27"/>
  <c r="K40" i="56"/>
  <c r="K39" i="97"/>
  <c r="E25" i="26"/>
  <c r="C24" i="26"/>
  <c r="J25" i="26"/>
  <c r="K25" i="26" s="1"/>
  <c r="K41" i="99"/>
  <c r="K39" i="20"/>
  <c r="C24" i="141"/>
  <c r="E25" i="141"/>
  <c r="J25" i="141"/>
  <c r="K25" i="141" s="1"/>
  <c r="J40" i="34"/>
  <c r="I41" i="34"/>
  <c r="EE29" i="2"/>
  <c r="J43" i="164"/>
  <c r="I44" i="164"/>
  <c r="I42" i="103"/>
  <c r="J41" i="103"/>
  <c r="J44" i="59"/>
  <c r="I45" i="59"/>
  <c r="J44" i="42"/>
  <c r="K43" i="42" s="1"/>
  <c r="I45" i="42"/>
  <c r="J44" i="82"/>
  <c r="I45" i="82"/>
  <c r="C26" i="142"/>
  <c r="E27" i="142"/>
  <c r="J27" i="142"/>
  <c r="K27" i="142" s="1"/>
  <c r="I41" i="96"/>
  <c r="J40" i="96"/>
  <c r="J41" i="5"/>
  <c r="I42" i="5"/>
  <c r="K39" i="5"/>
  <c r="I43" i="157"/>
  <c r="J42" i="157"/>
  <c r="K41" i="157" s="1"/>
  <c r="J44" i="27"/>
  <c r="I45" i="27"/>
  <c r="I41" i="163"/>
  <c r="J40" i="163"/>
  <c r="K43" i="32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E25" i="73"/>
  <c r="C24" i="73"/>
  <c r="J25" i="73"/>
  <c r="K25" i="73" s="1"/>
  <c r="K39" i="168"/>
  <c r="K39" i="163"/>
  <c r="I42" i="170"/>
  <c r="J41" i="170"/>
  <c r="E23" i="146"/>
  <c r="C22" i="146"/>
  <c r="J23" i="146"/>
  <c r="K23" i="146" s="1"/>
  <c r="K44" i="74"/>
  <c r="K40" i="76"/>
  <c r="J40" i="64"/>
  <c r="I41" i="64"/>
  <c r="E26" i="148"/>
  <c r="C25" i="148"/>
  <c r="J26" i="148"/>
  <c r="K26" i="148" s="1"/>
  <c r="J42" i="63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E28" i="174"/>
  <c r="C27" i="174"/>
  <c r="J28" i="174"/>
  <c r="K28" i="174" s="1"/>
  <c r="K41" i="124"/>
  <c r="C24" i="69"/>
  <c r="E25" i="69"/>
  <c r="J25" i="69"/>
  <c r="K25" i="69" s="1"/>
  <c r="E25" i="168"/>
  <c r="C24" i="168"/>
  <c r="J25" i="168"/>
  <c r="K25" i="168" s="1"/>
  <c r="E27" i="133"/>
  <c r="C26" i="133"/>
  <c r="J27" i="133"/>
  <c r="K27" i="133" s="1"/>
  <c r="DH27" i="2"/>
  <c r="K39" i="64"/>
  <c r="K41" i="63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80"/>
  <c r="K39" i="112"/>
  <c r="E26" i="135"/>
  <c r="C25" i="135"/>
  <c r="J26" i="135"/>
  <c r="K26" i="135" s="1"/>
  <c r="K42" i="136"/>
  <c r="K41" i="93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C23" i="165"/>
  <c r="E24" i="165"/>
  <c r="J24" i="165"/>
  <c r="K24" i="165" s="1"/>
  <c r="K39" i="35"/>
  <c r="K41" i="159"/>
  <c r="E28" i="46"/>
  <c r="C27" i="46"/>
  <c r="J28" i="46"/>
  <c r="K28" i="46" s="1"/>
  <c r="J42" i="124"/>
  <c r="I43" i="124"/>
  <c r="AU29" i="2"/>
  <c r="K38" i="96"/>
  <c r="C27" i="28"/>
  <c r="AI27" i="2" s="1"/>
  <c r="E28" i="28"/>
  <c r="J28" i="28"/>
  <c r="K28" i="28" s="1"/>
  <c r="C23" i="160"/>
  <c r="E24" i="160"/>
  <c r="J24" i="160"/>
  <c r="K24" i="160" s="1"/>
  <c r="K39" i="125"/>
  <c r="C27" i="55"/>
  <c r="E28" i="55"/>
  <c r="J28" i="55"/>
  <c r="K28" i="55" s="1"/>
  <c r="J43" i="136"/>
  <c r="I44" i="136"/>
  <c r="I43" i="93"/>
  <c r="J42" i="93"/>
  <c r="HN28" i="2"/>
  <c r="C24" i="47"/>
  <c r="E25" i="47"/>
  <c r="J25" i="47"/>
  <c r="K25" i="47" s="1"/>
  <c r="K42" i="51"/>
  <c r="K41" i="72"/>
  <c r="I41" i="17"/>
  <c r="J40" i="17"/>
  <c r="J40" i="35"/>
  <c r="I41" i="35"/>
  <c r="FA28" i="2"/>
  <c r="K39" i="45"/>
  <c r="K38" i="55"/>
  <c r="C27" i="50"/>
  <c r="E28" i="50"/>
  <c r="AT28" i="2"/>
  <c r="J28" i="50"/>
  <c r="K28" i="50" s="1"/>
  <c r="I42" i="155"/>
  <c r="J41" i="155"/>
  <c r="E23" i="156"/>
  <c r="C22" i="156"/>
  <c r="J23" i="156"/>
  <c r="K23" i="156" s="1"/>
  <c r="AU29" i="1"/>
  <c r="K39" i="153"/>
  <c r="E26" i="11"/>
  <c r="C25" i="11"/>
  <c r="J26" i="11"/>
  <c r="K26" i="11" s="1"/>
  <c r="K39" i="56"/>
  <c r="K41" i="117"/>
  <c r="K42" i="164"/>
  <c r="K39" i="81"/>
  <c r="I41" i="125"/>
  <c r="J40" i="125"/>
  <c r="I44" i="48"/>
  <c r="J43" i="48"/>
  <c r="E25" i="39"/>
  <c r="C24" i="39"/>
  <c r="J25" i="39"/>
  <c r="K25" i="39" s="1"/>
  <c r="K39" i="174"/>
  <c r="IV29" i="2"/>
  <c r="E28" i="152"/>
  <c r="C27" i="152"/>
  <c r="J28" i="152"/>
  <c r="K28" i="152" s="1"/>
  <c r="E27" i="41"/>
  <c r="C26" i="41"/>
  <c r="J27" i="41"/>
  <c r="K27" i="41" s="1"/>
  <c r="I45" i="32"/>
  <c r="J44" i="32"/>
  <c r="E26" i="104"/>
  <c r="C25" i="104"/>
  <c r="J26" i="104"/>
  <c r="K26" i="104" s="1"/>
  <c r="I44" i="51"/>
  <c r="J43" i="51"/>
  <c r="I43" i="72"/>
  <c r="J42" i="72"/>
  <c r="K39" i="17"/>
  <c r="K42" i="9"/>
  <c r="J40" i="45"/>
  <c r="I41" i="45"/>
  <c r="I41" i="81"/>
  <c r="J40" i="81"/>
  <c r="I42" i="49"/>
  <c r="J41" i="49"/>
  <c r="K40" i="49" s="1"/>
  <c r="E23" i="87"/>
  <c r="C22" i="87"/>
  <c r="J23" i="87"/>
  <c r="K23" i="87" s="1"/>
  <c r="K39" i="131"/>
  <c r="C26" i="89"/>
  <c r="E27" i="89"/>
  <c r="J27" i="89"/>
  <c r="K27" i="89" s="1"/>
  <c r="HN27" i="2"/>
  <c r="J43" i="98"/>
  <c r="I44" i="98"/>
  <c r="K43" i="94"/>
  <c r="K41" i="173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3" i="157"/>
  <c r="C22" i="157"/>
  <c r="J23" i="157"/>
  <c r="K23" i="157" s="1"/>
  <c r="E27" i="35"/>
  <c r="C26" i="35"/>
  <c r="J27" i="35"/>
  <c r="K27" i="35" s="1"/>
  <c r="E26" i="118"/>
  <c r="C25" i="118"/>
  <c r="J26" i="118"/>
  <c r="K26" i="118" s="1"/>
  <c r="K40" i="157"/>
  <c r="I41" i="174"/>
  <c r="J40" i="174"/>
  <c r="E28" i="7"/>
  <c r="C27" i="7"/>
  <c r="AT28" i="1"/>
  <c r="J28" i="7"/>
  <c r="K28" i="7" s="1"/>
  <c r="N29" i="1"/>
  <c r="I43" i="158"/>
  <c r="J42" i="158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K42" i="122"/>
  <c r="C25" i="66"/>
  <c r="E26" i="66"/>
  <c r="J26" i="66"/>
  <c r="K26" i="66" s="1"/>
  <c r="I42" i="53"/>
  <c r="J41" i="53"/>
  <c r="J43" i="172"/>
  <c r="I44" i="172"/>
  <c r="Y29" i="2"/>
  <c r="K41" i="158"/>
  <c r="CB29" i="1"/>
  <c r="J41" i="161"/>
  <c r="K40" i="161" s="1"/>
  <c r="I42" i="161"/>
  <c r="K42" i="13"/>
  <c r="C26" i="122"/>
  <c r="E27" i="122"/>
  <c r="J27" i="122"/>
  <c r="K27" i="122" s="1"/>
  <c r="E26" i="161"/>
  <c r="C25" i="161"/>
  <c r="J26" i="161"/>
  <c r="K26" i="161" s="1"/>
  <c r="K39" i="65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I44" i="122"/>
  <c r="K40" i="53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K39" i="141"/>
  <c r="AJ29" i="1"/>
  <c r="K38" i="34"/>
  <c r="K40" i="99"/>
  <c r="C23" i="102"/>
  <c r="E24" i="102"/>
  <c r="J24" i="102"/>
  <c r="K24" i="102" s="1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8" i="125"/>
  <c r="J40" i="141"/>
  <c r="I41" i="141"/>
  <c r="K40" i="19"/>
  <c r="K39" i="40"/>
  <c r="I42" i="85"/>
  <c r="J41" i="85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I42" i="19"/>
  <c r="E26" i="25"/>
  <c r="C25" i="25"/>
  <c r="J26" i="25"/>
  <c r="K26" i="25" s="1"/>
  <c r="CM28" i="2"/>
  <c r="E27" i="119"/>
  <c r="C26" i="119"/>
  <c r="J27" i="119"/>
  <c r="K27" i="119" s="1"/>
  <c r="C24" i="149"/>
  <c r="E25" i="149"/>
  <c r="J25" i="149"/>
  <c r="K25" i="149" s="1"/>
  <c r="K40" i="86"/>
  <c r="C24" i="159"/>
  <c r="E25" i="159"/>
  <c r="J25" i="159"/>
  <c r="K25" i="159" s="1"/>
  <c r="K41" i="152"/>
  <c r="C26" i="154"/>
  <c r="E27" i="154"/>
  <c r="J27" i="154"/>
  <c r="K27" i="154" s="1"/>
  <c r="IJ27" i="2"/>
  <c r="I41" i="140"/>
  <c r="J40" i="140"/>
  <c r="K42" i="26"/>
  <c r="K39" i="49"/>
  <c r="E26" i="113"/>
  <c r="C25" i="113"/>
  <c r="J26" i="113"/>
  <c r="K26" i="113" s="1"/>
  <c r="E27" i="20"/>
  <c r="C26" i="20"/>
  <c r="J27" i="20"/>
  <c r="K27" i="20" s="1"/>
  <c r="K40" i="114"/>
  <c r="FK28" i="2"/>
  <c r="K39" i="69"/>
  <c r="C25" i="128"/>
  <c r="E26" i="128"/>
  <c r="J26" i="128"/>
  <c r="K26" i="128" s="1"/>
  <c r="DT27" i="2"/>
  <c r="C25" i="19"/>
  <c r="E26" i="19"/>
  <c r="J26" i="19"/>
  <c r="K26" i="19" s="1"/>
  <c r="M28" i="2"/>
  <c r="K38" i="160"/>
  <c r="J41" i="86"/>
  <c r="I42" i="86"/>
  <c r="K41" i="113"/>
  <c r="E25" i="37"/>
  <c r="C24" i="37"/>
  <c r="J25" i="37"/>
  <c r="K25" i="37" s="1"/>
  <c r="E21" i="98"/>
  <c r="C20" i="98"/>
  <c r="J21" i="98"/>
  <c r="K21" i="98" s="1"/>
  <c r="K39" i="166"/>
  <c r="I44" i="26"/>
  <c r="J43" i="26"/>
  <c r="E25" i="62"/>
  <c r="C24" i="62"/>
  <c r="J25" i="62"/>
  <c r="K25" i="62" s="1"/>
  <c r="I43" i="66"/>
  <c r="J42" i="66"/>
  <c r="CB28" i="2"/>
  <c r="I42" i="114"/>
  <c r="J41" i="114"/>
  <c r="E27" i="88"/>
  <c r="C26" i="88"/>
  <c r="J27" i="88"/>
  <c r="K27" i="88" s="1"/>
  <c r="J40" i="69"/>
  <c r="I41" i="69"/>
  <c r="K43" i="12"/>
  <c r="E28" i="107"/>
  <c r="C27" i="107"/>
  <c r="BE27" i="2" s="1"/>
  <c r="J28" i="107"/>
  <c r="K28" i="107" s="1"/>
  <c r="C25" i="103"/>
  <c r="E26" i="103"/>
  <c r="J26" i="103"/>
  <c r="K26" i="103" s="1"/>
  <c r="E27" i="33"/>
  <c r="C26" i="33"/>
  <c r="M27" i="2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K39" i="147"/>
  <c r="E28" i="172"/>
  <c r="C27" i="172"/>
  <c r="J28" i="172"/>
  <c r="K28" i="172" s="1"/>
  <c r="I43" i="113"/>
  <c r="J42" i="113"/>
  <c r="K40" i="85"/>
  <c r="E25" i="86"/>
  <c r="C24" i="86"/>
  <c r="J25" i="86"/>
  <c r="K25" i="86" s="1"/>
  <c r="J40" i="166"/>
  <c r="I41" i="166"/>
  <c r="C26" i="63"/>
  <c r="E27" i="63"/>
  <c r="J27" i="63"/>
  <c r="K27" i="63" s="1"/>
  <c r="J42" i="115"/>
  <c r="I43" i="115"/>
  <c r="K41" i="66"/>
  <c r="K41" i="132"/>
  <c r="J43" i="132"/>
  <c r="K42" i="132" s="1"/>
  <c r="I44" i="132"/>
  <c r="I46" i="133"/>
  <c r="J45" i="133"/>
  <c r="K44" i="133" s="1"/>
  <c r="C24" i="120"/>
  <c r="E25" i="120"/>
  <c r="J25" i="120"/>
  <c r="K25" i="120" s="1"/>
  <c r="K39" i="50"/>
  <c r="K38" i="69"/>
  <c r="C25" i="129"/>
  <c r="E26" i="129"/>
  <c r="J26" i="129"/>
  <c r="K26" i="129" s="1"/>
  <c r="DS26" i="2"/>
  <c r="K42" i="128"/>
  <c r="K38" i="11"/>
  <c r="E25" i="173"/>
  <c r="C24" i="173"/>
  <c r="J25" i="173"/>
  <c r="K25" i="173" s="1"/>
  <c r="K41" i="16"/>
  <c r="J40" i="147"/>
  <c r="I41" i="147"/>
  <c r="K38" i="141"/>
  <c r="K42" i="127"/>
  <c r="I41" i="40"/>
  <c r="J40" i="40"/>
  <c r="C26" i="31"/>
  <c r="E27" i="31"/>
  <c r="CA27" i="2"/>
  <c r="J27" i="31"/>
  <c r="K27" i="31" s="1"/>
  <c r="E28" i="90"/>
  <c r="C27" i="90"/>
  <c r="J28" i="90"/>
  <c r="K28" i="90" s="1"/>
  <c r="I42" i="169"/>
  <c r="J41" i="169"/>
  <c r="I44" i="128"/>
  <c r="J43" i="128"/>
  <c r="K39" i="105"/>
  <c r="C26" i="96"/>
  <c r="E27" i="96"/>
  <c r="J27" i="96"/>
  <c r="K27" i="96" s="1"/>
  <c r="I43" i="23"/>
  <c r="J42" i="23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42" i="78"/>
  <c r="AI28" i="1"/>
  <c r="E25" i="84"/>
  <c r="C24" i="84"/>
  <c r="J25" i="84"/>
  <c r="K25" i="84" s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K40" i="169"/>
  <c r="HY28" i="2"/>
  <c r="E27" i="38"/>
  <c r="C26" i="38"/>
  <c r="J27" i="38"/>
  <c r="K27" i="38" s="1"/>
  <c r="J40" i="105"/>
  <c r="I41" i="105"/>
  <c r="C26" i="21"/>
  <c r="E27" i="21"/>
  <c r="J27" i="21"/>
  <c r="K27" i="21" s="1"/>
  <c r="I41" i="58"/>
  <c r="J40" i="58"/>
  <c r="K39" i="58" s="1"/>
  <c r="K41" i="23"/>
  <c r="K42" i="156"/>
  <c r="K39" i="90"/>
  <c r="I44" i="78"/>
  <c r="J43" i="78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K41" i="60"/>
  <c r="C27" i="136"/>
  <c r="E28" i="136"/>
  <c r="J28" i="136"/>
  <c r="K28" i="136" s="1"/>
  <c r="E27" i="164"/>
  <c r="C26" i="164"/>
  <c r="J27" i="164"/>
  <c r="K27" i="164" s="1"/>
  <c r="K44" i="46"/>
  <c r="I43" i="60"/>
  <c r="J42" i="60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K44" i="75"/>
  <c r="IU27" i="2"/>
  <c r="AJ27" i="2" l="1"/>
  <c r="BF27" i="2"/>
  <c r="I44" i="113"/>
  <c r="J43" i="113"/>
  <c r="C24" i="167"/>
  <c r="E25" i="167"/>
  <c r="J25" i="167"/>
  <c r="K25" i="167" s="1"/>
  <c r="I43" i="119"/>
  <c r="J42" i="119"/>
  <c r="C26" i="152"/>
  <c r="E27" i="152"/>
  <c r="J27" i="152"/>
  <c r="K27" i="152" s="1"/>
  <c r="E27" i="49"/>
  <c r="C26" i="49"/>
  <c r="J27" i="49"/>
  <c r="K27" i="49" s="1"/>
  <c r="K41" i="116"/>
  <c r="I46" i="59"/>
  <c r="J45" i="59"/>
  <c r="I42" i="130"/>
  <c r="J41" i="130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K41" i="50"/>
  <c r="I44" i="118"/>
  <c r="J43" i="118"/>
  <c r="E26" i="125"/>
  <c r="C25" i="125"/>
  <c r="J26" i="125"/>
  <c r="K26" i="125" s="1"/>
  <c r="E20" i="82"/>
  <c r="C19" i="82"/>
  <c r="J20" i="82"/>
  <c r="K20" i="82" s="1"/>
  <c r="I46" i="79"/>
  <c r="J45" i="79"/>
  <c r="K42" i="41"/>
  <c r="DT26" i="2"/>
  <c r="E25" i="128"/>
  <c r="C24" i="128"/>
  <c r="J25" i="128"/>
  <c r="K25" i="128" s="1"/>
  <c r="E25" i="81"/>
  <c r="C24" i="81"/>
  <c r="J25" i="81"/>
  <c r="K25" i="81" s="1"/>
  <c r="HO27" i="2"/>
  <c r="I43" i="116"/>
  <c r="J42" i="116"/>
  <c r="J42" i="170"/>
  <c r="K41" i="170" s="1"/>
  <c r="I43" i="170"/>
  <c r="E25" i="144"/>
  <c r="C24" i="144"/>
  <c r="J25" i="144"/>
  <c r="K25" i="144" s="1"/>
  <c r="K44" i="59"/>
  <c r="K40" i="130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I45" i="89"/>
  <c r="J44" i="89"/>
  <c r="C24" i="118"/>
  <c r="E25" i="118"/>
  <c r="J25" i="118"/>
  <c r="K25" i="118" s="1"/>
  <c r="I44" i="41"/>
  <c r="J43" i="4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I44" i="37"/>
  <c r="J43" i="37"/>
  <c r="K42" i="37" s="1"/>
  <c r="K41" i="103"/>
  <c r="J42" i="39"/>
  <c r="I43" i="39"/>
  <c r="GH66" i="2"/>
  <c r="GI66" i="2"/>
  <c r="J42" i="4"/>
  <c r="I43" i="4"/>
  <c r="C24" i="110"/>
  <c r="E25" i="110"/>
  <c r="J25" i="110"/>
  <c r="K25" i="110" s="1"/>
  <c r="K43" i="89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K42" i="124"/>
  <c r="I45" i="117"/>
  <c r="J44" i="117"/>
  <c r="J42" i="103"/>
  <c r="I43" i="103"/>
  <c r="I42" i="38"/>
  <c r="J41" i="38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K40" i="38"/>
  <c r="C64" i="24"/>
  <c r="E65" i="24"/>
  <c r="GG65" i="2"/>
  <c r="BE65" i="1"/>
  <c r="C65" i="2"/>
  <c r="C65" i="1"/>
  <c r="I42" i="109"/>
  <c r="J41" i="109"/>
  <c r="E25" i="60"/>
  <c r="C24" i="60"/>
  <c r="J25" i="60"/>
  <c r="K25" i="60" s="1"/>
  <c r="C22" i="59"/>
  <c r="E23" i="59"/>
  <c r="J23" i="59"/>
  <c r="K23" i="59" s="1"/>
  <c r="I45" i="135"/>
  <c r="J44" i="135"/>
  <c r="I44" i="129"/>
  <c r="J43" i="129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E24" i="73"/>
  <c r="C23" i="73"/>
  <c r="J24" i="73"/>
  <c r="K24" i="73" s="1"/>
  <c r="CX27" i="2"/>
  <c r="E25" i="83"/>
  <c r="C24" i="83"/>
  <c r="J25" i="83"/>
  <c r="K25" i="83" s="1"/>
  <c r="I43" i="153"/>
  <c r="J42" i="153"/>
  <c r="K42" i="129"/>
  <c r="E25" i="25"/>
  <c r="C24" i="25"/>
  <c r="J25" i="25"/>
  <c r="K25" i="25" s="1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E25" i="74"/>
  <c r="C24" i="74"/>
  <c r="J25" i="74"/>
  <c r="K25" i="74" s="1"/>
  <c r="C23" i="115"/>
  <c r="E24" i="115"/>
  <c r="J24" i="115"/>
  <c r="K24" i="115" s="1"/>
  <c r="I42" i="148"/>
  <c r="J41" i="148"/>
  <c r="K40" i="148" s="1"/>
  <c r="J42" i="33"/>
  <c r="I43" i="33"/>
  <c r="C24" i="129"/>
  <c r="E25" i="129"/>
  <c r="J25" i="129"/>
  <c r="K25" i="129" s="1"/>
  <c r="DS25" i="2"/>
  <c r="E26" i="169"/>
  <c r="C25" i="169"/>
  <c r="J26" i="169"/>
  <c r="K26" i="169" s="1"/>
  <c r="I44" i="139"/>
  <c r="J43" i="139"/>
  <c r="I44" i="66"/>
  <c r="J43" i="66"/>
  <c r="K41" i="19"/>
  <c r="K40" i="141"/>
  <c r="C23" i="127"/>
  <c r="E24" i="127"/>
  <c r="J24" i="127"/>
  <c r="K24" i="127" s="1"/>
  <c r="C21" i="157"/>
  <c r="E22" i="157"/>
  <c r="J22" i="157"/>
  <c r="K22" i="157" s="1"/>
  <c r="C21" i="87"/>
  <c r="E22" i="87"/>
  <c r="J22" i="87"/>
  <c r="K22" i="87" s="1"/>
  <c r="J41" i="17"/>
  <c r="I42" i="17"/>
  <c r="E25" i="67"/>
  <c r="C24" i="67"/>
  <c r="J25" i="67"/>
  <c r="K25" i="67" s="1"/>
  <c r="I61" i="150"/>
  <c r="J60" i="150"/>
  <c r="K43" i="16"/>
  <c r="K41" i="33"/>
  <c r="C21" i="32"/>
  <c r="E22" i="32"/>
  <c r="J22" i="32"/>
  <c r="K22" i="32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K43" i="48"/>
  <c r="K59" i="150"/>
  <c r="I42" i="34"/>
  <c r="J41" i="34"/>
  <c r="I45" i="16"/>
  <c r="J44" i="16"/>
  <c r="I43" i="70"/>
  <c r="J42" i="70"/>
  <c r="K41" i="70" s="1"/>
  <c r="I43" i="123"/>
  <c r="J42" i="123"/>
  <c r="J46" i="46"/>
  <c r="I47" i="46"/>
  <c r="E23" i="34"/>
  <c r="C22" i="34"/>
  <c r="J23" i="34"/>
  <c r="K23" i="34" s="1"/>
  <c r="E24" i="120"/>
  <c r="C23" i="120"/>
  <c r="J24" i="120"/>
  <c r="K24" i="120" s="1"/>
  <c r="E24" i="62"/>
  <c r="C23" i="62"/>
  <c r="J24" i="62"/>
  <c r="K24" i="62" s="1"/>
  <c r="C24" i="113"/>
  <c r="E25" i="113"/>
  <c r="J25" i="113"/>
  <c r="K25" i="113" s="1"/>
  <c r="E23" i="102"/>
  <c r="C22" i="102"/>
  <c r="J23" i="102"/>
  <c r="K23" i="102" s="1"/>
  <c r="K41" i="49"/>
  <c r="I45" i="48"/>
  <c r="J44" i="48"/>
  <c r="K40" i="163"/>
  <c r="K40" i="34"/>
  <c r="I43" i="3"/>
  <c r="J42" i="3"/>
  <c r="I42" i="143"/>
  <c r="J41" i="143"/>
  <c r="C26" i="91"/>
  <c r="E27" i="91"/>
  <c r="J27" i="91"/>
  <c r="K27" i="91" s="1"/>
  <c r="E24" i="40"/>
  <c r="C23" i="40"/>
  <c r="J24" i="40"/>
  <c r="K24" i="40" s="1"/>
  <c r="K41" i="123"/>
  <c r="K41" i="52"/>
  <c r="I45" i="127"/>
  <c r="J44" i="127"/>
  <c r="K43" i="127" s="1"/>
  <c r="K45" i="46"/>
  <c r="E27" i="90"/>
  <c r="C26" i="90"/>
  <c r="J27" i="90"/>
  <c r="K27" i="90" s="1"/>
  <c r="K45" i="133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I43" i="49"/>
  <c r="K40" i="125"/>
  <c r="C24" i="18"/>
  <c r="E25" i="18"/>
  <c r="J25" i="18"/>
  <c r="K25" i="18" s="1"/>
  <c r="I42" i="163"/>
  <c r="J41" i="163"/>
  <c r="K43" i="59"/>
  <c r="K41" i="3"/>
  <c r="K40" i="143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GS28" i="2"/>
  <c r="E26" i="108"/>
  <c r="C25" i="108"/>
  <c r="J26" i="108"/>
  <c r="K26" i="108" s="1"/>
  <c r="I47" i="133"/>
  <c r="J46" i="133"/>
  <c r="E26" i="44"/>
  <c r="C25" i="44"/>
  <c r="J26" i="44"/>
  <c r="K26" i="44" s="1"/>
  <c r="I42" i="125"/>
  <c r="J41" i="125"/>
  <c r="C22" i="165"/>
  <c r="E23" i="165"/>
  <c r="J23" i="165"/>
  <c r="K23" i="165" s="1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K44" i="7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C23" i="85"/>
  <c r="E24" i="85"/>
  <c r="J24" i="85"/>
  <c r="K24" i="85" s="1"/>
  <c r="E26" i="13"/>
  <c r="C25" i="13"/>
  <c r="J26" i="13"/>
  <c r="K26" i="13" s="1"/>
  <c r="I45" i="152"/>
  <c r="J44" i="152"/>
  <c r="C25" i="36"/>
  <c r="E26" i="36"/>
  <c r="J26" i="36"/>
  <c r="K26" i="36" s="1"/>
  <c r="I47" i="75"/>
  <c r="J46" i="75"/>
  <c r="I46" i="71"/>
  <c r="J45" i="7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3" i="152"/>
  <c r="K40" i="153"/>
  <c r="K45" i="75"/>
  <c r="E27" i="14"/>
  <c r="C26" i="14"/>
  <c r="J27" i="14"/>
  <c r="K27" i="14" s="1"/>
  <c r="CB27" i="2"/>
  <c r="J42" i="88"/>
  <c r="I43" i="88"/>
  <c r="I42" i="140"/>
  <c r="J41" i="140"/>
  <c r="E25" i="161"/>
  <c r="C24" i="161"/>
  <c r="J25" i="161"/>
  <c r="K25" i="161" s="1"/>
  <c r="K40" i="43"/>
  <c r="DI27" i="2"/>
  <c r="K42" i="165"/>
  <c r="K42" i="157"/>
  <c r="J44" i="13"/>
  <c r="I45" i="13"/>
  <c r="K40" i="50"/>
  <c r="K42" i="135"/>
  <c r="E26" i="101"/>
  <c r="C25" i="101"/>
  <c r="J26" i="101"/>
  <c r="K26" i="101" s="1"/>
  <c r="K40" i="140"/>
  <c r="I43" i="54"/>
  <c r="J42" i="54"/>
  <c r="C19" i="98"/>
  <c r="E20" i="98"/>
  <c r="J20" i="98"/>
  <c r="K20" i="98" s="1"/>
  <c r="J41" i="43"/>
  <c r="I42" i="43"/>
  <c r="FA27" i="2"/>
  <c r="J43" i="157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K41" i="88"/>
  <c r="IK27" i="2"/>
  <c r="E27" i="27"/>
  <c r="C26" i="27"/>
  <c r="J27" i="27"/>
  <c r="K27" i="27" s="1"/>
  <c r="K43" i="71"/>
  <c r="J43" i="93"/>
  <c r="I44" i="93"/>
  <c r="I44" i="165"/>
  <c r="J43" i="165"/>
  <c r="E26" i="162"/>
  <c r="C25" i="162"/>
  <c r="J26" i="162"/>
  <c r="K26" i="162" s="1"/>
  <c r="E24" i="84"/>
  <c r="C23" i="84"/>
  <c r="J24" i="84"/>
  <c r="K24" i="84" s="1"/>
  <c r="C25" i="31"/>
  <c r="E26" i="31"/>
  <c r="J26" i="31"/>
  <c r="K26" i="31" s="1"/>
  <c r="I44" i="115"/>
  <c r="J43" i="115"/>
  <c r="E26" i="134"/>
  <c r="C25" i="134"/>
  <c r="EZ26" i="2"/>
  <c r="J26" i="134"/>
  <c r="K26" i="134" s="1"/>
  <c r="I45" i="136"/>
  <c r="J44" i="136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C22" i="43"/>
  <c r="E23" i="43"/>
  <c r="J23" i="43"/>
  <c r="K23" i="43" s="1"/>
  <c r="K45" i="145"/>
  <c r="E24" i="123"/>
  <c r="C23" i="123"/>
  <c r="J24" i="123"/>
  <c r="K24" i="123" s="1"/>
  <c r="C24" i="11"/>
  <c r="E25" i="11"/>
  <c r="J25" i="11"/>
  <c r="K25" i="11" s="1"/>
  <c r="K43" i="136"/>
  <c r="I44" i="30"/>
  <c r="J43" i="30"/>
  <c r="E24" i="26"/>
  <c r="C23" i="26"/>
  <c r="J24" i="26"/>
  <c r="K24" i="26" s="1"/>
  <c r="K39" i="38"/>
  <c r="J45" i="22"/>
  <c r="I46" i="22"/>
  <c r="K41" i="18"/>
  <c r="E24" i="72"/>
  <c r="C23" i="72"/>
  <c r="J24" i="72"/>
  <c r="K24" i="72" s="1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M26" i="2"/>
  <c r="J26" i="33"/>
  <c r="K26" i="33" s="1"/>
  <c r="E24" i="37"/>
  <c r="C23" i="37"/>
  <c r="J24" i="37"/>
  <c r="K24" i="37" s="1"/>
  <c r="E26" i="154"/>
  <c r="C25" i="154"/>
  <c r="J26" i="154"/>
  <c r="K26" i="154" s="1"/>
  <c r="IJ26" i="2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1" i="56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C23" i="168"/>
  <c r="E24" i="168"/>
  <c r="J24" i="168"/>
  <c r="K24" i="168" s="1"/>
  <c r="I44" i="63"/>
  <c r="J43" i="63"/>
  <c r="E26" i="80"/>
  <c r="C25" i="80"/>
  <c r="J26" i="80"/>
  <c r="K26" i="80" s="1"/>
  <c r="J42" i="56"/>
  <c r="I43" i="56"/>
  <c r="J46" i="134"/>
  <c r="K45" i="134" s="1"/>
  <c r="I47" i="134"/>
  <c r="I42" i="95"/>
  <c r="J41" i="95"/>
  <c r="K40" i="95" s="1"/>
  <c r="E27" i="143"/>
  <c r="C26" i="143"/>
  <c r="J27" i="143"/>
  <c r="K27" i="143" s="1"/>
  <c r="E25" i="150"/>
  <c r="C24" i="150"/>
  <c r="J25" i="150"/>
  <c r="K25" i="150" s="1"/>
  <c r="K40" i="160"/>
  <c r="I43" i="57"/>
  <c r="J42" i="57"/>
  <c r="AJ28" i="1"/>
  <c r="C25" i="117"/>
  <c r="E26" i="117"/>
  <c r="J26" i="117"/>
  <c r="K26" i="117" s="1"/>
  <c r="E27" i="6"/>
  <c r="CA27" i="1"/>
  <c r="C26" i="6"/>
  <c r="K43" i="9"/>
  <c r="K41" i="162"/>
  <c r="K39" i="43"/>
  <c r="K43" i="51"/>
  <c r="E27" i="55"/>
  <c r="C26" i="55"/>
  <c r="J27" i="55"/>
  <c r="K27" i="55" s="1"/>
  <c r="I43" i="162"/>
  <c r="J42" i="162"/>
  <c r="K40" i="170"/>
  <c r="I43" i="151"/>
  <c r="J42" i="151"/>
  <c r="K41" i="151" s="1"/>
  <c r="I44" i="83"/>
  <c r="J43" i="83"/>
  <c r="E25" i="130"/>
  <c r="C24" i="130"/>
  <c r="J25" i="130"/>
  <c r="K25" i="130" s="1"/>
  <c r="E23" i="105"/>
  <c r="C22" i="105"/>
  <c r="J23" i="105"/>
  <c r="K23" i="105" s="1"/>
  <c r="J41" i="36"/>
  <c r="I42" i="36"/>
  <c r="I42" i="160"/>
  <c r="J41" i="160"/>
  <c r="K41" i="57"/>
  <c r="E25" i="139"/>
  <c r="C24" i="139"/>
  <c r="J25" i="139"/>
  <c r="K25" i="139" s="1"/>
  <c r="J45" i="94"/>
  <c r="I46" i="94"/>
  <c r="J44" i="78"/>
  <c r="I45" i="78"/>
  <c r="Y28" i="2"/>
  <c r="K41" i="84"/>
  <c r="I43" i="161"/>
  <c r="J42" i="161"/>
  <c r="I44" i="158"/>
  <c r="J43" i="158"/>
  <c r="J44" i="51"/>
  <c r="I45" i="51"/>
  <c r="K41" i="111"/>
  <c r="I42" i="96"/>
  <c r="J41" i="96"/>
  <c r="E24" i="106"/>
  <c r="C23" i="106"/>
  <c r="J24" i="106"/>
  <c r="K24" i="106" s="1"/>
  <c r="I43" i="20"/>
  <c r="J42" i="20"/>
  <c r="J43" i="149"/>
  <c r="I44" i="149"/>
  <c r="K42" i="83"/>
  <c r="K44" i="15"/>
  <c r="K42" i="98"/>
  <c r="IV27" i="2"/>
  <c r="E24" i="171"/>
  <c r="C23" i="171"/>
  <c r="J24" i="171"/>
  <c r="K24" i="171" s="1"/>
  <c r="I43" i="84"/>
  <c r="J42" i="84"/>
  <c r="K42" i="117"/>
  <c r="C24" i="148"/>
  <c r="E25" i="148"/>
  <c r="J25" i="148"/>
  <c r="K25" i="148" s="1"/>
  <c r="I43" i="111"/>
  <c r="J42" i="11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E23" i="45"/>
  <c r="C22" i="45"/>
  <c r="J23" i="45"/>
  <c r="K23" i="45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J41" i="58"/>
  <c r="I42" i="58"/>
  <c r="C24" i="103"/>
  <c r="E25" i="103"/>
  <c r="J25" i="103"/>
  <c r="K25" i="103" s="1"/>
  <c r="E24" i="159"/>
  <c r="C23" i="159"/>
  <c r="J24" i="159"/>
  <c r="K24" i="159" s="1"/>
  <c r="I47" i="12"/>
  <c r="J46" i="12"/>
  <c r="K45" i="12" s="1"/>
  <c r="C24" i="104"/>
  <c r="E25" i="104"/>
  <c r="J25" i="104"/>
  <c r="K25" i="104" s="1"/>
  <c r="C21" i="156"/>
  <c r="E22" i="156"/>
  <c r="J22" i="156"/>
  <c r="K22" i="156" s="1"/>
  <c r="C23" i="69"/>
  <c r="E24" i="69"/>
  <c r="J24" i="69"/>
  <c r="K24" i="69" s="1"/>
  <c r="K40" i="110"/>
  <c r="I43" i="80"/>
  <c r="J42" i="80"/>
  <c r="E24" i="61"/>
  <c r="C23" i="61"/>
  <c r="J24" i="61"/>
  <c r="K24" i="61" s="1"/>
  <c r="I42" i="47"/>
  <c r="J41" i="47"/>
  <c r="E26" i="132"/>
  <c r="C25" i="132"/>
  <c r="J26" i="132"/>
  <c r="K26" i="132" s="1"/>
  <c r="K39" i="110"/>
  <c r="K41" i="54"/>
  <c r="K40" i="58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"/>
  <c r="K40" i="47"/>
  <c r="K40" i="131"/>
  <c r="K42" i="139"/>
  <c r="K40" i="147"/>
  <c r="K40" i="166"/>
  <c r="N28" i="2"/>
  <c r="K41" i="87"/>
  <c r="K40" i="87"/>
  <c r="AU28" i="1"/>
  <c r="J43" i="28"/>
  <c r="K42" i="28" s="1"/>
  <c r="I44" i="28"/>
  <c r="K44" i="32"/>
  <c r="K41" i="155"/>
  <c r="K40" i="111"/>
  <c r="C24" i="64"/>
  <c r="E25" i="64"/>
  <c r="J25" i="64"/>
  <c r="K25" i="64" s="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K41" i="97"/>
  <c r="C25" i="164"/>
  <c r="E26" i="164"/>
  <c r="J26" i="164"/>
  <c r="K26" i="164" s="1"/>
  <c r="J41" i="105"/>
  <c r="I42" i="105"/>
  <c r="E26" i="23"/>
  <c r="C25" i="23"/>
  <c r="J26" i="23"/>
  <c r="K26" i="23" s="1"/>
  <c r="J42" i="87"/>
  <c r="I43" i="87"/>
  <c r="E27" i="7"/>
  <c r="C26" i="7"/>
  <c r="AT27" i="1"/>
  <c r="J27" i="7"/>
  <c r="K27" i="7" s="1"/>
  <c r="I46" i="32"/>
  <c r="J45" i="32"/>
  <c r="J42" i="155"/>
  <c r="I43" i="155"/>
  <c r="C22" i="160"/>
  <c r="E23" i="160"/>
  <c r="J23" i="160"/>
  <c r="K23" i="160" s="1"/>
  <c r="C26" i="174"/>
  <c r="HY26" i="2" s="1"/>
  <c r="E27" i="174"/>
  <c r="J27" i="174"/>
  <c r="K27" i="174" s="1"/>
  <c r="J45" i="82"/>
  <c r="I46" i="82"/>
  <c r="J46" i="61"/>
  <c r="K45" i="61" s="1"/>
  <c r="I47" i="61"/>
  <c r="C24" i="16"/>
  <c r="E25" i="16"/>
  <c r="J25" i="16"/>
  <c r="K25" i="16" s="1"/>
  <c r="BQ28" i="1"/>
  <c r="K45" i="7"/>
  <c r="N27" i="2"/>
  <c r="J42" i="97"/>
  <c r="I43" i="97"/>
  <c r="K40" i="105"/>
  <c r="E24" i="173"/>
  <c r="C23" i="173"/>
  <c r="J24" i="173"/>
  <c r="K24" i="173" s="1"/>
  <c r="E24" i="86"/>
  <c r="C23" i="86"/>
  <c r="J24" i="86"/>
  <c r="K24" i="86" s="1"/>
  <c r="I42" i="69"/>
  <c r="J41" i="69"/>
  <c r="E24" i="149"/>
  <c r="C23" i="149"/>
  <c r="J24" i="149"/>
  <c r="K24" i="149" s="1"/>
  <c r="EO27" i="2"/>
  <c r="C25" i="114"/>
  <c r="E26" i="114"/>
  <c r="J26" i="114"/>
  <c r="K26" i="114" s="1"/>
  <c r="I43" i="76"/>
  <c r="J42" i="76"/>
  <c r="K44" i="82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E25" i="99"/>
  <c r="C24" i="99"/>
  <c r="J25" i="99"/>
  <c r="K25" i="99" s="1"/>
  <c r="C26" i="53"/>
  <c r="E27" i="53"/>
  <c r="J27" i="53"/>
  <c r="K27" i="53" s="1"/>
  <c r="K42" i="115"/>
  <c r="I42" i="147"/>
  <c r="J41" i="147"/>
  <c r="C25" i="63"/>
  <c r="E26" i="63"/>
  <c r="J26" i="63"/>
  <c r="K26" i="63" s="1"/>
  <c r="K41" i="86"/>
  <c r="K41" i="68"/>
  <c r="K40" i="69"/>
  <c r="E25" i="19"/>
  <c r="C24" i="19"/>
  <c r="J25" i="19"/>
  <c r="K25" i="19" s="1"/>
  <c r="K40" i="54"/>
  <c r="I42" i="146"/>
  <c r="J41" i="146"/>
  <c r="I45" i="172"/>
  <c r="J44" i="172"/>
  <c r="K40" i="174"/>
  <c r="AU28" i="2"/>
  <c r="K40" i="162"/>
  <c r="K42" i="159"/>
  <c r="K40" i="116"/>
  <c r="I46" i="42"/>
  <c r="J45" i="42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K43" i="172"/>
  <c r="I42" i="174"/>
  <c r="J41" i="174"/>
  <c r="E26" i="41"/>
  <c r="C25" i="41"/>
  <c r="J26" i="41"/>
  <c r="K26" i="41" s="1"/>
  <c r="K40" i="112"/>
  <c r="J43" i="159"/>
  <c r="I44" i="159"/>
  <c r="K44" i="42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K43" i="122"/>
  <c r="C26" i="50"/>
  <c r="E27" i="50"/>
  <c r="AT27" i="2"/>
  <c r="J27" i="50"/>
  <c r="K27" i="50" s="1"/>
  <c r="K40" i="155"/>
  <c r="I42" i="112"/>
  <c r="J41" i="112"/>
  <c r="E22" i="146"/>
  <c r="C21" i="146"/>
  <c r="J22" i="146"/>
  <c r="K22" i="146" s="1"/>
  <c r="K42" i="92"/>
  <c r="K41" i="92"/>
  <c r="E24" i="51"/>
  <c r="C23" i="51"/>
  <c r="J24" i="51"/>
  <c r="K24" i="51" s="1"/>
  <c r="K39" i="95"/>
  <c r="E25" i="22"/>
  <c r="C24" i="22"/>
  <c r="J25" i="22"/>
  <c r="K25" i="22" s="1"/>
  <c r="C21" i="138"/>
  <c r="E22" i="138"/>
  <c r="J22" i="138"/>
  <c r="K22" i="138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FK26" i="2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K42" i="118"/>
  <c r="I43" i="67"/>
  <c r="J42" i="67"/>
  <c r="K39" i="36"/>
  <c r="I42" i="120"/>
  <c r="J41" i="120"/>
  <c r="E27" i="29"/>
  <c r="C26" i="29"/>
  <c r="J27" i="29"/>
  <c r="K27" i="29" s="1"/>
  <c r="X27" i="1"/>
  <c r="AI27" i="1"/>
  <c r="CB26" i="2" l="1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K42" i="169"/>
  <c r="J44" i="165"/>
  <c r="I45" i="165"/>
  <c r="K43" i="18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I44" i="50"/>
  <c r="C22" i="69"/>
  <c r="E23" i="69"/>
  <c r="J23" i="69"/>
  <c r="K23" i="69" s="1"/>
  <c r="I44" i="169"/>
  <c r="J43" i="169"/>
  <c r="I47" i="94"/>
  <c r="J46" i="94"/>
  <c r="I45" i="63"/>
  <c r="J44" i="63"/>
  <c r="K43" i="63" s="1"/>
  <c r="E23" i="72"/>
  <c r="C22" i="72"/>
  <c r="J23" i="72"/>
  <c r="K23" i="72" s="1"/>
  <c r="J44" i="93"/>
  <c r="I45" i="93"/>
  <c r="I45" i="18"/>
  <c r="J44" i="18"/>
  <c r="K41" i="140"/>
  <c r="I48" i="75"/>
  <c r="J47" i="75"/>
  <c r="K41" i="65"/>
  <c r="C21" i="59"/>
  <c r="E22" i="59"/>
  <c r="J22" i="59"/>
  <c r="K22" i="59" s="1"/>
  <c r="J42" i="38"/>
  <c r="I43" i="38"/>
  <c r="K41" i="120"/>
  <c r="K43" i="92"/>
  <c r="K41" i="121"/>
  <c r="I48" i="15"/>
  <c r="J47" i="15"/>
  <c r="E23" i="171"/>
  <c r="C22" i="171"/>
  <c r="J23" i="171"/>
  <c r="K23" i="171" s="1"/>
  <c r="K45" i="94"/>
  <c r="J45" i="29"/>
  <c r="K44" i="29" s="1"/>
  <c r="I46" i="29"/>
  <c r="K43" i="93"/>
  <c r="I45" i="157"/>
  <c r="J44" i="157"/>
  <c r="I43" i="140"/>
  <c r="J42" i="140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1" i="138"/>
  <c r="C20" i="138"/>
  <c r="J21" i="138"/>
  <c r="K21" i="138" s="1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K46" i="15"/>
  <c r="E26" i="6"/>
  <c r="C25" i="6"/>
  <c r="CA26" i="1"/>
  <c r="IU26" i="2"/>
  <c r="C24" i="122"/>
  <c r="E25" i="122"/>
  <c r="J25" i="122"/>
  <c r="K25" i="122" s="1"/>
  <c r="K43" i="157"/>
  <c r="I44" i="88"/>
  <c r="J43" i="88"/>
  <c r="K41" i="81"/>
  <c r="C24" i="151"/>
  <c r="E25" i="151"/>
  <c r="J25" i="151"/>
  <c r="K25" i="151" s="1"/>
  <c r="E24" i="60"/>
  <c r="C23" i="60"/>
  <c r="J24" i="60"/>
  <c r="K24" i="60" s="1"/>
  <c r="I44" i="39"/>
  <c r="J43" i="39"/>
  <c r="E25" i="78"/>
  <c r="C24" i="78"/>
  <c r="J25" i="78"/>
  <c r="K25" i="78" s="1"/>
  <c r="E24" i="75"/>
  <c r="C23" i="75"/>
  <c r="J24" i="75"/>
  <c r="K24" i="75" s="1"/>
  <c r="I43" i="69"/>
  <c r="J42" i="69"/>
  <c r="E24" i="64"/>
  <c r="C23" i="64"/>
  <c r="J24" i="64"/>
  <c r="K24" i="64" s="1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C20" i="156"/>
  <c r="E21" i="156"/>
  <c r="J21" i="156"/>
  <c r="K21" i="156" s="1"/>
  <c r="E24" i="139"/>
  <c r="C23" i="139"/>
  <c r="J24" i="139"/>
  <c r="K24" i="139" s="1"/>
  <c r="CB27" i="1"/>
  <c r="E23" i="168"/>
  <c r="C22" i="168"/>
  <c r="J23" i="168"/>
  <c r="K23" i="168" s="1"/>
  <c r="J46" i="22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K42" i="39"/>
  <c r="C18" i="82"/>
  <c r="E19" i="82"/>
  <c r="J19" i="82"/>
  <c r="K19" i="82" s="1"/>
  <c r="E24" i="22"/>
  <c r="C23" i="22"/>
  <c r="J24" i="22"/>
  <c r="K24" i="22" s="1"/>
  <c r="K44" i="122"/>
  <c r="I48" i="7"/>
  <c r="J47" i="7"/>
  <c r="AU27" i="1"/>
  <c r="K43" i="72"/>
  <c r="K45" i="22"/>
  <c r="E26" i="27"/>
  <c r="C25" i="27"/>
  <c r="J26" i="27"/>
  <c r="K26" i="27" s="1"/>
  <c r="K44" i="152"/>
  <c r="K42" i="52"/>
  <c r="K43" i="139"/>
  <c r="K41" i="141"/>
  <c r="C22" i="73"/>
  <c r="E23" i="73"/>
  <c r="J23" i="73"/>
  <c r="K23" i="73" s="1"/>
  <c r="I45" i="72"/>
  <c r="J44" i="72"/>
  <c r="I43" i="43"/>
  <c r="J42" i="43"/>
  <c r="K41" i="43" s="1"/>
  <c r="J45" i="152"/>
  <c r="I46" i="152"/>
  <c r="E24" i="68"/>
  <c r="C23" i="68"/>
  <c r="J24" i="68"/>
  <c r="K24" i="68" s="1"/>
  <c r="J43" i="52"/>
  <c r="I44" i="52"/>
  <c r="C24" i="76"/>
  <c r="E25" i="76"/>
  <c r="J25" i="76"/>
  <c r="K25" i="76" s="1"/>
  <c r="J44" i="139"/>
  <c r="I45" i="139"/>
  <c r="I43" i="141"/>
  <c r="J42" i="141"/>
  <c r="J42" i="109"/>
  <c r="I43" i="109"/>
  <c r="I46" i="117"/>
  <c r="J45" i="117"/>
  <c r="K41" i="130"/>
  <c r="E26" i="7"/>
  <c r="C25" i="7"/>
  <c r="AT26" i="1"/>
  <c r="J26" i="7"/>
  <c r="K26" i="7" s="1"/>
  <c r="E24" i="17"/>
  <c r="C23" i="17"/>
  <c r="J24" i="17"/>
  <c r="K24" i="17" s="1"/>
  <c r="BQ27" i="1"/>
  <c r="C22" i="173"/>
  <c r="E23" i="173"/>
  <c r="J23" i="173"/>
  <c r="K23" i="173" s="1"/>
  <c r="I45" i="28"/>
  <c r="J44" i="28"/>
  <c r="C23" i="104"/>
  <c r="E24" i="104"/>
  <c r="J24" i="104"/>
  <c r="K24" i="104" s="1"/>
  <c r="K41" i="160"/>
  <c r="E24" i="126"/>
  <c r="C23" i="126"/>
  <c r="J24" i="126"/>
  <c r="K24" i="126" s="1"/>
  <c r="K43" i="29"/>
  <c r="E25" i="133"/>
  <c r="C24" i="133"/>
  <c r="J25" i="133"/>
  <c r="K25" i="133" s="1"/>
  <c r="DH25" i="2"/>
  <c r="E22" i="102"/>
  <c r="C21" i="102"/>
  <c r="J22" i="102"/>
  <c r="K22" i="102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IU25" i="2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K43" i="124"/>
  <c r="I46" i="101"/>
  <c r="J45" i="101"/>
  <c r="K44" i="101" s="1"/>
  <c r="K46" i="12"/>
  <c r="J43" i="21"/>
  <c r="I44" i="21"/>
  <c r="I43" i="36"/>
  <c r="J42" i="36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J44" i="124"/>
  <c r="I45" i="124"/>
  <c r="K43" i="118"/>
  <c r="I47" i="59"/>
  <c r="J46" i="59"/>
  <c r="I44" i="97"/>
  <c r="J43" i="97"/>
  <c r="J47" i="12"/>
  <c r="I48" i="12"/>
  <c r="K41" i="36"/>
  <c r="CM27" i="2"/>
  <c r="C24" i="154"/>
  <c r="E25" i="154"/>
  <c r="J25" i="154"/>
  <c r="K25" i="154" s="1"/>
  <c r="IJ25" i="2"/>
  <c r="K41" i="171"/>
  <c r="C18" i="98"/>
  <c r="E19" i="98"/>
  <c r="J19" i="98"/>
  <c r="K19" i="98" s="1"/>
  <c r="E26" i="93"/>
  <c r="C25" i="93"/>
  <c r="J26" i="93"/>
  <c r="K26" i="93" s="1"/>
  <c r="J42" i="8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K42" i="85"/>
  <c r="J44" i="118"/>
  <c r="I45" i="118"/>
  <c r="C25" i="8"/>
  <c r="E26" i="8"/>
  <c r="HC26" i="2"/>
  <c r="BP26" i="1"/>
  <c r="J26" i="8"/>
  <c r="K26" i="8" s="1"/>
  <c r="E25" i="79"/>
  <c r="C24" i="79"/>
  <c r="J25" i="79"/>
  <c r="K25" i="79" s="1"/>
  <c r="K44" i="156"/>
  <c r="I46" i="156"/>
  <c r="J45" i="156"/>
  <c r="K41" i="174"/>
  <c r="E25" i="23"/>
  <c r="C24" i="23"/>
  <c r="J25" i="23"/>
  <c r="K25" i="23" s="1"/>
  <c r="N27" i="1"/>
  <c r="E22" i="45"/>
  <c r="C21" i="45"/>
  <c r="J22" i="45"/>
  <c r="K22" i="45" s="1"/>
  <c r="K44" i="94"/>
  <c r="K43" i="30"/>
  <c r="K44" i="136"/>
  <c r="I43" i="171"/>
  <c r="J42" i="171"/>
  <c r="K42" i="54"/>
  <c r="K41" i="8"/>
  <c r="C25" i="90"/>
  <c r="E26" i="90"/>
  <c r="J26" i="90"/>
  <c r="K26" i="90" s="1"/>
  <c r="C23" i="66"/>
  <c r="E24" i="66"/>
  <c r="J24" i="66"/>
  <c r="K24" i="66" s="1"/>
  <c r="Y27" i="2"/>
  <c r="J44" i="149"/>
  <c r="I45" i="149"/>
  <c r="E22" i="105"/>
  <c r="C21" i="105"/>
  <c r="J22" i="105"/>
  <c r="K22" i="105" s="1"/>
  <c r="K43" i="173"/>
  <c r="I45" i="30"/>
  <c r="J44" i="30"/>
  <c r="I46" i="136"/>
  <c r="J45" i="136"/>
  <c r="J43" i="54"/>
  <c r="I44" i="54"/>
  <c r="K44" i="62"/>
  <c r="C23" i="113"/>
  <c r="E24" i="113"/>
  <c r="J24" i="113"/>
  <c r="K24" i="113" s="1"/>
  <c r="DT25" i="2"/>
  <c r="K42" i="66"/>
  <c r="E64" i="24"/>
  <c r="C63" i="24"/>
  <c r="GG64" i="2"/>
  <c r="BE64" i="1"/>
  <c r="C64" i="2"/>
  <c r="C64" i="1"/>
  <c r="K41" i="39"/>
  <c r="K43" i="149"/>
  <c r="J44" i="173"/>
  <c r="I45" i="173"/>
  <c r="E23" i="37"/>
  <c r="C22" i="37"/>
  <c r="J23" i="37"/>
  <c r="K23" i="37" s="1"/>
  <c r="K43" i="99"/>
  <c r="I46" i="62"/>
  <c r="J45" i="62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I45" i="99"/>
  <c r="E23" i="62"/>
  <c r="C22" i="62"/>
  <c r="J23" i="62"/>
  <c r="K23" i="62" s="1"/>
  <c r="E21" i="32"/>
  <c r="C20" i="32"/>
  <c r="J21" i="32"/>
  <c r="K21" i="32" s="1"/>
  <c r="E22" i="111"/>
  <c r="C21" i="111"/>
  <c r="J22" i="111"/>
  <c r="K22" i="111" s="1"/>
  <c r="K44" i="164"/>
  <c r="K41" i="85"/>
  <c r="C23" i="112"/>
  <c r="E24" i="112"/>
  <c r="J24" i="112"/>
  <c r="K24" i="112" s="1"/>
  <c r="E23" i="159"/>
  <c r="C22" i="159"/>
  <c r="J23" i="159"/>
  <c r="K23" i="159" s="1"/>
  <c r="J43" i="20"/>
  <c r="K42" i="20" s="1"/>
  <c r="I44" i="20"/>
  <c r="E24" i="130"/>
  <c r="C23" i="130"/>
  <c r="J24" i="130"/>
  <c r="K24" i="130" s="1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E23" i="85"/>
  <c r="C22" i="85"/>
  <c r="J23" i="85"/>
  <c r="K23" i="85" s="1"/>
  <c r="I44" i="31"/>
  <c r="J43" i="31"/>
  <c r="J45" i="127"/>
  <c r="I46" i="127"/>
  <c r="E24" i="129"/>
  <c r="C23" i="129"/>
  <c r="J24" i="129"/>
  <c r="K24" i="129" s="1"/>
  <c r="DS24" i="2"/>
  <c r="J45" i="164"/>
  <c r="I46" i="164"/>
  <c r="C24" i="96"/>
  <c r="E25" i="96"/>
  <c r="J25" i="96"/>
  <c r="K25" i="96" s="1"/>
  <c r="E24" i="144"/>
  <c r="C23" i="144"/>
  <c r="J24" i="144"/>
  <c r="K24" i="144" s="1"/>
  <c r="C24" i="145"/>
  <c r="CW24" i="2" s="1"/>
  <c r="E25" i="145"/>
  <c r="J25" i="145"/>
  <c r="K25" i="145" s="1"/>
  <c r="K42" i="73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C23" i="103"/>
  <c r="E24" i="103"/>
  <c r="J24" i="103"/>
  <c r="K24" i="103" s="1"/>
  <c r="C22" i="106"/>
  <c r="E23" i="106"/>
  <c r="J23" i="106"/>
  <c r="K23" i="106" s="1"/>
  <c r="K43" i="83"/>
  <c r="C23" i="150"/>
  <c r="E24" i="150"/>
  <c r="J24" i="150"/>
  <c r="K24" i="150" s="1"/>
  <c r="J43" i="73"/>
  <c r="I44" i="73"/>
  <c r="C22" i="120"/>
  <c r="E23" i="120"/>
  <c r="J23" i="120"/>
  <c r="K23" i="120" s="1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I43" i="58"/>
  <c r="J44" i="83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1" i="148"/>
  <c r="K43" i="25"/>
  <c r="K43" i="117"/>
  <c r="K43" i="98"/>
  <c r="C20" i="146"/>
  <c r="E21" i="146"/>
  <c r="J21" i="146"/>
  <c r="K21" i="146" s="1"/>
  <c r="K41" i="105"/>
  <c r="K41" i="108"/>
  <c r="E25" i="132"/>
  <c r="C24" i="132"/>
  <c r="J25" i="132"/>
  <c r="K25" i="132" s="1"/>
  <c r="K41" i="58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I45" i="25"/>
  <c r="J44" i="25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3" i="68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K43" i="4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C21" i="165"/>
  <c r="E22" i="165"/>
  <c r="J22" i="165"/>
  <c r="K22" i="165" s="1"/>
  <c r="E24" i="25"/>
  <c r="C23" i="25"/>
  <c r="J24" i="25"/>
  <c r="K24" i="25" s="1"/>
  <c r="E25" i="89"/>
  <c r="C24" i="89"/>
  <c r="J25" i="89"/>
  <c r="K25" i="89" s="1"/>
  <c r="C25" i="170"/>
  <c r="E26" i="170"/>
  <c r="J26" i="170"/>
  <c r="K26" i="170" s="1"/>
  <c r="J44" i="41"/>
  <c r="I45" i="41"/>
  <c r="E23" i="51"/>
  <c r="C22" i="51"/>
  <c r="J23" i="51"/>
  <c r="K23" i="51" s="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CA25" i="2" s="1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E25" i="119"/>
  <c r="C24" i="119"/>
  <c r="J25" i="119"/>
  <c r="K25" i="119" s="1"/>
  <c r="K41" i="95"/>
  <c r="K42" i="5"/>
  <c r="C23" i="65"/>
  <c r="E24" i="65"/>
  <c r="J24" i="65"/>
  <c r="K24" i="65" s="1"/>
  <c r="K40" i="8"/>
  <c r="I48" i="46"/>
  <c r="J47" i="46"/>
  <c r="I43" i="17"/>
  <c r="J42" i="17"/>
  <c r="E23" i="115"/>
  <c r="C22" i="115"/>
  <c r="J23" i="115"/>
  <c r="K23" i="115" s="1"/>
  <c r="J42" i="100"/>
  <c r="I43" i="100"/>
  <c r="E25" i="35"/>
  <c r="C24" i="35"/>
  <c r="J25" i="35"/>
  <c r="K25" i="35" s="1"/>
  <c r="K45" i="15"/>
  <c r="K41" i="146"/>
  <c r="J43" i="57"/>
  <c r="K42" i="57" s="1"/>
  <c r="I44" i="57"/>
  <c r="EO26" i="2"/>
  <c r="I47" i="82"/>
  <c r="J46" i="82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5" i="82"/>
  <c r="K41" i="110"/>
  <c r="K40" i="40"/>
  <c r="K41" i="20"/>
  <c r="K42" i="63"/>
  <c r="I43" i="95"/>
  <c r="J42" i="95"/>
  <c r="I44" i="5"/>
  <c r="J43" i="5"/>
  <c r="E25" i="31"/>
  <c r="C24" i="31"/>
  <c r="J25" i="31"/>
  <c r="K25" i="31" s="1"/>
  <c r="K44" i="27"/>
  <c r="AI26" i="2"/>
  <c r="J42" i="125"/>
  <c r="I43" i="125"/>
  <c r="K43" i="62"/>
  <c r="K46" i="46"/>
  <c r="K41" i="17"/>
  <c r="E24" i="167"/>
  <c r="C23" i="167"/>
  <c r="J24" i="167"/>
  <c r="K24" i="167" s="1"/>
  <c r="K42" i="76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2" i="173"/>
  <c r="E22" i="43"/>
  <c r="C21" i="43"/>
  <c r="J22" i="43"/>
  <c r="K22" i="43" s="1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K42" i="123"/>
  <c r="C23" i="74"/>
  <c r="E24" i="74"/>
  <c r="J24" i="74"/>
  <c r="K24" i="74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C22" i="61"/>
  <c r="E23" i="61"/>
  <c r="J23" i="61"/>
  <c r="K23" i="61" s="1"/>
  <c r="K46" i="134"/>
  <c r="K42" i="126"/>
  <c r="C22" i="84"/>
  <c r="E23" i="84"/>
  <c r="J23" i="84"/>
  <c r="K23" i="84" s="1"/>
  <c r="K41" i="126"/>
  <c r="J43" i="123"/>
  <c r="I44" i="123"/>
  <c r="K42" i="153"/>
  <c r="I45" i="10"/>
  <c r="J44" i="10"/>
  <c r="K43" i="10" s="1"/>
  <c r="I45" i="44"/>
  <c r="J44" i="44"/>
  <c r="E24" i="118"/>
  <c r="C23" i="118"/>
  <c r="J24" i="118"/>
  <c r="K24" i="118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CL25" i="2"/>
  <c r="E25" i="114"/>
  <c r="C24" i="114"/>
  <c r="J25" i="114"/>
  <c r="K25" i="114" s="1"/>
  <c r="J45" i="142"/>
  <c r="I46" i="142"/>
  <c r="J42" i="91"/>
  <c r="I43" i="91"/>
  <c r="J43" i="56"/>
  <c r="I44" i="56"/>
  <c r="C23" i="5"/>
  <c r="E24" i="5"/>
  <c r="J24" i="5"/>
  <c r="K24" i="5" s="1"/>
  <c r="J43" i="126"/>
  <c r="I44" i="126"/>
  <c r="I44" i="131"/>
  <c r="J43" i="131"/>
  <c r="K42" i="131" s="1"/>
  <c r="K42" i="93"/>
  <c r="C24" i="44"/>
  <c r="E25" i="44"/>
  <c r="J25" i="44"/>
  <c r="K25" i="44" s="1"/>
  <c r="J43" i="49"/>
  <c r="I44" i="49"/>
  <c r="C20" i="87"/>
  <c r="E21" i="87"/>
  <c r="J21" i="87"/>
  <c r="K21" i="87" s="1"/>
  <c r="I44" i="153"/>
  <c r="J43" i="153"/>
  <c r="K43" i="129"/>
  <c r="K40" i="109"/>
  <c r="K43" i="44"/>
  <c r="K41" i="119"/>
  <c r="J42" i="105"/>
  <c r="I43" i="105"/>
  <c r="I43" i="146"/>
  <c r="J42" i="146"/>
  <c r="E25" i="21"/>
  <c r="C24" i="21"/>
  <c r="J25" i="21"/>
  <c r="K25" i="21" s="1"/>
  <c r="E25" i="88"/>
  <c r="C24" i="88"/>
  <c r="J25" i="88"/>
  <c r="K25" i="88" s="1"/>
  <c r="K42" i="80"/>
  <c r="I46" i="132"/>
  <c r="J45" i="132"/>
  <c r="J43" i="161"/>
  <c r="I44" i="161"/>
  <c r="C25" i="55"/>
  <c r="E26" i="55"/>
  <c r="J26" i="55"/>
  <c r="K26" i="55" s="1"/>
  <c r="K42" i="56"/>
  <c r="K41" i="104"/>
  <c r="K43" i="78"/>
  <c r="EE27" i="2"/>
  <c r="K42" i="49"/>
  <c r="E26" i="91"/>
  <c r="C25" i="91"/>
  <c r="J26" i="91"/>
  <c r="K26" i="91" s="1"/>
  <c r="I44" i="70"/>
  <c r="J43" i="70"/>
  <c r="K42" i="70" s="1"/>
  <c r="I45" i="129"/>
  <c r="J44" i="129"/>
  <c r="K41" i="4"/>
  <c r="K44" i="79"/>
  <c r="E24" i="128"/>
  <c r="C23" i="128"/>
  <c r="J24" i="128"/>
  <c r="K24" i="128" s="1"/>
  <c r="K42" i="138"/>
  <c r="K44" i="142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I44" i="80"/>
  <c r="K44" i="132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K46" i="133"/>
  <c r="J42" i="143"/>
  <c r="I43" i="143"/>
  <c r="I46" i="16"/>
  <c r="J45" i="16"/>
  <c r="E21" i="157"/>
  <c r="C20" i="157"/>
  <c r="J21" i="157"/>
  <c r="K21" i="157" s="1"/>
  <c r="FW27" i="2"/>
  <c r="E24" i="83"/>
  <c r="C23" i="83"/>
  <c r="J24" i="83"/>
  <c r="K24" i="83" s="1"/>
  <c r="K44" i="89"/>
  <c r="K41" i="114"/>
  <c r="I44" i="108"/>
  <c r="J43" i="108"/>
  <c r="K41" i="91"/>
  <c r="AJ27" i="1"/>
  <c r="K40" i="55"/>
  <c r="E23" i="149"/>
  <c r="C22" i="149"/>
  <c r="J23" i="149"/>
  <c r="K23" i="149" s="1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I48" i="133"/>
  <c r="K42" i="3"/>
  <c r="J45" i="135"/>
  <c r="K44" i="135" s="1"/>
  <c r="I46" i="135"/>
  <c r="E24" i="110"/>
  <c r="C23" i="110"/>
  <c r="J24" i="110"/>
  <c r="K24" i="110" s="1"/>
  <c r="I46" i="89"/>
  <c r="J45" i="89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C21" i="160"/>
  <c r="E22" i="160"/>
  <c r="J22" i="160"/>
  <c r="K22" i="160" s="1"/>
  <c r="J43" i="84"/>
  <c r="I44" i="84"/>
  <c r="I46" i="78"/>
  <c r="J45" i="78"/>
  <c r="K44" i="78" s="1"/>
  <c r="J45" i="9"/>
  <c r="K44" i="9" s="1"/>
  <c r="I46" i="9"/>
  <c r="K44" i="22"/>
  <c r="K43" i="165"/>
  <c r="C23" i="161"/>
  <c r="E24" i="161"/>
  <c r="J24" i="161"/>
  <c r="K24" i="161" s="1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K42" i="50"/>
  <c r="X26" i="1"/>
  <c r="CB25" i="2" l="1"/>
  <c r="HO25" i="2"/>
  <c r="CX24" i="2"/>
  <c r="J44" i="106"/>
  <c r="I45" i="106"/>
  <c r="E23" i="129"/>
  <c r="C22" i="129"/>
  <c r="J23" i="129"/>
  <c r="K23" i="129" s="1"/>
  <c r="DS23" i="2"/>
  <c r="K45" i="128"/>
  <c r="C23" i="77"/>
  <c r="E24" i="77"/>
  <c r="J24" i="77"/>
  <c r="K24" i="77" s="1"/>
  <c r="E22" i="73"/>
  <c r="C21" i="73"/>
  <c r="J22" i="73"/>
  <c r="K22" i="73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K43" i="86"/>
  <c r="J45" i="41"/>
  <c r="I46" i="41"/>
  <c r="I45" i="119"/>
  <c r="J44" i="119"/>
  <c r="K47" i="61"/>
  <c r="C23" i="132"/>
  <c r="E24" i="132"/>
  <c r="J24" i="132"/>
  <c r="K24" i="132" s="1"/>
  <c r="J44" i="170"/>
  <c r="I45" i="170"/>
  <c r="I47" i="172"/>
  <c r="J46" i="172"/>
  <c r="I47" i="128"/>
  <c r="J46" i="128"/>
  <c r="K45" i="156"/>
  <c r="AU26" i="1"/>
  <c r="E21" i="59"/>
  <c r="C20" i="59"/>
  <c r="J21" i="59"/>
  <c r="K21" i="59" s="1"/>
  <c r="K42" i="34"/>
  <c r="J43" i="105"/>
  <c r="I44" i="105"/>
  <c r="I44" i="34"/>
  <c r="J43" i="34"/>
  <c r="I45" i="108"/>
  <c r="J44" i="108"/>
  <c r="K42" i="105"/>
  <c r="C21" i="84"/>
  <c r="E22" i="84"/>
  <c r="J22" i="84"/>
  <c r="K22" i="84" s="1"/>
  <c r="C23" i="140"/>
  <c r="E24" i="140"/>
  <c r="J24" i="140"/>
  <c r="K24" i="140" s="1"/>
  <c r="I45" i="86"/>
  <c r="J44" i="86"/>
  <c r="K44" i="41"/>
  <c r="I49" i="61"/>
  <c r="J48" i="61"/>
  <c r="J46" i="127"/>
  <c r="I47" i="127"/>
  <c r="K45" i="62"/>
  <c r="I47" i="156"/>
  <c r="J46" i="156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K46" i="79"/>
  <c r="C23" i="108"/>
  <c r="E24" i="108"/>
  <c r="J24" i="108"/>
  <c r="K24" i="108" s="1"/>
  <c r="I45" i="114"/>
  <c r="J44" i="114"/>
  <c r="K43" i="114" s="1"/>
  <c r="K45" i="127"/>
  <c r="C22" i="112"/>
  <c r="E23" i="112"/>
  <c r="J23" i="112"/>
  <c r="K23" i="112" s="1"/>
  <c r="I47" i="62"/>
  <c r="J46" i="62"/>
  <c r="E21" i="105"/>
  <c r="C20" i="105"/>
  <c r="J21" i="105"/>
  <c r="K21" i="105" s="1"/>
  <c r="E18" i="98"/>
  <c r="C17" i="98"/>
  <c r="J18" i="98"/>
  <c r="K18" i="98" s="1"/>
  <c r="J47" i="79"/>
  <c r="I48" i="79"/>
  <c r="I44" i="125"/>
  <c r="J43" i="125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AJ26" i="2"/>
  <c r="K44" i="68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1" i="102"/>
  <c r="C20" i="102"/>
  <c r="J21" i="102"/>
  <c r="K21" i="102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4" i="18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3" i="153"/>
  <c r="K46" i="145"/>
  <c r="K46" i="61"/>
  <c r="K42" i="116"/>
  <c r="E20" i="146"/>
  <c r="C19" i="146"/>
  <c r="J20" i="146"/>
  <c r="K20" i="146" s="1"/>
  <c r="K43" i="33"/>
  <c r="E22" i="85"/>
  <c r="C21" i="85"/>
  <c r="J22" i="85"/>
  <c r="K22" i="85" s="1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I46" i="18"/>
  <c r="I45" i="153"/>
  <c r="J44" i="153"/>
  <c r="E24" i="63"/>
  <c r="C23" i="63"/>
  <c r="J24" i="63"/>
  <c r="K24" i="63" s="1"/>
  <c r="C21" i="61"/>
  <c r="E22" i="61"/>
  <c r="J22" i="61"/>
  <c r="K22" i="61" s="1"/>
  <c r="C20" i="43"/>
  <c r="E21" i="43"/>
  <c r="J21" i="43"/>
  <c r="K21" i="43" s="1"/>
  <c r="C23" i="89"/>
  <c r="E24" i="89"/>
  <c r="J24" i="89"/>
  <c r="K24" i="89" s="1"/>
  <c r="E23" i="67"/>
  <c r="C22" i="67"/>
  <c r="J23" i="67"/>
  <c r="K23" i="67" s="1"/>
  <c r="I45" i="33"/>
  <c r="J44" i="33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6" i="22"/>
  <c r="C19" i="166"/>
  <c r="E20" i="166"/>
  <c r="J20" i="166"/>
  <c r="K20" i="166" s="1"/>
  <c r="CB26" i="1"/>
  <c r="I44" i="81"/>
  <c r="J43" i="81"/>
  <c r="J45" i="93"/>
  <c r="I46" i="93"/>
  <c r="I46" i="165"/>
  <c r="J45" i="165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E22" i="120"/>
  <c r="C21" i="120"/>
  <c r="J22" i="120"/>
  <c r="K22" i="120" s="1"/>
  <c r="J44" i="168"/>
  <c r="I45" i="168"/>
  <c r="K44" i="128"/>
  <c r="J45" i="173"/>
  <c r="I46" i="173"/>
  <c r="BQ26" i="1"/>
  <c r="K42" i="109"/>
  <c r="E25" i="6"/>
  <c r="C24" i="6"/>
  <c r="CA25" i="1"/>
  <c r="K42" i="81"/>
  <c r="K44" i="93"/>
  <c r="K44" i="165"/>
  <c r="J44" i="3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K43" i="168"/>
  <c r="K44" i="173"/>
  <c r="HD26" i="2"/>
  <c r="C23" i="133"/>
  <c r="E24" i="133"/>
  <c r="J24" i="133"/>
  <c r="K24" i="133" s="1"/>
  <c r="DH24" i="2"/>
  <c r="K42" i="141"/>
  <c r="E22" i="168"/>
  <c r="C21" i="168"/>
  <c r="J22" i="168"/>
  <c r="K22" i="168" s="1"/>
  <c r="E23" i="64"/>
  <c r="C22" i="64"/>
  <c r="J23" i="64"/>
  <c r="K23" i="64" s="1"/>
  <c r="K42" i="140"/>
  <c r="I46" i="129"/>
  <c r="J45" i="129"/>
  <c r="I45" i="116"/>
  <c r="J44" i="116"/>
  <c r="E23" i="83"/>
  <c r="C22" i="83"/>
  <c r="J23" i="83"/>
  <c r="K23" i="83" s="1"/>
  <c r="J47" i="71"/>
  <c r="I48" i="71"/>
  <c r="E20" i="87"/>
  <c r="C19" i="87"/>
  <c r="J20" i="87"/>
  <c r="K20" i="87" s="1"/>
  <c r="K44" i="167"/>
  <c r="K44" i="60"/>
  <c r="K43" i="57"/>
  <c r="E23" i="25"/>
  <c r="C22" i="25"/>
  <c r="J23" i="25"/>
  <c r="K23" i="25" s="1"/>
  <c r="E21" i="34"/>
  <c r="C20" i="34"/>
  <c r="J21" i="34"/>
  <c r="K21" i="34" s="1"/>
  <c r="J43" i="35"/>
  <c r="I44" i="35"/>
  <c r="E20" i="32"/>
  <c r="C19" i="32"/>
  <c r="J20" i="32"/>
  <c r="K20" i="32" s="1"/>
  <c r="E23" i="66"/>
  <c r="C22" i="66"/>
  <c r="J23" i="66"/>
  <c r="K23" i="66" s="1"/>
  <c r="I44" i="36"/>
  <c r="J43" i="36"/>
  <c r="J43" i="141"/>
  <c r="I44" i="141"/>
  <c r="I44" i="140"/>
  <c r="J43" i="140"/>
  <c r="C24" i="8"/>
  <c r="E25" i="8"/>
  <c r="HC25" i="2"/>
  <c r="BP25" i="1"/>
  <c r="J25" i="8"/>
  <c r="K25" i="8" s="1"/>
  <c r="J48" i="12"/>
  <c r="I49" i="12"/>
  <c r="I45" i="21"/>
  <c r="J44" i="21"/>
  <c r="I45" i="19"/>
  <c r="J44" i="19"/>
  <c r="K43" i="19" s="1"/>
  <c r="E23" i="135"/>
  <c r="C22" i="135"/>
  <c r="J23" i="135"/>
  <c r="K23" i="135" s="1"/>
  <c r="I46" i="139"/>
  <c r="J45" i="139"/>
  <c r="K47" i="7"/>
  <c r="E22" i="72"/>
  <c r="C21" i="72"/>
  <c r="J22" i="72"/>
  <c r="K22" i="72" s="1"/>
  <c r="I44" i="11"/>
  <c r="J43" i="11"/>
  <c r="I46" i="23"/>
  <c r="J45" i="23"/>
  <c r="I45" i="154"/>
  <c r="J44" i="154"/>
  <c r="J44" i="138"/>
  <c r="I45" i="138"/>
  <c r="I49" i="134"/>
  <c r="J48" i="134"/>
  <c r="K47" i="134" s="1"/>
  <c r="C22" i="16"/>
  <c r="E23" i="16"/>
  <c r="J23" i="16"/>
  <c r="K23" i="16" s="1"/>
  <c r="K42" i="35"/>
  <c r="C23" i="80"/>
  <c r="E24" i="80"/>
  <c r="J24" i="80"/>
  <c r="K24" i="80" s="1"/>
  <c r="E20" i="157"/>
  <c r="C19" i="157"/>
  <c r="J20" i="157"/>
  <c r="K20" i="157" s="1"/>
  <c r="E24" i="10"/>
  <c r="C23" i="10"/>
  <c r="J24" i="10"/>
  <c r="K24" i="10" s="1"/>
  <c r="I45" i="49"/>
  <c r="J44" i="49"/>
  <c r="K43" i="49" s="1"/>
  <c r="K43" i="138"/>
  <c r="I45" i="5"/>
  <c r="J44" i="5"/>
  <c r="I63" i="150"/>
  <c r="J62" i="150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K47" i="12"/>
  <c r="K43" i="21"/>
  <c r="K44" i="139"/>
  <c r="J48" i="7"/>
  <c r="I49" i="7"/>
  <c r="K42" i="69"/>
  <c r="J43" i="64"/>
  <c r="K42" i="64" s="1"/>
  <c r="I44" i="64"/>
  <c r="J45" i="157"/>
  <c r="K44" i="157" s="1"/>
  <c r="I46" i="157"/>
  <c r="J44" i="155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E23" i="81"/>
  <c r="C22" i="81"/>
  <c r="J23" i="81"/>
  <c r="K23" i="81" s="1"/>
  <c r="K43" i="158"/>
  <c r="K42" i="95"/>
  <c r="E22" i="40"/>
  <c r="C21" i="40"/>
  <c r="J22" i="40"/>
  <c r="K22" i="40" s="1"/>
  <c r="I46" i="25"/>
  <c r="J45" i="25"/>
  <c r="K44" i="25" s="1"/>
  <c r="K61" i="150"/>
  <c r="C22" i="150"/>
  <c r="E23" i="150"/>
  <c r="J23" i="150"/>
  <c r="K23" i="150" s="1"/>
  <c r="E22" i="62"/>
  <c r="C21" i="62"/>
  <c r="J22" i="62"/>
  <c r="K22" i="62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K44" i="118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6" i="32"/>
  <c r="K43" i="155"/>
  <c r="I45" i="137"/>
  <c r="J44" i="137"/>
  <c r="J43" i="95"/>
  <c r="I44" i="95"/>
  <c r="E24" i="35"/>
  <c r="C23" i="35"/>
  <c r="J24" i="35"/>
  <c r="K24" i="35" s="1"/>
  <c r="C24" i="58"/>
  <c r="E25" i="58"/>
  <c r="J25" i="58"/>
  <c r="K25" i="58" s="1"/>
  <c r="E21" i="165"/>
  <c r="C20" i="165"/>
  <c r="J21" i="165"/>
  <c r="K21" i="165" s="1"/>
  <c r="I47" i="26"/>
  <c r="J46" i="26"/>
  <c r="K45" i="26" s="1"/>
  <c r="BG64" i="1"/>
  <c r="BF64" i="1"/>
  <c r="J44" i="97"/>
  <c r="I45" i="97"/>
  <c r="C22" i="139"/>
  <c r="E23" i="139"/>
  <c r="J23" i="139"/>
  <c r="K23" i="139" s="1"/>
  <c r="J47" i="32"/>
  <c r="I48" i="32"/>
  <c r="I47" i="29"/>
  <c r="J46" i="29"/>
  <c r="I46" i="63"/>
  <c r="J45" i="63"/>
  <c r="K44" i="63" s="1"/>
  <c r="K41" i="69"/>
  <c r="E23" i="161"/>
  <c r="C22" i="161"/>
  <c r="J23" i="161"/>
  <c r="K23" i="161" s="1"/>
  <c r="I49" i="74"/>
  <c r="J48" i="74"/>
  <c r="I47" i="16"/>
  <c r="J46" i="16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K45" i="29"/>
  <c r="K46" i="94"/>
  <c r="K44" i="23"/>
  <c r="K43" i="70"/>
  <c r="K42" i="125"/>
  <c r="J43" i="47"/>
  <c r="K42" i="47" s="1"/>
  <c r="I44" i="47"/>
  <c r="K43" i="53"/>
  <c r="E25" i="158"/>
  <c r="C24" i="158"/>
  <c r="J25" i="158"/>
  <c r="K25" i="158" s="1"/>
  <c r="K45" i="16"/>
  <c r="K42" i="102"/>
  <c r="K47" i="74"/>
  <c r="K43" i="137"/>
  <c r="I48" i="14"/>
  <c r="J47" i="14"/>
  <c r="I44" i="143"/>
  <c r="J43" i="143"/>
  <c r="GS26" i="2"/>
  <c r="E24" i="44"/>
  <c r="C23" i="44"/>
  <c r="J24" i="44"/>
  <c r="K24" i="44" s="1"/>
  <c r="J44" i="111"/>
  <c r="I45" i="111"/>
  <c r="K46" i="14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171"/>
  <c r="J47" i="59"/>
  <c r="I48" i="59"/>
  <c r="K42" i="87"/>
  <c r="E25" i="107"/>
  <c r="C24" i="107"/>
  <c r="J25" i="107"/>
  <c r="K25" i="107" s="1"/>
  <c r="I45" i="52"/>
  <c r="J44" i="52"/>
  <c r="K43" i="52" s="1"/>
  <c r="E23" i="22"/>
  <c r="C22" i="22"/>
  <c r="J23" i="22"/>
  <c r="K23" i="22" s="1"/>
  <c r="J47" i="94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E22" i="106"/>
  <c r="C21" i="106"/>
  <c r="J22" i="106"/>
  <c r="K22" i="106" s="1"/>
  <c r="I46" i="99"/>
  <c r="J45" i="99"/>
  <c r="I44" i="171"/>
  <c r="J43" i="17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C22" i="104"/>
  <c r="E23" i="104"/>
  <c r="J23" i="104"/>
  <c r="K23" i="104" s="1"/>
  <c r="E20" i="156"/>
  <c r="C19" i="156"/>
  <c r="J20" i="156"/>
  <c r="K20" i="156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K44" i="124"/>
  <c r="K44" i="28"/>
  <c r="E23" i="68"/>
  <c r="C22" i="68"/>
  <c r="J23" i="68"/>
  <c r="K23" i="68" s="1"/>
  <c r="E25" i="42"/>
  <c r="C24" i="42"/>
  <c r="J25" i="42"/>
  <c r="K25" i="42" s="1"/>
  <c r="FV25" i="2"/>
  <c r="K43" i="3"/>
  <c r="Y26" i="1"/>
  <c r="I45" i="126"/>
  <c r="J44" i="126"/>
  <c r="E23" i="118"/>
  <c r="C22" i="118"/>
  <c r="J23" i="118"/>
  <c r="K23" i="118" s="1"/>
  <c r="K42" i="144"/>
  <c r="E24" i="38"/>
  <c r="C23" i="38"/>
  <c r="J24" i="38"/>
  <c r="K24" i="38" s="1"/>
  <c r="I47" i="13"/>
  <c r="J46" i="13"/>
  <c r="E24" i="33"/>
  <c r="C23" i="33"/>
  <c r="J24" i="33"/>
  <c r="K24" i="33" s="1"/>
  <c r="C22" i="103"/>
  <c r="E23" i="103"/>
  <c r="J23" i="103"/>
  <c r="K23" i="10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I46" i="28"/>
  <c r="E18" i="82"/>
  <c r="C17" i="82"/>
  <c r="J18" i="82"/>
  <c r="K18" i="82" s="1"/>
  <c r="K46" i="7"/>
  <c r="K43" i="39"/>
  <c r="C24" i="28"/>
  <c r="E25" i="28"/>
  <c r="J25" i="28"/>
  <c r="K25" i="28" s="1"/>
  <c r="K47" i="15"/>
  <c r="J43" i="174"/>
  <c r="I44" i="174"/>
  <c r="E23" i="148"/>
  <c r="C22" i="148"/>
  <c r="J23" i="148"/>
  <c r="K23" i="148" s="1"/>
  <c r="J46" i="9"/>
  <c r="I47" i="9"/>
  <c r="K45" i="9"/>
  <c r="J46" i="78"/>
  <c r="I47" i="78"/>
  <c r="C24" i="109"/>
  <c r="E25" i="109"/>
  <c r="ED25" i="2"/>
  <c r="J25" i="109"/>
  <c r="K25" i="109" s="1"/>
  <c r="K43" i="126"/>
  <c r="K42" i="17"/>
  <c r="I44" i="40"/>
  <c r="J43" i="40"/>
  <c r="K45" i="13"/>
  <c r="E23" i="144"/>
  <c r="C22" i="144"/>
  <c r="J23" i="144"/>
  <c r="K23" i="144" s="1"/>
  <c r="HY25" i="2"/>
  <c r="I45" i="85"/>
  <c r="J44" i="85"/>
  <c r="J46" i="152"/>
  <c r="I47" i="152"/>
  <c r="K46" i="42"/>
  <c r="I45" i="39"/>
  <c r="J44" i="39"/>
  <c r="I49" i="15"/>
  <c r="J48" i="15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K44" i="44"/>
  <c r="K43" i="76"/>
  <c r="J43" i="17"/>
  <c r="I44" i="17"/>
  <c r="C23" i="147"/>
  <c r="E24" i="147"/>
  <c r="J24" i="147"/>
  <c r="K24" i="147" s="1"/>
  <c r="K42" i="40"/>
  <c r="I46" i="83"/>
  <c r="J45" i="83"/>
  <c r="C23" i="15"/>
  <c r="E24" i="15"/>
  <c r="J24" i="15"/>
  <c r="K24" i="15" s="1"/>
  <c r="E21" i="45"/>
  <c r="C20" i="45"/>
  <c r="J21" i="45"/>
  <c r="K21" i="45" s="1"/>
  <c r="C23" i="169"/>
  <c r="E24" i="169"/>
  <c r="HY24" i="2"/>
  <c r="J24" i="169"/>
  <c r="K24" i="169" s="1"/>
  <c r="E24" i="125"/>
  <c r="C23" i="125"/>
  <c r="J24" i="125"/>
  <c r="K24" i="125" s="1"/>
  <c r="J47" i="42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E23" i="74"/>
  <c r="C22" i="74"/>
  <c r="J23" i="74"/>
  <c r="K23" i="74" s="1"/>
  <c r="J44" i="76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C22" i="130"/>
  <c r="E23" i="130"/>
  <c r="J23" i="130"/>
  <c r="K23" i="130" s="1"/>
  <c r="E23" i="113"/>
  <c r="C22" i="113"/>
  <c r="J23" i="113"/>
  <c r="K23" i="113" s="1"/>
  <c r="K44" i="159"/>
  <c r="K45" i="32"/>
  <c r="K44" i="10"/>
  <c r="K41" i="47"/>
  <c r="C24" i="143"/>
  <c r="E25" i="143"/>
  <c r="J25" i="143"/>
  <c r="K25" i="143" s="1"/>
  <c r="AJ26" i="1"/>
  <c r="K44" i="37"/>
  <c r="C21" i="173"/>
  <c r="E22" i="173"/>
  <c r="J22" i="173"/>
  <c r="K22" i="173" s="1"/>
  <c r="J43" i="43"/>
  <c r="K42" i="43" s="1"/>
  <c r="I44" i="43"/>
  <c r="C21" i="39"/>
  <c r="E22" i="39"/>
  <c r="J22" i="39"/>
  <c r="K22" i="39" s="1"/>
  <c r="I46" i="159"/>
  <c r="J45" i="159"/>
  <c r="E23" i="60"/>
  <c r="C22" i="60"/>
  <c r="J23" i="60"/>
  <c r="K23" i="60" s="1"/>
  <c r="E20" i="138"/>
  <c r="C19" i="138"/>
  <c r="J20" i="138"/>
  <c r="K20" i="138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E22" i="149"/>
  <c r="C21" i="149"/>
  <c r="J22" i="149"/>
  <c r="K22" i="149" s="1"/>
  <c r="I45" i="162"/>
  <c r="J44" i="162"/>
  <c r="K43" i="162" s="1"/>
  <c r="C23" i="88"/>
  <c r="E24" i="88"/>
  <c r="FK24" i="2"/>
  <c r="J24" i="88"/>
  <c r="K24" i="88" s="1"/>
  <c r="J45" i="10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K45" i="135"/>
  <c r="I45" i="56"/>
  <c r="J44" i="56"/>
  <c r="J44" i="123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BE24" i="2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K45" i="136"/>
  <c r="E24" i="23"/>
  <c r="C23" i="23"/>
  <c r="J24" i="23"/>
  <c r="K24" i="23" s="1"/>
  <c r="I44" i="8"/>
  <c r="J43" i="8"/>
  <c r="K42" i="160"/>
  <c r="K41" i="166"/>
  <c r="K44" i="117"/>
  <c r="K45" i="48"/>
  <c r="I46" i="92"/>
  <c r="J45" i="92"/>
  <c r="K45" i="79"/>
  <c r="K45" i="78"/>
  <c r="C20" i="160"/>
  <c r="E21" i="160"/>
  <c r="J21" i="160"/>
  <c r="K21" i="160" s="1"/>
  <c r="J46" i="135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K43" i="123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I44" i="160"/>
  <c r="J43" i="160"/>
  <c r="K41" i="109"/>
  <c r="J46" i="48"/>
  <c r="I47" i="48"/>
  <c r="K42" i="67"/>
  <c r="K42" i="120"/>
  <c r="J43" i="38"/>
  <c r="I44" i="38"/>
  <c r="J43" i="90"/>
  <c r="I44" i="90"/>
  <c r="K41" i="96"/>
  <c r="K45" i="98"/>
  <c r="DT24" i="2"/>
  <c r="E22" i="159"/>
  <c r="C21" i="159"/>
  <c r="J22" i="159"/>
  <c r="K22" i="159" s="1"/>
  <c r="C24" i="49"/>
  <c r="E25" i="49"/>
  <c r="J25" i="49"/>
  <c r="K25" i="49" s="1"/>
  <c r="K44" i="30"/>
  <c r="K42" i="97"/>
  <c r="C22" i="17"/>
  <c r="E23" i="17"/>
  <c r="J23" i="17"/>
  <c r="K23" i="17" s="1"/>
  <c r="C23" i="151"/>
  <c r="E24" i="151"/>
  <c r="J24" i="151"/>
  <c r="K24" i="151" s="1"/>
  <c r="I44" i="120"/>
  <c r="J43" i="120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C21" i="51"/>
  <c r="E22" i="51"/>
  <c r="J22" i="51"/>
  <c r="K22" i="51" s="1"/>
  <c r="K46" i="74"/>
  <c r="C24" i="152"/>
  <c r="M24" i="2" s="1"/>
  <c r="E25" i="152"/>
  <c r="J25" i="152"/>
  <c r="K25" i="152" s="1"/>
  <c r="I47" i="98"/>
  <c r="J46" i="98"/>
  <c r="CX25" i="2"/>
  <c r="I46" i="30"/>
  <c r="J45" i="30"/>
  <c r="K44" i="172"/>
  <c r="C24" i="93"/>
  <c r="E25" i="93"/>
  <c r="J25" i="93"/>
  <c r="K25" i="93" s="1"/>
  <c r="K42" i="21"/>
  <c r="K44" i="48"/>
  <c r="GR25" i="2"/>
  <c r="N24" i="2" l="1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8" i="15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I50" i="133"/>
  <c r="I49" i="59"/>
  <c r="J48" i="59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K44" i="54"/>
  <c r="E24" i="143"/>
  <c r="C23" i="143"/>
  <c r="J24" i="143"/>
  <c r="K24" i="143" s="1"/>
  <c r="HZ24" i="2"/>
  <c r="J49" i="15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E22" i="161"/>
  <c r="C21" i="161"/>
  <c r="J22" i="161"/>
  <c r="K22" i="161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I47" i="18"/>
  <c r="J46" i="18"/>
  <c r="I49" i="82"/>
  <c r="J48" i="82"/>
  <c r="E20" i="59"/>
  <c r="C19" i="59"/>
  <c r="J20" i="59"/>
  <c r="K20" i="59" s="1"/>
  <c r="I46" i="4"/>
  <c r="J45" i="4"/>
  <c r="E23" i="169"/>
  <c r="C22" i="169"/>
  <c r="HY23" i="2"/>
  <c r="J23" i="169"/>
  <c r="K23" i="169" s="1"/>
  <c r="I46" i="39"/>
  <c r="J45" i="39"/>
  <c r="J44" i="36"/>
  <c r="I45" i="36"/>
  <c r="K45" i="129"/>
  <c r="K45" i="60"/>
  <c r="J44" i="166"/>
  <c r="K43" i="166" s="1"/>
  <c r="I45" i="166"/>
  <c r="C23" i="174"/>
  <c r="E24" i="174"/>
  <c r="J24" i="174"/>
  <c r="K24" i="174" s="1"/>
  <c r="K46" i="82"/>
  <c r="C16" i="98"/>
  <c r="E17" i="98"/>
  <c r="J17" i="98"/>
  <c r="K17" i="98" s="1"/>
  <c r="K46" i="156"/>
  <c r="E22" i="99"/>
  <c r="C21" i="99"/>
  <c r="J22" i="99"/>
  <c r="K22" i="99" s="1"/>
  <c r="J44" i="96"/>
  <c r="I45" i="96"/>
  <c r="I46" i="20"/>
  <c r="J45" i="20"/>
  <c r="E24" i="28"/>
  <c r="C23" i="28"/>
  <c r="J24" i="28"/>
  <c r="K24" i="28" s="1"/>
  <c r="K45" i="63"/>
  <c r="J46" i="23"/>
  <c r="I47" i="23"/>
  <c r="I47" i="129"/>
  <c r="J46" i="129"/>
  <c r="J46" i="167"/>
  <c r="I47" i="167"/>
  <c r="E21" i="120"/>
  <c r="C20" i="120"/>
  <c r="J21" i="120"/>
  <c r="K21" i="120" s="1"/>
  <c r="I48" i="156"/>
  <c r="J47" i="156"/>
  <c r="J47" i="152"/>
  <c r="K46" i="152" s="1"/>
  <c r="I48" i="152"/>
  <c r="E22" i="118"/>
  <c r="C21" i="118"/>
  <c r="J22" i="118"/>
  <c r="K22" i="118" s="1"/>
  <c r="I49" i="24"/>
  <c r="E23" i="145"/>
  <c r="C22" i="145"/>
  <c r="J23" i="145"/>
  <c r="K23" i="145" s="1"/>
  <c r="J46" i="63"/>
  <c r="I47" i="63"/>
  <c r="K43" i="69"/>
  <c r="EP24" i="2"/>
  <c r="E22" i="11"/>
  <c r="C21" i="11"/>
  <c r="J22" i="11"/>
  <c r="K22" i="11" s="1"/>
  <c r="K43" i="1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J45" i="131"/>
  <c r="I46" i="131"/>
  <c r="C23" i="55"/>
  <c r="E24" i="55"/>
  <c r="J24" i="55"/>
  <c r="K24" i="55" s="1"/>
  <c r="I48" i="77"/>
  <c r="J47" i="77"/>
  <c r="E22" i="75"/>
  <c r="C21" i="75"/>
  <c r="J22" i="75"/>
  <c r="K22" i="75" s="1"/>
  <c r="K46" i="29"/>
  <c r="J44" i="69"/>
  <c r="I45" i="69"/>
  <c r="E23" i="97"/>
  <c r="C22" i="97"/>
  <c r="J23" i="97"/>
  <c r="K23" i="97" s="1"/>
  <c r="K62" i="150"/>
  <c r="I45" i="11"/>
  <c r="J44" i="11"/>
  <c r="J44" i="147"/>
  <c r="I45" i="147"/>
  <c r="J46" i="158"/>
  <c r="I47" i="158"/>
  <c r="K47" i="145"/>
  <c r="C19" i="105"/>
  <c r="E20" i="105"/>
  <c r="J20" i="105"/>
  <c r="K20" i="105" s="1"/>
  <c r="J47" i="127"/>
  <c r="I48" i="127"/>
  <c r="K45" i="115"/>
  <c r="C19" i="45"/>
  <c r="E20" i="45"/>
  <c r="J20" i="45"/>
  <c r="K20" i="45" s="1"/>
  <c r="C23" i="100"/>
  <c r="E24" i="100"/>
  <c r="J24" i="100"/>
  <c r="K24" i="100" s="1"/>
  <c r="K45" i="92"/>
  <c r="C21" i="18"/>
  <c r="E22" i="18"/>
  <c r="J22" i="18"/>
  <c r="K22" i="18" s="1"/>
  <c r="K44" i="115"/>
  <c r="K45" i="113"/>
  <c r="C23" i="49"/>
  <c r="E24" i="49"/>
  <c r="J24" i="49"/>
  <c r="K24" i="49" s="1"/>
  <c r="J46" i="92"/>
  <c r="I47" i="92"/>
  <c r="I46" i="123"/>
  <c r="J45" i="123"/>
  <c r="J46" i="113"/>
  <c r="I47" i="113"/>
  <c r="I48" i="89"/>
  <c r="J47" i="89"/>
  <c r="K44" i="126"/>
  <c r="K44" i="131"/>
  <c r="K46" i="77"/>
  <c r="I48" i="29"/>
  <c r="J47" i="29"/>
  <c r="I64" i="150"/>
  <c r="J63" i="150"/>
  <c r="C21" i="64"/>
  <c r="E22" i="64"/>
  <c r="J22" i="64"/>
  <c r="K22" i="64" s="1"/>
  <c r="K43" i="147"/>
  <c r="K47" i="22"/>
  <c r="K46" i="127"/>
  <c r="E22" i="113"/>
  <c r="C21" i="113"/>
  <c r="J22" i="113"/>
  <c r="K22" i="113" s="1"/>
  <c r="K46" i="89"/>
  <c r="I46" i="85"/>
  <c r="J45" i="85"/>
  <c r="E17" i="82"/>
  <c r="C16" i="82"/>
  <c r="J17" i="82"/>
  <c r="K17" i="82" s="1"/>
  <c r="I46" i="126"/>
  <c r="J45" i="126"/>
  <c r="I45" i="100"/>
  <c r="J44" i="100"/>
  <c r="I49" i="32"/>
  <c r="J48" i="32"/>
  <c r="C21" i="126"/>
  <c r="E22" i="126"/>
  <c r="J22" i="126"/>
  <c r="K22" i="126" s="1"/>
  <c r="C20" i="72"/>
  <c r="E21" i="72"/>
  <c r="J21" i="72"/>
  <c r="K21" i="72" s="1"/>
  <c r="C18" i="32"/>
  <c r="E19" i="32"/>
  <c r="J19" i="32"/>
  <c r="K19" i="32" s="1"/>
  <c r="E24" i="172"/>
  <c r="C23" i="172"/>
  <c r="J24" i="172"/>
  <c r="K24" i="172" s="1"/>
  <c r="I49" i="22"/>
  <c r="J48" i="22"/>
  <c r="K44" i="80"/>
  <c r="J45" i="70"/>
  <c r="I46" i="70"/>
  <c r="C20" i="73"/>
  <c r="E21" i="73"/>
  <c r="J21" i="73"/>
  <c r="K21" i="73" s="1"/>
  <c r="K44" i="20"/>
  <c r="I48" i="51"/>
  <c r="J47" i="51"/>
  <c r="I46" i="50"/>
  <c r="J45" i="50"/>
  <c r="E23" i="15"/>
  <c r="C22" i="15"/>
  <c r="J23" i="15"/>
  <c r="K23" i="15" s="1"/>
  <c r="HZ25" i="2"/>
  <c r="C23" i="53"/>
  <c r="E24" i="53"/>
  <c r="J24" i="53"/>
  <c r="K24" i="53" s="1"/>
  <c r="K43" i="100"/>
  <c r="K47" i="32"/>
  <c r="K44" i="5"/>
  <c r="C23" i="155"/>
  <c r="E24" i="155"/>
  <c r="J24" i="155"/>
  <c r="K24" i="155" s="1"/>
  <c r="E23" i="154"/>
  <c r="C22" i="154"/>
  <c r="J23" i="154"/>
  <c r="K23" i="154" s="1"/>
  <c r="I46" i="80"/>
  <c r="J45" i="80"/>
  <c r="J47" i="62"/>
  <c r="K46" i="62" s="1"/>
  <c r="I48" i="62"/>
  <c r="K46" i="51"/>
  <c r="K45" i="83"/>
  <c r="J46" i="28"/>
  <c r="I47" i="28"/>
  <c r="Y25" i="2"/>
  <c r="E21" i="86"/>
  <c r="C20" i="86"/>
  <c r="J21" i="86"/>
  <c r="K21" i="86" s="1"/>
  <c r="I49" i="94"/>
  <c r="J48" i="94"/>
  <c r="E23" i="76"/>
  <c r="C22" i="76"/>
  <c r="J23" i="76"/>
  <c r="K23" i="76" s="1"/>
  <c r="I48" i="122"/>
  <c r="J47" i="122"/>
  <c r="I46" i="155"/>
  <c r="J45" i="155"/>
  <c r="K44" i="155" s="1"/>
  <c r="I46" i="5"/>
  <c r="J45" i="5"/>
  <c r="E21" i="168"/>
  <c r="C20" i="168"/>
  <c r="J21" i="168"/>
  <c r="K21" i="168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C21" i="144"/>
  <c r="E22" i="144"/>
  <c r="J22" i="144"/>
  <c r="K22" i="144" s="1"/>
  <c r="C23" i="12"/>
  <c r="M24" i="1"/>
  <c r="E24" i="12"/>
  <c r="X24" i="2"/>
  <c r="J24" i="12"/>
  <c r="K24" i="12" s="1"/>
  <c r="K47" i="94"/>
  <c r="I46" i="111"/>
  <c r="J45" i="111"/>
  <c r="K46" i="122"/>
  <c r="J44" i="35"/>
  <c r="I45" i="35"/>
  <c r="E22" i="128"/>
  <c r="C21" i="128"/>
  <c r="J22" i="128"/>
  <c r="K22" i="128" s="1"/>
  <c r="CW23" i="2"/>
  <c r="K43" i="116"/>
  <c r="E22" i="130"/>
  <c r="C21" i="130"/>
  <c r="J22" i="130"/>
  <c r="K22" i="130" s="1"/>
  <c r="IV24" i="2"/>
  <c r="K44" i="111"/>
  <c r="C21" i="139"/>
  <c r="E22" i="139"/>
  <c r="J22" i="139"/>
  <c r="K22" i="139" s="1"/>
  <c r="C20" i="62"/>
  <c r="E21" i="62"/>
  <c r="J21" i="62"/>
  <c r="K21" i="62" s="1"/>
  <c r="J46" i="157"/>
  <c r="I47" i="157"/>
  <c r="K44" i="49"/>
  <c r="J45" i="33"/>
  <c r="K44" i="33" s="1"/>
  <c r="I46" i="33"/>
  <c r="J47" i="172"/>
  <c r="I48" i="172"/>
  <c r="E23" i="77"/>
  <c r="C22" i="77"/>
  <c r="J23" i="77"/>
  <c r="K23" i="77" s="1"/>
  <c r="K44" i="123"/>
  <c r="E19" i="138"/>
  <c r="C18" i="138"/>
  <c r="J19" i="138"/>
  <c r="K19" i="138" s="1"/>
  <c r="I45" i="130"/>
  <c r="J44" i="130"/>
  <c r="K43" i="56"/>
  <c r="I45" i="8"/>
  <c r="J44" i="8"/>
  <c r="K43" i="8" s="1"/>
  <c r="K44" i="92"/>
  <c r="I45" i="45"/>
  <c r="J44" i="45"/>
  <c r="K43" i="45" s="1"/>
  <c r="K43" i="130"/>
  <c r="N25" i="1"/>
  <c r="E22" i="22"/>
  <c r="C21" i="22"/>
  <c r="J22" i="22"/>
  <c r="K22" i="22" s="1"/>
  <c r="K45" i="101"/>
  <c r="E21" i="124"/>
  <c r="C20" i="124"/>
  <c r="J21" i="124"/>
  <c r="K21" i="124" s="1"/>
  <c r="K45" i="157"/>
  <c r="J45" i="49"/>
  <c r="I46" i="49"/>
  <c r="K45" i="13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K44" i="86"/>
  <c r="I46" i="170"/>
  <c r="J45" i="170"/>
  <c r="K44" i="170" s="1"/>
  <c r="K44" i="50"/>
  <c r="C20" i="159"/>
  <c r="E21" i="159"/>
  <c r="J21" i="159"/>
  <c r="K21" i="159" s="1"/>
  <c r="FL24" i="2"/>
  <c r="K43" i="40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I46" i="86"/>
  <c r="DT23" i="2"/>
  <c r="I45" i="91"/>
  <c r="J44" i="91"/>
  <c r="E23" i="147"/>
  <c r="C22" i="147"/>
  <c r="J23" i="147"/>
  <c r="K23" i="147" s="1"/>
  <c r="I45" i="40"/>
  <c r="J44" i="40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E20" i="102"/>
  <c r="C19" i="102"/>
  <c r="J20" i="102"/>
  <c r="K20" i="102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DH23" i="2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29"/>
  <c r="C21" i="129"/>
  <c r="J22" i="129"/>
  <c r="K22" i="129" s="1"/>
  <c r="DS22" i="2"/>
  <c r="E22" i="17"/>
  <c r="C21" i="17"/>
  <c r="J22" i="17"/>
  <c r="K22" i="17" s="1"/>
  <c r="K43" i="96"/>
  <c r="E22" i="110"/>
  <c r="C21" i="110"/>
  <c r="J22" i="110"/>
  <c r="K22" i="110" s="1"/>
  <c r="K44" i="4"/>
  <c r="I46" i="56"/>
  <c r="J45" i="56"/>
  <c r="K44" i="56" s="1"/>
  <c r="C21" i="60"/>
  <c r="E22" i="60"/>
  <c r="J22" i="60"/>
  <c r="K22" i="60" s="1"/>
  <c r="J44" i="90"/>
  <c r="I45" i="90"/>
  <c r="K44" i="161"/>
  <c r="K44" i="162"/>
  <c r="K45" i="159"/>
  <c r="K44" i="83"/>
  <c r="E23" i="142"/>
  <c r="C22" i="142"/>
  <c r="J23" i="142"/>
  <c r="K23" i="142" s="1"/>
  <c r="C20" i="171"/>
  <c r="E21" i="171"/>
  <c r="J21" i="171"/>
  <c r="K21" i="171" s="1"/>
  <c r="C21" i="150"/>
  <c r="E22" i="150"/>
  <c r="J22" i="150"/>
  <c r="K22" i="150" s="1"/>
  <c r="I50" i="7"/>
  <c r="J49" i="7"/>
  <c r="E22" i="25"/>
  <c r="C21" i="25"/>
  <c r="J22" i="25"/>
  <c r="K22" i="25" s="1"/>
  <c r="K42" i="36"/>
  <c r="E20" i="111"/>
  <c r="C19" i="111"/>
  <c r="J20" i="111"/>
  <c r="K20" i="111" s="1"/>
  <c r="K44" i="103"/>
  <c r="E23" i="132"/>
  <c r="C22" i="132"/>
  <c r="J23" i="132"/>
  <c r="K23" i="132" s="1"/>
  <c r="K46" i="164"/>
  <c r="J45" i="162"/>
  <c r="I46" i="162"/>
  <c r="I45" i="171"/>
  <c r="J44" i="171"/>
  <c r="E24" i="107"/>
  <c r="C23" i="107"/>
  <c r="J24" i="107"/>
  <c r="K24" i="107" s="1"/>
  <c r="K43" i="143"/>
  <c r="E24" i="90"/>
  <c r="C23" i="90"/>
  <c r="J24" i="90"/>
  <c r="K24" i="90" s="1"/>
  <c r="K48" i="7"/>
  <c r="E19" i="157"/>
  <c r="C18" i="157"/>
  <c r="J19" i="157"/>
  <c r="K19" i="157" s="1"/>
  <c r="K44" i="19"/>
  <c r="I46" i="3"/>
  <c r="J45" i="3"/>
  <c r="I45" i="65"/>
  <c r="J44" i="65"/>
  <c r="K43" i="65" s="1"/>
  <c r="E21" i="26"/>
  <c r="C20" i="26"/>
  <c r="J21" i="26"/>
  <c r="K21" i="26" s="1"/>
  <c r="I46" i="103"/>
  <c r="J45" i="103"/>
  <c r="C22" i="140"/>
  <c r="E23" i="140"/>
  <c r="AI23" i="2"/>
  <c r="J23" i="140"/>
  <c r="K23" i="140" s="1"/>
  <c r="K45" i="172"/>
  <c r="E23" i="21"/>
  <c r="C22" i="21"/>
  <c r="J23" i="21"/>
  <c r="K23" i="21" s="1"/>
  <c r="I48" i="164"/>
  <c r="J47" i="164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J44" i="148"/>
  <c r="I45" i="148"/>
  <c r="I48" i="26"/>
  <c r="J47" i="26"/>
  <c r="K45" i="25"/>
  <c r="I46" i="19"/>
  <c r="J45" i="19"/>
  <c r="K44" i="3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I46" i="161"/>
  <c r="J44" i="17"/>
  <c r="I45" i="17"/>
  <c r="I47" i="72"/>
  <c r="J46" i="72"/>
  <c r="I47" i="159"/>
  <c r="J46" i="159"/>
  <c r="K48" i="133"/>
  <c r="I45" i="38"/>
  <c r="J44" i="38"/>
  <c r="K43" i="38"/>
  <c r="K45" i="89"/>
  <c r="J45" i="104"/>
  <c r="I46" i="104"/>
  <c r="E23" i="78"/>
  <c r="C22" i="78"/>
  <c r="J23" i="78"/>
  <c r="K23" i="78" s="1"/>
  <c r="I47" i="99"/>
  <c r="J46" i="99"/>
  <c r="K43" i="148"/>
  <c r="K42" i="148"/>
  <c r="J46" i="25"/>
  <c r="I47" i="25"/>
  <c r="K45" i="122"/>
  <c r="K44" i="21"/>
  <c r="I47" i="93"/>
  <c r="J46" i="93"/>
  <c r="C20" i="85"/>
  <c r="E21" i="85"/>
  <c r="J21" i="85"/>
  <c r="K21" i="85" s="1"/>
  <c r="C23" i="136"/>
  <c r="E24" i="136"/>
  <c r="J24" i="136"/>
  <c r="K24" i="136" s="1"/>
  <c r="J45" i="119"/>
  <c r="I46" i="119"/>
  <c r="K43" i="119"/>
  <c r="J44" i="163"/>
  <c r="I45" i="163"/>
  <c r="I46" i="21"/>
  <c r="J45" i="21"/>
  <c r="K45" i="93"/>
  <c r="E23" i="122"/>
  <c r="C22" i="122"/>
  <c r="J23" i="122"/>
  <c r="K23" i="122" s="1"/>
  <c r="I46" i="88"/>
  <c r="J45" i="88"/>
  <c r="E21" i="84"/>
  <c r="C20" i="84"/>
  <c r="J21" i="84"/>
  <c r="K21" i="84" s="1"/>
  <c r="I47" i="41"/>
  <c r="J46" i="41"/>
  <c r="C22" i="70"/>
  <c r="E23" i="70"/>
  <c r="J23" i="70"/>
  <c r="K23" i="70" s="1"/>
  <c r="I45" i="43"/>
  <c r="J44" i="43"/>
  <c r="I46" i="144"/>
  <c r="J45" i="144"/>
  <c r="I48" i="78"/>
  <c r="J47" i="78"/>
  <c r="K42" i="130"/>
  <c r="E21" i="106"/>
  <c r="C20" i="106"/>
  <c r="J21" i="106"/>
  <c r="K21" i="106" s="1"/>
  <c r="K47" i="59"/>
  <c r="E20" i="165"/>
  <c r="C19" i="165"/>
  <c r="J20" i="165"/>
  <c r="K20" i="165" s="1"/>
  <c r="C22" i="80"/>
  <c r="E23" i="80"/>
  <c r="J23" i="80"/>
  <c r="K23" i="80" s="1"/>
  <c r="J49" i="12"/>
  <c r="I50" i="12"/>
  <c r="I46" i="73"/>
  <c r="J45" i="73"/>
  <c r="C19" i="43"/>
  <c r="E20" i="43"/>
  <c r="J20" i="43"/>
  <c r="K20" i="43" s="1"/>
  <c r="K45" i="149"/>
  <c r="K44" i="88"/>
  <c r="K45" i="41"/>
  <c r="I46" i="106"/>
  <c r="J45" i="106"/>
  <c r="E21" i="51"/>
  <c r="C20" i="51"/>
  <c r="J21" i="51"/>
  <c r="K21" i="51" s="1"/>
  <c r="AJ25" i="1"/>
  <c r="K43" i="111"/>
  <c r="C20" i="40"/>
  <c r="E21" i="40"/>
  <c r="J21" i="40"/>
  <c r="K21" i="40" s="1"/>
  <c r="K45" i="118"/>
  <c r="K48" i="12"/>
  <c r="K44" i="73"/>
  <c r="CB25" i="1"/>
  <c r="I45" i="81"/>
  <c r="J44" i="81"/>
  <c r="K43" i="81" s="1"/>
  <c r="I47" i="149"/>
  <c r="J46" i="149"/>
  <c r="J45" i="87"/>
  <c r="I46" i="87"/>
  <c r="K44" i="121"/>
  <c r="K44" i="106"/>
  <c r="K43" i="91"/>
  <c r="I46" i="84"/>
  <c r="J45" i="84"/>
  <c r="I49" i="14"/>
  <c r="J48" i="14"/>
  <c r="K47" i="14" s="1"/>
  <c r="K43" i="55"/>
  <c r="J44" i="112"/>
  <c r="I45" i="112"/>
  <c r="E21" i="127"/>
  <c r="C20" i="127"/>
  <c r="J21" i="127"/>
  <c r="K21" i="127" s="1"/>
  <c r="C21" i="103"/>
  <c r="E22" i="103"/>
  <c r="J22" i="103"/>
  <c r="K22" i="103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19" i="87"/>
  <c r="C18" i="87"/>
  <c r="J19" i="87"/>
  <c r="K19" i="87" s="1"/>
  <c r="E24" i="6"/>
  <c r="C23" i="6"/>
  <c r="CA24" i="1"/>
  <c r="C18" i="146"/>
  <c r="E19" i="146"/>
  <c r="J19" i="146"/>
  <c r="K19" i="146" s="1"/>
  <c r="E24" i="27"/>
  <c r="C23" i="27"/>
  <c r="IJ23" i="2" s="1"/>
  <c r="J24" i="27"/>
  <c r="K24" i="27" s="1"/>
  <c r="K44" i="87"/>
  <c r="J45" i="121"/>
  <c r="I46" i="121"/>
  <c r="K44" i="129"/>
  <c r="GR24" i="2"/>
  <c r="K43" i="43"/>
  <c r="J45" i="151"/>
  <c r="I46" i="151"/>
  <c r="E19" i="30"/>
  <c r="C18" i="30"/>
  <c r="J19" i="30"/>
  <c r="K19" i="30" s="1"/>
  <c r="J46" i="66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4" i="151"/>
  <c r="K42" i="38"/>
  <c r="E24" i="46"/>
  <c r="C23" i="46"/>
  <c r="J24" i="46"/>
  <c r="K24" i="46" s="1"/>
  <c r="K45" i="66"/>
  <c r="K43" i="58"/>
  <c r="I46" i="76"/>
  <c r="J45" i="76"/>
  <c r="I49" i="42"/>
  <c r="J48" i="42"/>
  <c r="I48" i="9"/>
  <c r="J47" i="9"/>
  <c r="K45" i="77"/>
  <c r="BG63" i="1"/>
  <c r="BF63" i="1"/>
  <c r="E21" i="163"/>
  <c r="C20" i="163"/>
  <c r="J21" i="163"/>
  <c r="K21" i="163" s="1"/>
  <c r="E24" i="58"/>
  <c r="C23" i="58"/>
  <c r="CA23" i="2" s="1"/>
  <c r="J24" i="58"/>
  <c r="K24" i="58" s="1"/>
  <c r="E22" i="16"/>
  <c r="C21" i="16"/>
  <c r="J22" i="16"/>
  <c r="K22" i="16" s="1"/>
  <c r="HD25" i="2"/>
  <c r="K42" i="147"/>
  <c r="C20" i="61"/>
  <c r="E21" i="61"/>
  <c r="J21" i="61"/>
  <c r="K21" i="61" s="1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E21" i="173"/>
  <c r="C20" i="173"/>
  <c r="J21" i="173"/>
  <c r="K21" i="173" s="1"/>
  <c r="K47" i="42"/>
  <c r="K46" i="9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C21" i="4"/>
  <c r="E22" i="4"/>
  <c r="J22" i="4"/>
  <c r="K22" i="4" s="1"/>
  <c r="K42" i="166"/>
  <c r="CL24" i="2"/>
  <c r="K44" i="104"/>
  <c r="GS25" i="2"/>
  <c r="I45" i="55"/>
  <c r="J44" i="55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K47" i="71"/>
  <c r="K44" i="57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C21" i="19"/>
  <c r="E22" i="19"/>
  <c r="J22" i="19"/>
  <c r="K22" i="19" s="1"/>
  <c r="C19" i="160"/>
  <c r="E20" i="160"/>
  <c r="J20" i="160"/>
  <c r="K20" i="160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3" i="120"/>
  <c r="K45" i="152"/>
  <c r="I50" i="46"/>
  <c r="J49" i="46"/>
  <c r="K48" i="46" s="1"/>
  <c r="C21" i="74"/>
  <c r="E22" i="74"/>
  <c r="J22" i="74"/>
  <c r="K22" i="74" s="1"/>
  <c r="I47" i="124"/>
  <c r="J46" i="124"/>
  <c r="K45" i="124" s="1"/>
  <c r="K48" i="74"/>
  <c r="J49" i="134"/>
  <c r="I50" i="134"/>
  <c r="I46" i="57"/>
  <c r="J45" i="57"/>
  <c r="E23" i="63"/>
  <c r="C22" i="63"/>
  <c r="J23" i="63"/>
  <c r="K23" i="63" s="1"/>
  <c r="CL23" i="2"/>
  <c r="E23" i="79"/>
  <c r="C22" i="79"/>
  <c r="J23" i="79"/>
  <c r="K23" i="79" s="1"/>
  <c r="K44" i="53"/>
  <c r="I45" i="125"/>
  <c r="J44" i="125"/>
  <c r="K43" i="125" s="1"/>
  <c r="AU25" i="1"/>
  <c r="J44" i="105"/>
  <c r="I45" i="105"/>
  <c r="K43" i="146"/>
  <c r="AI24" i="1"/>
  <c r="I45" i="120"/>
  <c r="J44" i="120"/>
  <c r="K42" i="8"/>
  <c r="C22" i="41"/>
  <c r="E23" i="41"/>
  <c r="BE23" i="2"/>
  <c r="J23" i="41"/>
  <c r="K23" i="41" s="1"/>
  <c r="K46" i="136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I48" i="135"/>
  <c r="J47" i="135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K43" i="102"/>
  <c r="I46" i="138"/>
  <c r="J45" i="138"/>
  <c r="I45" i="140"/>
  <c r="J44" i="140"/>
  <c r="GR23" i="2"/>
  <c r="I47" i="173"/>
  <c r="J46" i="173"/>
  <c r="K43" i="109"/>
  <c r="K44" i="149"/>
  <c r="I46" i="53"/>
  <c r="J45" i="53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149"/>
  <c r="C20" i="149"/>
  <c r="J21" i="149"/>
  <c r="K21" i="149" s="1"/>
  <c r="E21" i="39"/>
  <c r="C20" i="39"/>
  <c r="J21" i="39"/>
  <c r="K21" i="39" s="1"/>
  <c r="K44" i="144"/>
  <c r="C18" i="156"/>
  <c r="E19" i="156"/>
  <c r="J19" i="156"/>
  <c r="K19" i="156" s="1"/>
  <c r="K46" i="135"/>
  <c r="E22" i="54"/>
  <c r="C21" i="54"/>
  <c r="J22" i="54"/>
  <c r="K22" i="54" s="1"/>
  <c r="FL25" i="2"/>
  <c r="K45" i="44"/>
  <c r="I45" i="174"/>
  <c r="J44" i="174"/>
  <c r="K43" i="174" s="1"/>
  <c r="K42" i="110"/>
  <c r="K43" i="95"/>
  <c r="I45" i="102"/>
  <c r="J44" i="102"/>
  <c r="K44" i="138"/>
  <c r="I45" i="141"/>
  <c r="J44" i="141"/>
  <c r="K43" i="141" s="1"/>
  <c r="C21" i="83"/>
  <c r="E22" i="83"/>
  <c r="J22" i="83"/>
  <c r="K22" i="83" s="1"/>
  <c r="CA24" i="2"/>
  <c r="J44" i="109"/>
  <c r="I45" i="109"/>
  <c r="K44" i="153"/>
  <c r="J48" i="79"/>
  <c r="I49" i="79"/>
  <c r="K43" i="108"/>
  <c r="IK23" i="2" l="1"/>
  <c r="CB23" i="2"/>
  <c r="EP23" i="2"/>
  <c r="E23" i="152"/>
  <c r="C22" i="152"/>
  <c r="J23" i="152"/>
  <c r="K23" i="152" s="1"/>
  <c r="E23" i="6"/>
  <c r="C22" i="6"/>
  <c r="CA23" i="1"/>
  <c r="IU23" i="2"/>
  <c r="J47" i="93"/>
  <c r="I48" i="93"/>
  <c r="K47" i="164"/>
  <c r="Y24" i="1"/>
  <c r="I48" i="139"/>
  <c r="J47" i="139"/>
  <c r="CX23" i="2"/>
  <c r="E21" i="167"/>
  <c r="C20" i="167"/>
  <c r="J21" i="167"/>
  <c r="K21" i="167" s="1"/>
  <c r="J49" i="94"/>
  <c r="I50" i="94"/>
  <c r="K44" i="100"/>
  <c r="J45" i="11"/>
  <c r="I46" i="11"/>
  <c r="I48" i="129"/>
  <c r="J47" i="129"/>
  <c r="I47" i="39"/>
  <c r="J46" i="39"/>
  <c r="K46" i="173"/>
  <c r="J48" i="164"/>
  <c r="I49" i="164"/>
  <c r="C19" i="47"/>
  <c r="E20" i="47"/>
  <c r="J20" i="47"/>
  <c r="K20" i="47" s="1"/>
  <c r="C21" i="15"/>
  <c r="E22" i="15"/>
  <c r="J22" i="15"/>
  <c r="K22" i="15" s="1"/>
  <c r="I46" i="100"/>
  <c r="J45" i="100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E22" i="35"/>
  <c r="C21" i="35"/>
  <c r="J22" i="35"/>
  <c r="K22" i="35" s="1"/>
  <c r="E22" i="164"/>
  <c r="C21" i="164"/>
  <c r="J22" i="164"/>
  <c r="K22" i="164" s="1"/>
  <c r="J49" i="27"/>
  <c r="I50" i="27"/>
  <c r="E20" i="51"/>
  <c r="C19" i="51"/>
  <c r="J20" i="51"/>
  <c r="K20" i="51" s="1"/>
  <c r="K44" i="43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18" i="87"/>
  <c r="C17" i="87"/>
  <c r="J18" i="87"/>
  <c r="K18" i="87" s="1"/>
  <c r="E20" i="127"/>
  <c r="C19" i="127"/>
  <c r="J20" i="127"/>
  <c r="K20" i="127" s="1"/>
  <c r="J45" i="43"/>
  <c r="I46" i="43"/>
  <c r="I48" i="25"/>
  <c r="J47" i="25"/>
  <c r="HO23" i="2"/>
  <c r="C21" i="21"/>
  <c r="E22" i="21"/>
  <c r="J22" i="21"/>
  <c r="K22" i="21" s="1"/>
  <c r="E18" i="138"/>
  <c r="C17" i="138"/>
  <c r="J18" i="138"/>
  <c r="K18" i="138" s="1"/>
  <c r="I47" i="126"/>
  <c r="J46" i="126"/>
  <c r="K46" i="92"/>
  <c r="C21" i="169"/>
  <c r="E22" i="169"/>
  <c r="J22" i="169"/>
  <c r="K22" i="169" s="1"/>
  <c r="E23" i="91"/>
  <c r="C22" i="91"/>
  <c r="J23" i="91"/>
  <c r="K23" i="91" s="1"/>
  <c r="K48" i="27"/>
  <c r="GS23" i="2"/>
  <c r="E23" i="158"/>
  <c r="C22" i="158"/>
  <c r="J23" i="158"/>
  <c r="K23" i="158" s="1"/>
  <c r="I48" i="37"/>
  <c r="J47" i="37"/>
  <c r="K43" i="140"/>
  <c r="K45" i="76"/>
  <c r="K45" i="106"/>
  <c r="K46" i="25"/>
  <c r="J46" i="162"/>
  <c r="I47" i="162"/>
  <c r="I46" i="90"/>
  <c r="J45" i="90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K45" i="153"/>
  <c r="C20" i="103"/>
  <c r="E21" i="103"/>
  <c r="J21" i="103"/>
  <c r="K21" i="103" s="1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E22" i="20"/>
  <c r="C21" i="20"/>
  <c r="J22" i="20"/>
  <c r="K22" i="20" s="1"/>
  <c r="K46" i="118"/>
  <c r="J45" i="112"/>
  <c r="I46" i="112"/>
  <c r="I47" i="106"/>
  <c r="J46" i="106"/>
  <c r="K45" i="162"/>
  <c r="K44" i="90"/>
  <c r="I46" i="40"/>
  <c r="J45" i="40"/>
  <c r="I49" i="101"/>
  <c r="J48" i="101"/>
  <c r="I46" i="35"/>
  <c r="J45" i="35"/>
  <c r="K47" i="51"/>
  <c r="E16" i="82"/>
  <c r="C15" i="82"/>
  <c r="J16" i="82"/>
  <c r="K16" i="82" s="1"/>
  <c r="E21" i="11"/>
  <c r="C20" i="11"/>
  <c r="J21" i="11"/>
  <c r="K21" i="11" s="1"/>
  <c r="E23" i="28"/>
  <c r="C22" i="28"/>
  <c r="J23" i="28"/>
  <c r="K23" i="28" s="1"/>
  <c r="K45" i="4"/>
  <c r="J46" i="153"/>
  <c r="I47" i="153"/>
  <c r="E21" i="54"/>
  <c r="C20" i="54"/>
  <c r="J21" i="54"/>
  <c r="K21" i="54" s="1"/>
  <c r="J47" i="118"/>
  <c r="I48" i="118"/>
  <c r="K44" i="112"/>
  <c r="C21" i="70"/>
  <c r="E22" i="70"/>
  <c r="J22" i="70"/>
  <c r="K22" i="70" s="1"/>
  <c r="E22" i="89"/>
  <c r="C21" i="89"/>
  <c r="J22" i="89"/>
  <c r="K22" i="89" s="1"/>
  <c r="K47" i="101"/>
  <c r="E22" i="95"/>
  <c r="C21" i="95"/>
  <c r="J22" i="95"/>
  <c r="K22" i="95" s="1"/>
  <c r="K44" i="35"/>
  <c r="I49" i="128"/>
  <c r="J48" i="128"/>
  <c r="I48" i="28"/>
  <c r="J47" i="28"/>
  <c r="J48" i="51"/>
  <c r="I49" i="51"/>
  <c r="C22" i="49"/>
  <c r="E23" i="49"/>
  <c r="J23" i="49"/>
  <c r="K23" i="49" s="1"/>
  <c r="I46" i="69"/>
  <c r="J45" i="69"/>
  <c r="I47" i="4"/>
  <c r="J46" i="4"/>
  <c r="AU24" i="2"/>
  <c r="E19" i="160"/>
  <c r="C18" i="160"/>
  <c r="J19" i="160"/>
  <c r="K19" i="160" s="1"/>
  <c r="I48" i="165"/>
  <c r="J47" i="165"/>
  <c r="AJ23" i="2"/>
  <c r="E22" i="133"/>
  <c r="C21" i="133"/>
  <c r="J22" i="133"/>
  <c r="K22" i="133" s="1"/>
  <c r="DH22" i="2"/>
  <c r="C21" i="147"/>
  <c r="E22" i="147"/>
  <c r="J22" i="147"/>
  <c r="K22" i="147" s="1"/>
  <c r="I51" i="61"/>
  <c r="J50" i="61"/>
  <c r="K46" i="28"/>
  <c r="K44" i="69"/>
  <c r="K45" i="20"/>
  <c r="J46" i="168"/>
  <c r="I47" i="168"/>
  <c r="I49" i="9"/>
  <c r="J48" i="9"/>
  <c r="C17" i="156"/>
  <c r="E18" i="156"/>
  <c r="J18" i="156"/>
  <c r="K18" i="156" s="1"/>
  <c r="K45" i="108"/>
  <c r="J49" i="79"/>
  <c r="I50" i="79"/>
  <c r="K46" i="165"/>
  <c r="C20" i="60"/>
  <c r="E21" i="60"/>
  <c r="J21" i="60"/>
  <c r="K21" i="60" s="1"/>
  <c r="E22" i="44"/>
  <c r="C21" i="44"/>
  <c r="J22" i="44"/>
  <c r="K22" i="44" s="1"/>
  <c r="C21" i="77"/>
  <c r="E22" i="77"/>
  <c r="J22" i="77"/>
  <c r="K22" i="77" s="1"/>
  <c r="K49" i="61"/>
  <c r="J46" i="85"/>
  <c r="K45" i="85" s="1"/>
  <c r="I47" i="85"/>
  <c r="I47" i="20"/>
  <c r="J46" i="20"/>
  <c r="E19" i="59"/>
  <c r="C18" i="59"/>
  <c r="J19" i="59"/>
  <c r="K19" i="59" s="1"/>
  <c r="E23" i="50"/>
  <c r="C22" i="50"/>
  <c r="X22" i="1" s="1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K44" i="95"/>
  <c r="J47" i="124"/>
  <c r="I48" i="124"/>
  <c r="GI62" i="2"/>
  <c r="GH62" i="2"/>
  <c r="E23" i="46"/>
  <c r="C22" i="46"/>
  <c r="J23" i="46"/>
  <c r="K23" i="46" s="1"/>
  <c r="I50" i="14"/>
  <c r="J49" i="14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K45" i="111"/>
  <c r="J45" i="96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I48" i="66"/>
  <c r="E20" i="84"/>
  <c r="C19" i="84"/>
  <c r="J20" i="84"/>
  <c r="K20" i="84" s="1"/>
  <c r="K45" i="19"/>
  <c r="K45" i="103"/>
  <c r="I47" i="56"/>
  <c r="J46" i="56"/>
  <c r="I46" i="91"/>
  <c r="J45" i="91"/>
  <c r="J46" i="49"/>
  <c r="I47" i="49"/>
  <c r="I49" i="172"/>
  <c r="J48" i="172"/>
  <c r="J46" i="111"/>
  <c r="I47" i="111"/>
  <c r="K46" i="128"/>
  <c r="E21" i="75"/>
  <c r="C20" i="75"/>
  <c r="J21" i="75"/>
  <c r="K21" i="75" s="1"/>
  <c r="J47" i="63"/>
  <c r="I48" i="63"/>
  <c r="K44" i="96"/>
  <c r="K48" i="14"/>
  <c r="I48" i="41"/>
  <c r="J47" i="41"/>
  <c r="K45" i="37"/>
  <c r="I46" i="109"/>
  <c r="J45" i="109"/>
  <c r="E61" i="24"/>
  <c r="C60" i="24"/>
  <c r="GG61" i="2"/>
  <c r="BE61" i="1"/>
  <c r="C61" i="1"/>
  <c r="C61" i="2"/>
  <c r="M23" i="2"/>
  <c r="K46" i="66"/>
  <c r="I47" i="84"/>
  <c r="J46" i="84"/>
  <c r="C18" i="43"/>
  <c r="E19" i="43"/>
  <c r="J19" i="43"/>
  <c r="K19" i="43" s="1"/>
  <c r="C21" i="78"/>
  <c r="E22" i="78"/>
  <c r="J22" i="78"/>
  <c r="K22" i="78" s="1"/>
  <c r="I47" i="19"/>
  <c r="J46" i="19"/>
  <c r="I47" i="103"/>
  <c r="J46" i="103"/>
  <c r="I47" i="52"/>
  <c r="J46" i="52"/>
  <c r="C21" i="13"/>
  <c r="E22" i="13"/>
  <c r="J22" i="13"/>
  <c r="K22" i="13" s="1"/>
  <c r="IU22" i="2"/>
  <c r="K47" i="172"/>
  <c r="C21" i="114"/>
  <c r="E22" i="114"/>
  <c r="J22" i="114"/>
  <c r="K22" i="114" s="1"/>
  <c r="K48" i="61"/>
  <c r="C19" i="73"/>
  <c r="E20" i="73"/>
  <c r="J20" i="73"/>
  <c r="K20" i="73" s="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K48" i="79"/>
  <c r="E20" i="39"/>
  <c r="C19" i="39"/>
  <c r="J20" i="39"/>
  <c r="K20" i="39" s="1"/>
  <c r="I46" i="95"/>
  <c r="J45" i="95"/>
  <c r="E20" i="149"/>
  <c r="C19" i="149"/>
  <c r="J20" i="149"/>
  <c r="K20" i="149" s="1"/>
  <c r="I51" i="74"/>
  <c r="J50" i="74"/>
  <c r="K49" i="74" s="1"/>
  <c r="BF23" i="2"/>
  <c r="I46" i="146"/>
  <c r="J45" i="146"/>
  <c r="K44" i="146" s="1"/>
  <c r="E22" i="33"/>
  <c r="C21" i="33"/>
  <c r="M22" i="2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I47" i="70"/>
  <c r="J48" i="77"/>
  <c r="K47" i="77" s="1"/>
  <c r="I49" i="77"/>
  <c r="E22" i="145"/>
  <c r="C21" i="145"/>
  <c r="J22" i="145"/>
  <c r="K22" i="145" s="1"/>
  <c r="J47" i="18"/>
  <c r="I48" i="18"/>
  <c r="K45" i="137"/>
  <c r="J46" i="73"/>
  <c r="I47" i="73"/>
  <c r="J48" i="26"/>
  <c r="K47" i="26" s="1"/>
  <c r="I49" i="26"/>
  <c r="J46" i="86"/>
  <c r="I47" i="86"/>
  <c r="E20" i="124"/>
  <c r="C19" i="124"/>
  <c r="J20" i="124"/>
  <c r="K20" i="124" s="1"/>
  <c r="K43" i="35"/>
  <c r="K45" i="70"/>
  <c r="K44" i="70"/>
  <c r="J46" i="137"/>
  <c r="I47" i="137"/>
  <c r="E22" i="151"/>
  <c r="C21" i="151"/>
  <c r="J22" i="151"/>
  <c r="K22" i="151" s="1"/>
  <c r="E22" i="117"/>
  <c r="C21" i="117"/>
  <c r="J22" i="117"/>
  <c r="K22" i="117" s="1"/>
  <c r="I51" i="46"/>
  <c r="J50" i="46"/>
  <c r="C19" i="61"/>
  <c r="E20" i="61"/>
  <c r="J20" i="61"/>
  <c r="K20" i="61" s="1"/>
  <c r="J46" i="151"/>
  <c r="I47" i="151"/>
  <c r="E22" i="122"/>
  <c r="C21" i="122"/>
  <c r="J22" i="122"/>
  <c r="K22" i="122" s="1"/>
  <c r="J45" i="148"/>
  <c r="I46" i="148"/>
  <c r="K44" i="65"/>
  <c r="K45" i="86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4" i="76"/>
  <c r="AI23" i="1"/>
  <c r="C21" i="71"/>
  <c r="E22" i="71"/>
  <c r="J22" i="71"/>
  <c r="K22" i="71" s="1"/>
  <c r="K45" i="151"/>
  <c r="K49" i="12"/>
  <c r="K44" i="148"/>
  <c r="I46" i="65"/>
  <c r="J45" i="65"/>
  <c r="E23" i="42"/>
  <c r="C22" i="42"/>
  <c r="J23" i="42"/>
  <c r="K23" i="42" s="1"/>
  <c r="FV23" i="2"/>
  <c r="I48" i="157"/>
  <c r="J47" i="157"/>
  <c r="E23" i="12"/>
  <c r="M23" i="1"/>
  <c r="C22" i="12"/>
  <c r="X23" i="2"/>
  <c r="J23" i="12"/>
  <c r="K23" i="12" s="1"/>
  <c r="E23" i="3"/>
  <c r="C22" i="3"/>
  <c r="J23" i="3"/>
  <c r="K23" i="3" s="1"/>
  <c r="K48" i="22"/>
  <c r="E23" i="100"/>
  <c r="C22" i="100"/>
  <c r="J23" i="100"/>
  <c r="K23" i="100" s="1"/>
  <c r="C22" i="55"/>
  <c r="E23" i="55"/>
  <c r="J23" i="55"/>
  <c r="K23" i="55" s="1"/>
  <c r="I49" i="48"/>
  <c r="J48" i="48"/>
  <c r="K47" i="48" s="1"/>
  <c r="E21" i="74"/>
  <c r="C20" i="74"/>
  <c r="J21" i="74"/>
  <c r="K21" i="74" s="1"/>
  <c r="I46" i="120"/>
  <c r="J45" i="120"/>
  <c r="C20" i="137"/>
  <c r="E21" i="137"/>
  <c r="J21" i="137"/>
  <c r="K21" i="137" s="1"/>
  <c r="K45" i="165"/>
  <c r="E21" i="25"/>
  <c r="C20" i="25"/>
  <c r="J21" i="25"/>
  <c r="K21" i="25" s="1"/>
  <c r="C20" i="17"/>
  <c r="E21" i="17"/>
  <c r="J21" i="17"/>
  <c r="K21" i="17" s="1"/>
  <c r="K47" i="98"/>
  <c r="BQ24" i="2"/>
  <c r="K46" i="101"/>
  <c r="K46" i="157"/>
  <c r="K45" i="28"/>
  <c r="J48" i="117"/>
  <c r="I49" i="117"/>
  <c r="I50" i="22"/>
  <c r="J49" i="22"/>
  <c r="I47" i="131"/>
  <c r="J46" i="131"/>
  <c r="E16" i="98"/>
  <c r="C15" i="98"/>
  <c r="J16" i="98"/>
  <c r="K16" i="98" s="1"/>
  <c r="I48" i="60"/>
  <c r="J47" i="60"/>
  <c r="E21" i="161"/>
  <c r="C20" i="161"/>
  <c r="J21" i="161"/>
  <c r="K21" i="161" s="1"/>
  <c r="AJ24" i="1"/>
  <c r="J45" i="55"/>
  <c r="I46" i="55"/>
  <c r="GS24" i="2"/>
  <c r="I48" i="149"/>
  <c r="J47" i="149"/>
  <c r="I46" i="38"/>
  <c r="J45" i="38"/>
  <c r="K44" i="38" s="1"/>
  <c r="I46" i="143"/>
  <c r="J45" i="143"/>
  <c r="K45" i="3"/>
  <c r="J48" i="98"/>
  <c r="I49" i="98"/>
  <c r="C22" i="52"/>
  <c r="E23" i="52"/>
  <c r="BP23" i="2"/>
  <c r="J23" i="52"/>
  <c r="K23" i="52" s="1"/>
  <c r="K47" i="117"/>
  <c r="K45" i="131"/>
  <c r="E21" i="118"/>
  <c r="C20" i="118"/>
  <c r="J21" i="118"/>
  <c r="K21" i="118" s="1"/>
  <c r="E22" i="23"/>
  <c r="C21" i="23"/>
  <c r="J22" i="23"/>
  <c r="K22" i="23" s="1"/>
  <c r="C19" i="173"/>
  <c r="E20" i="173"/>
  <c r="J20" i="173"/>
  <c r="K20" i="173" s="1"/>
  <c r="I49" i="142"/>
  <c r="J48" i="142"/>
  <c r="K44" i="81"/>
  <c r="C21" i="80"/>
  <c r="E22" i="80"/>
  <c r="J22" i="80"/>
  <c r="K22" i="80" s="1"/>
  <c r="J46" i="21"/>
  <c r="K45" i="21" s="1"/>
  <c r="I47" i="21"/>
  <c r="K45" i="99"/>
  <c r="I47" i="3"/>
  <c r="J46" i="3"/>
  <c r="DT22" i="2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E21" i="64"/>
  <c r="C20" i="64"/>
  <c r="J21" i="64"/>
  <c r="K21" i="64" s="1"/>
  <c r="E19" i="45"/>
  <c r="C18" i="45"/>
  <c r="J19" i="45"/>
  <c r="K19" i="45" s="1"/>
  <c r="K47" i="82"/>
  <c r="J46" i="116"/>
  <c r="I47" i="116"/>
  <c r="E22" i="153"/>
  <c r="C21" i="153"/>
  <c r="J22" i="153"/>
  <c r="K22" i="153" s="1"/>
  <c r="K46" i="44"/>
  <c r="K47" i="142"/>
  <c r="I46" i="81"/>
  <c r="J45" i="81"/>
  <c r="I46" i="163"/>
  <c r="J45" i="163"/>
  <c r="K44" i="163" s="1"/>
  <c r="J50" i="7"/>
  <c r="I51" i="7"/>
  <c r="E20" i="62"/>
  <c r="C19" i="62"/>
  <c r="J20" i="62"/>
  <c r="K20" i="62" s="1"/>
  <c r="E21" i="144"/>
  <c r="C20" i="144"/>
  <c r="J21" i="144"/>
  <c r="K21" i="144" s="1"/>
  <c r="C19" i="168"/>
  <c r="E20" i="168"/>
  <c r="J20" i="168"/>
  <c r="K20" i="168" s="1"/>
  <c r="K63" i="150"/>
  <c r="K46" i="115"/>
  <c r="I49" i="152"/>
  <c r="J48" i="152"/>
  <c r="E21" i="9"/>
  <c r="C20" i="9"/>
  <c r="J21" i="9"/>
  <c r="K21" i="9" s="1"/>
  <c r="K48" i="59"/>
  <c r="J47" i="44"/>
  <c r="I48" i="44"/>
  <c r="K44" i="108"/>
  <c r="J46" i="121"/>
  <c r="I47" i="121"/>
  <c r="C18" i="165"/>
  <c r="E19" i="165"/>
  <c r="J19" i="165"/>
  <c r="K19" i="165" s="1"/>
  <c r="J47" i="159"/>
  <c r="K46" i="159" s="1"/>
  <c r="I48" i="159"/>
  <c r="E21" i="129"/>
  <c r="C20" i="129"/>
  <c r="J21" i="129"/>
  <c r="K21" i="129" s="1"/>
  <c r="DS21" i="2"/>
  <c r="C19" i="37"/>
  <c r="E20" i="37"/>
  <c r="J20" i="37"/>
  <c r="K20" i="37" s="1"/>
  <c r="I65" i="150"/>
  <c r="J64" i="150"/>
  <c r="I49" i="127"/>
  <c r="J48" i="127"/>
  <c r="I48" i="115"/>
  <c r="J47" i="115"/>
  <c r="I50" i="59"/>
  <c r="J49" i="59"/>
  <c r="K44" i="105"/>
  <c r="C17" i="166"/>
  <c r="E18" i="166"/>
  <c r="J18" i="166"/>
  <c r="K18" i="166" s="1"/>
  <c r="I46" i="58"/>
  <c r="J45" i="58"/>
  <c r="K45" i="121"/>
  <c r="K46" i="72"/>
  <c r="C20" i="68"/>
  <c r="E21" i="68"/>
  <c r="J21" i="68"/>
  <c r="K21" i="68" s="1"/>
  <c r="C17" i="157"/>
  <c r="E18" i="157"/>
  <c r="J18" i="157"/>
  <c r="K18" i="157" s="1"/>
  <c r="C18" i="102"/>
  <c r="E19" i="102"/>
  <c r="J19" i="102"/>
  <c r="K19" i="102" s="1"/>
  <c r="C19" i="159"/>
  <c r="E20" i="159"/>
  <c r="J20" i="159"/>
  <c r="K20" i="159" s="1"/>
  <c r="I48" i="83"/>
  <c r="J47" i="83"/>
  <c r="K47" i="29"/>
  <c r="K47" i="127"/>
  <c r="K43" i="110"/>
  <c r="E23" i="174"/>
  <c r="C22" i="174"/>
  <c r="HY22" i="2" s="1"/>
  <c r="J23" i="174"/>
  <c r="K23" i="174" s="1"/>
  <c r="I47" i="154"/>
  <c r="J46" i="154"/>
  <c r="I51" i="133"/>
  <c r="J50" i="133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I49" i="107"/>
  <c r="J48" i="107"/>
  <c r="C20" i="150"/>
  <c r="E21" i="150"/>
  <c r="J21" i="150"/>
  <c r="K21" i="150" s="1"/>
  <c r="AJ24" i="2"/>
  <c r="E21" i="139"/>
  <c r="C20" i="139"/>
  <c r="J21" i="139"/>
  <c r="K21" i="139" s="1"/>
  <c r="J48" i="132"/>
  <c r="I49" i="132"/>
  <c r="J46" i="5"/>
  <c r="I47" i="5"/>
  <c r="C22" i="155"/>
  <c r="E23" i="155"/>
  <c r="J23" i="155"/>
  <c r="K23" i="155" s="1"/>
  <c r="E18" i="32"/>
  <c r="C17" i="32"/>
  <c r="J18" i="32"/>
  <c r="K18" i="32" s="1"/>
  <c r="I49" i="29"/>
  <c r="J48" i="29"/>
  <c r="E21" i="94"/>
  <c r="C20" i="94"/>
  <c r="J21" i="94"/>
  <c r="K21" i="94" s="1"/>
  <c r="K45" i="18"/>
  <c r="FA23" i="2"/>
  <c r="K49" i="133"/>
  <c r="J45" i="47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K44" i="45"/>
  <c r="K47" i="132"/>
  <c r="K45" i="155"/>
  <c r="J48" i="156"/>
  <c r="K47" i="156" s="1"/>
  <c r="I49" i="156"/>
  <c r="I46" i="166"/>
  <c r="J45" i="166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J46" i="155"/>
  <c r="I47" i="155"/>
  <c r="C18" i="105"/>
  <c r="E19" i="105"/>
  <c r="J19" i="105"/>
  <c r="K19" i="105" s="1"/>
  <c r="K49" i="145"/>
  <c r="K48" i="145"/>
  <c r="K44" i="166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E23" i="90"/>
  <c r="C22" i="90"/>
  <c r="J23" i="90"/>
  <c r="K23" i="90" s="1"/>
  <c r="J47" i="10"/>
  <c r="I48" i="10"/>
  <c r="C19" i="72"/>
  <c r="E20" i="72"/>
  <c r="J20" i="72"/>
  <c r="K20" i="72" s="1"/>
  <c r="J50" i="145"/>
  <c r="I51" i="145"/>
  <c r="E22" i="48"/>
  <c r="C21" i="48"/>
  <c r="J22" i="48"/>
  <c r="K22" i="48" s="1"/>
  <c r="K44" i="34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K47" i="107"/>
  <c r="C22" i="27"/>
  <c r="E23" i="27"/>
  <c r="J23" i="27"/>
  <c r="K23" i="27" s="1"/>
  <c r="C19" i="106"/>
  <c r="E20" i="106"/>
  <c r="J20" i="106"/>
  <c r="K20" i="106" s="1"/>
  <c r="I49" i="135"/>
  <c r="J48" i="135"/>
  <c r="K45" i="67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0"/>
  <c r="C19" i="120"/>
  <c r="J20" i="120"/>
  <c r="K20" i="120" s="1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4" i="102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C20" i="130"/>
  <c r="E21" i="130"/>
  <c r="J21" i="130"/>
  <c r="K21" i="130" s="1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AU24" i="1"/>
  <c r="K47" i="135"/>
  <c r="I47" i="67"/>
  <c r="J46" i="67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K47" i="78"/>
  <c r="E23" i="121"/>
  <c r="C22" i="121"/>
  <c r="J23" i="121"/>
  <c r="K23" i="121" s="1"/>
  <c r="C18" i="34"/>
  <c r="E19" i="34"/>
  <c r="J19" i="34"/>
  <c r="K19" i="34" s="1"/>
  <c r="E21" i="112"/>
  <c r="C20" i="112"/>
  <c r="CW21" i="2"/>
  <c r="J21" i="112"/>
  <c r="K21" i="112" s="1"/>
  <c r="C20" i="5"/>
  <c r="E21" i="5"/>
  <c r="J21" i="5"/>
  <c r="K21" i="5" s="1"/>
  <c r="E22" i="76"/>
  <c r="C21" i="76"/>
  <c r="J22" i="76"/>
  <c r="K22" i="76" s="1"/>
  <c r="C22" i="53"/>
  <c r="BE22" i="2" s="1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K49" i="46"/>
  <c r="CM23" i="2"/>
  <c r="I50" i="71"/>
  <c r="J49" i="71"/>
  <c r="K48" i="71" s="1"/>
  <c r="K47" i="27"/>
  <c r="J48" i="78"/>
  <c r="I49" i="78"/>
  <c r="E20" i="85"/>
  <c r="C19" i="85"/>
  <c r="J20" i="85"/>
  <c r="K20" i="85" s="1"/>
  <c r="K44" i="119"/>
  <c r="E22" i="142"/>
  <c r="C21" i="142"/>
  <c r="J22" i="142"/>
  <c r="K22" i="142" s="1"/>
  <c r="E22" i="119"/>
  <c r="C21" i="119"/>
  <c r="J22" i="119"/>
  <c r="K22" i="119" s="1"/>
  <c r="K44" i="52"/>
  <c r="K46" i="172"/>
  <c r="K48" i="32"/>
  <c r="I48" i="113"/>
  <c r="J47" i="113"/>
  <c r="K45" i="23"/>
  <c r="I47" i="54"/>
  <c r="J46" i="54"/>
  <c r="K44" i="47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K44" i="160"/>
  <c r="E18" i="146"/>
  <c r="C17" i="146"/>
  <c r="J18" i="146"/>
  <c r="K18" i="146" s="1"/>
  <c r="J47" i="30"/>
  <c r="K46" i="30" s="1"/>
  <c r="I48" i="30"/>
  <c r="C20" i="81"/>
  <c r="E21" i="81"/>
  <c r="J21" i="81"/>
  <c r="K21" i="81" s="1"/>
  <c r="J45" i="160"/>
  <c r="I46" i="160"/>
  <c r="CB24" i="1"/>
  <c r="K44" i="84"/>
  <c r="K46" i="93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6" i="113"/>
  <c r="K44" i="11"/>
  <c r="K45" i="167"/>
  <c r="K46" i="129"/>
  <c r="K45" i="39"/>
  <c r="K45" i="54"/>
  <c r="C22" i="170"/>
  <c r="E23" i="170"/>
  <c r="J23" i="170"/>
  <c r="K23" i="170" s="1"/>
  <c r="Y22" i="1" l="1"/>
  <c r="BF22" i="2"/>
  <c r="HO22" i="2"/>
  <c r="EP22" i="2"/>
  <c r="HZ22" i="2"/>
  <c r="J47" i="3"/>
  <c r="I48" i="3"/>
  <c r="K45" i="147"/>
  <c r="K45" i="36"/>
  <c r="E22" i="58"/>
  <c r="C21" i="58"/>
  <c r="J22" i="58"/>
  <c r="K22" i="58" s="1"/>
  <c r="E22" i="136"/>
  <c r="C21" i="136"/>
  <c r="J22" i="136"/>
  <c r="K22" i="136" s="1"/>
  <c r="I52" i="145"/>
  <c r="J51" i="145"/>
  <c r="K45" i="45"/>
  <c r="C18" i="62"/>
  <c r="E19" i="62"/>
  <c r="J19" i="62"/>
  <c r="K19" i="62" s="1"/>
  <c r="E20" i="22"/>
  <c r="C19" i="22"/>
  <c r="J20" i="22"/>
  <c r="K20" i="22" s="1"/>
  <c r="I50" i="98"/>
  <c r="J49" i="98"/>
  <c r="E22" i="100"/>
  <c r="C21" i="100"/>
  <c r="J22" i="100"/>
  <c r="K22" i="100" s="1"/>
  <c r="I52" i="12"/>
  <c r="J51" i="12"/>
  <c r="C19" i="99"/>
  <c r="E20" i="99"/>
  <c r="J20" i="99"/>
  <c r="K20" i="99" s="1"/>
  <c r="CA22" i="2"/>
  <c r="E17" i="156"/>
  <c r="C16" i="156"/>
  <c r="J17" i="156"/>
  <c r="K17" i="156" s="1"/>
  <c r="J48" i="113"/>
  <c r="I49" i="113"/>
  <c r="J46" i="147"/>
  <c r="I47" i="147"/>
  <c r="J46" i="36"/>
  <c r="I47" i="36"/>
  <c r="I47" i="45"/>
  <c r="J46" i="45"/>
  <c r="E19" i="159"/>
  <c r="C18" i="159"/>
  <c r="J19" i="159"/>
  <c r="K19" i="159" s="1"/>
  <c r="E19" i="37"/>
  <c r="C18" i="37"/>
  <c r="J19" i="37"/>
  <c r="K19" i="37" s="1"/>
  <c r="K48" i="98"/>
  <c r="K46" i="87"/>
  <c r="C20" i="151"/>
  <c r="E21" i="151"/>
  <c r="J21" i="151"/>
  <c r="K21" i="151" s="1"/>
  <c r="I48" i="138"/>
  <c r="J47" i="138"/>
  <c r="C20" i="78"/>
  <c r="E21" i="78"/>
  <c r="J21" i="78"/>
  <c r="K21" i="78" s="1"/>
  <c r="I49" i="124"/>
  <c r="J48" i="124"/>
  <c r="C20" i="31"/>
  <c r="E21" i="31"/>
  <c r="J21" i="31"/>
  <c r="K21" i="31" s="1"/>
  <c r="K48" i="9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DT21" i="2"/>
  <c r="I52" i="7"/>
  <c r="J51" i="7"/>
  <c r="J47" i="87"/>
  <c r="I48" i="87"/>
  <c r="K46" i="138"/>
  <c r="I48" i="111"/>
  <c r="J47" i="111"/>
  <c r="I50" i="9"/>
  <c r="J49" i="9"/>
  <c r="I52" i="134"/>
  <c r="J51" i="134"/>
  <c r="K50" i="134" s="1"/>
  <c r="K49" i="94"/>
  <c r="E20" i="81"/>
  <c r="C19" i="81"/>
  <c r="J20" i="81"/>
  <c r="K20" i="81" s="1"/>
  <c r="E20" i="150"/>
  <c r="C19" i="150"/>
  <c r="J20" i="150"/>
  <c r="K20" i="150" s="1"/>
  <c r="I48" i="137"/>
  <c r="J47" i="137"/>
  <c r="K46" i="111"/>
  <c r="I48" i="168"/>
  <c r="J47" i="168"/>
  <c r="K45" i="140"/>
  <c r="K47" i="16"/>
  <c r="E20" i="128"/>
  <c r="C19" i="128"/>
  <c r="J20" i="128"/>
  <c r="K20" i="128" s="1"/>
  <c r="I48" i="144"/>
  <c r="J47" i="144"/>
  <c r="E21" i="162"/>
  <c r="C20" i="162"/>
  <c r="J21" i="162"/>
  <c r="K21" i="162" s="1"/>
  <c r="J49" i="89"/>
  <c r="I50" i="89"/>
  <c r="J47" i="170"/>
  <c r="K46" i="170" s="1"/>
  <c r="I48" i="170"/>
  <c r="K50" i="7"/>
  <c r="K49" i="7"/>
  <c r="I49" i="30"/>
  <c r="J48" i="30"/>
  <c r="C18" i="163"/>
  <c r="E19" i="163"/>
  <c r="J19" i="163"/>
  <c r="K19" i="163" s="1"/>
  <c r="E19" i="72"/>
  <c r="C18" i="72"/>
  <c r="J19" i="72"/>
  <c r="K19" i="72" s="1"/>
  <c r="C17" i="102"/>
  <c r="E18" i="102"/>
  <c r="J18" i="102"/>
  <c r="K18" i="102" s="1"/>
  <c r="C19" i="129"/>
  <c r="E20" i="129"/>
  <c r="J20" i="129"/>
  <c r="K20" i="129" s="1"/>
  <c r="DS20" i="2"/>
  <c r="K46" i="3"/>
  <c r="I47" i="143"/>
  <c r="J46" i="143"/>
  <c r="K46" i="137"/>
  <c r="C17" i="43"/>
  <c r="E18" i="43"/>
  <c r="J18" i="43"/>
  <c r="K18" i="43" s="1"/>
  <c r="AU23" i="2"/>
  <c r="C21" i="49"/>
  <c r="E22" i="49"/>
  <c r="J22" i="49"/>
  <c r="K22" i="49" s="1"/>
  <c r="E20" i="11"/>
  <c r="C19" i="11"/>
  <c r="J20" i="11"/>
  <c r="K20" i="11" s="1"/>
  <c r="I47" i="140"/>
  <c r="J46" i="140"/>
  <c r="K45" i="64"/>
  <c r="K46" i="144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K46" i="84"/>
  <c r="J49" i="172"/>
  <c r="I50" i="172"/>
  <c r="E22" i="50"/>
  <c r="C21" i="50"/>
  <c r="AT22" i="2"/>
  <c r="J22" i="50"/>
  <c r="K22" i="50" s="1"/>
  <c r="I50" i="51"/>
  <c r="J49" i="51"/>
  <c r="J46" i="110"/>
  <c r="I47" i="110"/>
  <c r="I49" i="25"/>
  <c r="J48" i="25"/>
  <c r="K47" i="25" s="1"/>
  <c r="I47" i="64"/>
  <c r="J46" i="64"/>
  <c r="I49" i="23"/>
  <c r="J48" i="23"/>
  <c r="E20" i="16"/>
  <c r="C19" i="16"/>
  <c r="J20" i="16"/>
  <c r="K20" i="16" s="1"/>
  <c r="I49" i="10"/>
  <c r="J48" i="10"/>
  <c r="I47" i="47"/>
  <c r="J46" i="47"/>
  <c r="I49" i="159"/>
  <c r="J48" i="159"/>
  <c r="I47" i="163"/>
  <c r="J46" i="163"/>
  <c r="J46" i="38"/>
  <c r="I47" i="38"/>
  <c r="I48" i="84"/>
  <c r="J47" i="84"/>
  <c r="I48" i="49"/>
  <c r="J47" i="49"/>
  <c r="K48" i="51"/>
  <c r="I49" i="37"/>
  <c r="J48" i="37"/>
  <c r="K47" i="37" s="1"/>
  <c r="I47" i="43"/>
  <c r="J46" i="43"/>
  <c r="K47" i="23"/>
  <c r="C19" i="110"/>
  <c r="E20" i="110"/>
  <c r="J20" i="110"/>
  <c r="K20" i="110" s="1"/>
  <c r="E17" i="146"/>
  <c r="C16" i="146"/>
  <c r="J17" i="146"/>
  <c r="K17" i="146" s="1"/>
  <c r="C20" i="119"/>
  <c r="E21" i="119"/>
  <c r="J21" i="119"/>
  <c r="K21" i="119" s="1"/>
  <c r="E20" i="116"/>
  <c r="C19" i="116"/>
  <c r="J20" i="116"/>
  <c r="K20" i="116" s="1"/>
  <c r="E20" i="130"/>
  <c r="C19" i="130"/>
  <c r="J20" i="130"/>
  <c r="K20" i="130" s="1"/>
  <c r="I50" i="135"/>
  <c r="J49" i="135"/>
  <c r="K47" i="10"/>
  <c r="K46" i="114"/>
  <c r="K45" i="47"/>
  <c r="J48" i="72"/>
  <c r="I49" i="72"/>
  <c r="C16" i="157"/>
  <c r="E17" i="157"/>
  <c r="J17" i="157"/>
  <c r="K17" i="157" s="1"/>
  <c r="K47" i="159"/>
  <c r="K45" i="81"/>
  <c r="I48" i="21"/>
  <c r="J47" i="21"/>
  <c r="K46" i="21" s="1"/>
  <c r="I51" i="82"/>
  <c r="J50" i="82"/>
  <c r="K49" i="82" s="1"/>
  <c r="K46" i="49"/>
  <c r="K47" i="28"/>
  <c r="C14" i="82"/>
  <c r="E15" i="82"/>
  <c r="J15" i="82"/>
  <c r="K15" i="82" s="1"/>
  <c r="K46" i="37"/>
  <c r="K44" i="140"/>
  <c r="K45" i="43"/>
  <c r="J49" i="136"/>
  <c r="I50" i="136"/>
  <c r="I48" i="114"/>
  <c r="J47" i="114"/>
  <c r="J46" i="81"/>
  <c r="I47" i="81"/>
  <c r="K47" i="149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K45" i="91"/>
  <c r="E18" i="59"/>
  <c r="C17" i="59"/>
  <c r="J18" i="59"/>
  <c r="K18" i="59" s="1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K46" i="33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J46" i="96"/>
  <c r="I47" i="96"/>
  <c r="K48" i="128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C19" i="25"/>
  <c r="E20" i="25"/>
  <c r="J20" i="25"/>
  <c r="K20" i="25" s="1"/>
  <c r="E22" i="12"/>
  <c r="C21" i="12"/>
  <c r="M22" i="1"/>
  <c r="X22" i="2"/>
  <c r="J22" i="12"/>
  <c r="K22" i="12" s="1"/>
  <c r="E19" i="124"/>
  <c r="C18" i="124"/>
  <c r="J19" i="124"/>
  <c r="K19" i="124" s="1"/>
  <c r="J47" i="33"/>
  <c r="I48" i="33"/>
  <c r="D61" i="1"/>
  <c r="O61" i="1"/>
  <c r="Z61" i="1"/>
  <c r="AK61" i="1"/>
  <c r="CC61" i="1"/>
  <c r="AV61" i="1"/>
  <c r="BR61" i="1"/>
  <c r="K46" i="56"/>
  <c r="K46" i="20"/>
  <c r="I52" i="61"/>
  <c r="J51" i="61"/>
  <c r="K50" i="61" s="1"/>
  <c r="I50" i="128"/>
  <c r="J49" i="128"/>
  <c r="K47" i="128"/>
  <c r="C19" i="103"/>
  <c r="E20" i="103"/>
  <c r="J20" i="103"/>
  <c r="K20" i="103" s="1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I48" i="56"/>
  <c r="J47" i="20"/>
  <c r="I48" i="20"/>
  <c r="I48" i="123"/>
  <c r="J47" i="123"/>
  <c r="K46" i="123" s="1"/>
  <c r="J47" i="31"/>
  <c r="K46" i="31" s="1"/>
  <c r="I48" i="31"/>
  <c r="K45" i="102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GI61" i="2"/>
  <c r="GH61" i="2"/>
  <c r="K44" i="91"/>
  <c r="I48" i="85"/>
  <c r="J47" i="85"/>
  <c r="J46" i="35"/>
  <c r="K45" i="35" s="1"/>
  <c r="I47" i="35"/>
  <c r="J48" i="68"/>
  <c r="I49" i="68"/>
  <c r="E17" i="87"/>
  <c r="C16" i="87"/>
  <c r="J17" i="87"/>
  <c r="K17" i="87" s="1"/>
  <c r="E22" i="29"/>
  <c r="C21" i="29"/>
  <c r="J22" i="29"/>
  <c r="K22" i="29" s="1"/>
  <c r="K45" i="163"/>
  <c r="K45" i="174"/>
  <c r="C17" i="165"/>
  <c r="E18" i="165"/>
  <c r="J18" i="165"/>
  <c r="K18" i="165" s="1"/>
  <c r="E21" i="80"/>
  <c r="C20" i="80"/>
  <c r="J21" i="80"/>
  <c r="K21" i="80" s="1"/>
  <c r="J47" i="53"/>
  <c r="I48" i="53"/>
  <c r="I47" i="174"/>
  <c r="J46" i="174"/>
  <c r="K46" i="161"/>
  <c r="C18" i="123"/>
  <c r="E19" i="123"/>
  <c r="J19" i="123"/>
  <c r="K19" i="123" s="1"/>
  <c r="I47" i="102"/>
  <c r="J46" i="102"/>
  <c r="K45" i="31"/>
  <c r="K44" i="143"/>
  <c r="K46" i="86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E19" i="106"/>
  <c r="C18" i="106"/>
  <c r="J19" i="106"/>
  <c r="K19" i="106" s="1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K46" i="53"/>
  <c r="AU23" i="1"/>
  <c r="K46" i="149"/>
  <c r="FW23" i="2"/>
  <c r="J47" i="104"/>
  <c r="I48" i="104"/>
  <c r="C20" i="33"/>
  <c r="E21" i="33"/>
  <c r="M21" i="2"/>
  <c r="J21" i="33"/>
  <c r="K21" i="33" s="1"/>
  <c r="E19" i="84"/>
  <c r="C18" i="84"/>
  <c r="J19" i="84"/>
  <c r="K19" i="84" s="1"/>
  <c r="C21" i="91"/>
  <c r="E22" i="91"/>
  <c r="J22" i="91"/>
  <c r="K22" i="91" s="1"/>
  <c r="J50" i="42"/>
  <c r="I51" i="42"/>
  <c r="K47" i="30"/>
  <c r="J46" i="17"/>
  <c r="I47" i="17"/>
  <c r="E19" i="85"/>
  <c r="C18" i="85"/>
  <c r="J19" i="85"/>
  <c r="K19" i="85" s="1"/>
  <c r="J47" i="161"/>
  <c r="I48" i="161"/>
  <c r="J47" i="116"/>
  <c r="I48" i="116"/>
  <c r="I50" i="26"/>
  <c r="J49" i="26"/>
  <c r="K48" i="26" s="1"/>
  <c r="N22" i="2"/>
  <c r="E19" i="73"/>
  <c r="C18" i="73"/>
  <c r="J19" i="73"/>
  <c r="K19" i="73" s="1"/>
  <c r="K44" i="125"/>
  <c r="C20" i="96"/>
  <c r="E21" i="96"/>
  <c r="J21" i="96"/>
  <c r="K21" i="96" s="1"/>
  <c r="I47" i="58"/>
  <c r="J46" i="58"/>
  <c r="I49" i="44"/>
  <c r="J48" i="44"/>
  <c r="I51" i="32"/>
  <c r="J50" i="32"/>
  <c r="K49" i="32" s="1"/>
  <c r="I50" i="78"/>
  <c r="J49" i="78"/>
  <c r="C19" i="5"/>
  <c r="E20" i="5"/>
  <c r="J20" i="5"/>
  <c r="K20" i="5" s="1"/>
  <c r="E19" i="120"/>
  <c r="C18" i="120"/>
  <c r="J19" i="120"/>
  <c r="K19" i="120" s="1"/>
  <c r="E22" i="7"/>
  <c r="C21" i="7"/>
  <c r="AT22" i="1"/>
  <c r="J22" i="7"/>
  <c r="K22" i="7" s="1"/>
  <c r="K48" i="29"/>
  <c r="K47" i="44"/>
  <c r="K44" i="55"/>
  <c r="I47" i="148"/>
  <c r="J46" i="148"/>
  <c r="K45" i="104"/>
  <c r="I48" i="88"/>
  <c r="J47" i="88"/>
  <c r="K45" i="56"/>
  <c r="C20" i="133"/>
  <c r="E21" i="133"/>
  <c r="J21" i="133"/>
  <c r="K21" i="133" s="1"/>
  <c r="DH21" i="2"/>
  <c r="I47" i="40"/>
  <c r="J46" i="40"/>
  <c r="E21" i="97"/>
  <c r="C20" i="97"/>
  <c r="J21" i="97"/>
  <c r="K21" i="97" s="1"/>
  <c r="I48" i="57"/>
  <c r="J47" i="57"/>
  <c r="E21" i="15"/>
  <c r="C20" i="15"/>
  <c r="J21" i="15"/>
  <c r="K21" i="15" s="1"/>
  <c r="K45" i="144"/>
  <c r="C21" i="27"/>
  <c r="E22" i="27"/>
  <c r="J22" i="27"/>
  <c r="K22" i="27" s="1"/>
  <c r="I50" i="142"/>
  <c r="J49" i="142"/>
  <c r="K48" i="78"/>
  <c r="K46" i="67"/>
  <c r="FL22" i="2"/>
  <c r="FA22" i="2"/>
  <c r="J49" i="29"/>
  <c r="I50" i="29"/>
  <c r="C21" i="42"/>
  <c r="E22" i="42"/>
  <c r="J22" i="42"/>
  <c r="K22" i="42" s="1"/>
  <c r="FV22" i="2"/>
  <c r="K45" i="148"/>
  <c r="I48" i="73"/>
  <c r="J47" i="73"/>
  <c r="K46" i="88"/>
  <c r="K45" i="84"/>
  <c r="C20" i="77"/>
  <c r="E21" i="77"/>
  <c r="J21" i="77"/>
  <c r="K21" i="77" s="1"/>
  <c r="K46" i="68"/>
  <c r="K46" i="57"/>
  <c r="C18" i="51"/>
  <c r="E19" i="51"/>
  <c r="J19" i="51"/>
  <c r="K19" i="51" s="1"/>
  <c r="IV23" i="2"/>
  <c r="K48" i="136"/>
  <c r="K45" i="17"/>
  <c r="E20" i="4"/>
  <c r="C19" i="4"/>
  <c r="J20" i="4"/>
  <c r="K20" i="4" s="1"/>
  <c r="E19" i="69"/>
  <c r="C18" i="69"/>
  <c r="J19" i="69"/>
  <c r="K19" i="69" s="1"/>
  <c r="CX21" i="2"/>
  <c r="J47" i="67"/>
  <c r="I48" i="67"/>
  <c r="I49" i="158"/>
  <c r="J48" i="158"/>
  <c r="E21" i="88"/>
  <c r="C20" i="88"/>
  <c r="J21" i="88"/>
  <c r="K21" i="88" s="1"/>
  <c r="K45" i="166"/>
  <c r="J51" i="133"/>
  <c r="K50" i="133" s="1"/>
  <c r="I52" i="133"/>
  <c r="C16" i="166"/>
  <c r="E17" i="166"/>
  <c r="J17" i="166"/>
  <c r="K17" i="166" s="1"/>
  <c r="E18" i="45"/>
  <c r="C17" i="45"/>
  <c r="J18" i="45"/>
  <c r="K18" i="45" s="1"/>
  <c r="E19" i="173"/>
  <c r="C18" i="173"/>
  <c r="J19" i="173"/>
  <c r="K19" i="173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CB23" i="1"/>
  <c r="E22" i="170"/>
  <c r="C21" i="170"/>
  <c r="J22" i="170"/>
  <c r="K22" i="170" s="1"/>
  <c r="C20" i="134"/>
  <c r="E21" i="134"/>
  <c r="EZ21" i="2"/>
  <c r="J21" i="134"/>
  <c r="K21" i="134" s="1"/>
  <c r="J46" i="166"/>
  <c r="I47" i="166"/>
  <c r="E17" i="32"/>
  <c r="C16" i="32"/>
  <c r="J17" i="32"/>
  <c r="K17" i="32" s="1"/>
  <c r="K46" i="154"/>
  <c r="E20" i="9"/>
  <c r="C19" i="9"/>
  <c r="J20" i="9"/>
  <c r="K20" i="9" s="1"/>
  <c r="C19" i="161"/>
  <c r="E20" i="161"/>
  <c r="J20" i="161"/>
  <c r="K20" i="161" s="1"/>
  <c r="C19" i="137"/>
  <c r="E20" i="137"/>
  <c r="J20" i="137"/>
  <c r="K20" i="137" s="1"/>
  <c r="K45" i="65"/>
  <c r="C20" i="122"/>
  <c r="E21" i="122"/>
  <c r="J21" i="122"/>
  <c r="K21" i="122" s="1"/>
  <c r="C20" i="44"/>
  <c r="E21" i="44"/>
  <c r="J21" i="44"/>
  <c r="K21" i="44" s="1"/>
  <c r="K46" i="50"/>
  <c r="E22" i="143"/>
  <c r="C21" i="143"/>
  <c r="J22" i="143"/>
  <c r="K22" i="143" s="1"/>
  <c r="I51" i="27"/>
  <c r="J50" i="27"/>
  <c r="E19" i="47"/>
  <c r="C18" i="47"/>
  <c r="J19" i="47"/>
  <c r="K19" i="47" s="1"/>
  <c r="E22" i="6"/>
  <c r="C21" i="6"/>
  <c r="CA22" i="1"/>
  <c r="I51" i="71"/>
  <c r="J50" i="71"/>
  <c r="BQ23" i="1"/>
  <c r="K44" i="58"/>
  <c r="J49" i="156"/>
  <c r="I50" i="156"/>
  <c r="I48" i="154"/>
  <c r="J47" i="154"/>
  <c r="E21" i="23"/>
  <c r="C20" i="23"/>
  <c r="J21" i="23"/>
  <c r="K21" i="23" s="1"/>
  <c r="I47" i="65"/>
  <c r="J46" i="65"/>
  <c r="J48" i="18"/>
  <c r="K47" i="18" s="1"/>
  <c r="I49" i="18"/>
  <c r="K45" i="49"/>
  <c r="J47" i="106"/>
  <c r="I48" i="106"/>
  <c r="K49" i="27"/>
  <c r="K44" i="64"/>
  <c r="E22" i="92"/>
  <c r="C21" i="92"/>
  <c r="J22" i="92"/>
  <c r="K22" i="92" s="1"/>
  <c r="I51" i="59"/>
  <c r="J50" i="59"/>
  <c r="K49" i="59" s="1"/>
  <c r="E20" i="64"/>
  <c r="C19" i="64"/>
  <c r="J20" i="64"/>
  <c r="K20" i="64" s="1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K49" i="7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E20" i="74"/>
  <c r="C19" i="74"/>
  <c r="J20" i="74"/>
  <c r="K20" i="74" s="1"/>
  <c r="K45" i="87"/>
  <c r="E21" i="145"/>
  <c r="C20" i="145"/>
  <c r="J21" i="145"/>
  <c r="K21" i="145" s="1"/>
  <c r="C19" i="60"/>
  <c r="E20" i="60"/>
  <c r="J20" i="60"/>
  <c r="K20" i="60" s="1"/>
  <c r="I48" i="97"/>
  <c r="J47" i="97"/>
  <c r="K46" i="126"/>
  <c r="C19" i="57"/>
  <c r="E20" i="57"/>
  <c r="J20" i="57"/>
  <c r="K20" i="57" s="1"/>
  <c r="C20" i="164"/>
  <c r="E21" i="164"/>
  <c r="J21" i="164"/>
  <c r="K21" i="164" s="1"/>
  <c r="K48" i="164"/>
  <c r="E22" i="152"/>
  <c r="C21" i="152"/>
  <c r="J22" i="152"/>
  <c r="K22" i="152" s="1"/>
  <c r="I47" i="141"/>
  <c r="J46" i="141"/>
  <c r="K45" i="141" s="1"/>
  <c r="I48" i="5"/>
  <c r="J47" i="5"/>
  <c r="K46" i="5" s="1"/>
  <c r="K47" i="115"/>
  <c r="E20" i="118"/>
  <c r="C19" i="118"/>
  <c r="J20" i="118"/>
  <c r="K20" i="118" s="1"/>
  <c r="C14" i="98"/>
  <c r="E15" i="98"/>
  <c r="J15" i="98"/>
  <c r="K15" i="98" s="1"/>
  <c r="E18" i="131"/>
  <c r="C17" i="131"/>
  <c r="J18" i="131"/>
  <c r="K18" i="131" s="1"/>
  <c r="C18" i="149"/>
  <c r="E19" i="149"/>
  <c r="J19" i="149"/>
  <c r="K19" i="149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I48" i="126"/>
  <c r="E21" i="79"/>
  <c r="C20" i="79"/>
  <c r="J21" i="79"/>
  <c r="K21" i="79" s="1"/>
  <c r="I52" i="75"/>
  <c r="J51" i="75"/>
  <c r="K45" i="170"/>
  <c r="J48" i="115"/>
  <c r="I49" i="115"/>
  <c r="C21" i="172"/>
  <c r="E22" i="172"/>
  <c r="J22" i="172"/>
  <c r="K22" i="172" s="1"/>
  <c r="I50" i="77"/>
  <c r="J49" i="77"/>
  <c r="J46" i="34"/>
  <c r="I47" i="34"/>
  <c r="K48" i="82"/>
  <c r="J50" i="79"/>
  <c r="I51" i="79"/>
  <c r="C17" i="160"/>
  <c r="E18" i="160"/>
  <c r="J18" i="160"/>
  <c r="K18" i="160" s="1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E19" i="61"/>
  <c r="C18" i="61"/>
  <c r="J19" i="61"/>
  <c r="K19" i="61" s="1"/>
  <c r="K44" i="109"/>
  <c r="I48" i="52"/>
  <c r="J47" i="52"/>
  <c r="K46" i="52" s="1"/>
  <c r="K49" i="79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E19" i="168"/>
  <c r="C18" i="168"/>
  <c r="J19" i="168"/>
  <c r="K19" i="168" s="1"/>
  <c r="J47" i="131"/>
  <c r="K46" i="131" s="1"/>
  <c r="I48" i="131"/>
  <c r="K46" i="60"/>
  <c r="E21" i="71"/>
  <c r="C20" i="71"/>
  <c r="J21" i="71"/>
  <c r="K21" i="71" s="1"/>
  <c r="I48" i="70"/>
  <c r="J47" i="70"/>
  <c r="J48" i="63"/>
  <c r="I49" i="63"/>
  <c r="I51" i="14"/>
  <c r="J50" i="14"/>
  <c r="CL22" i="2"/>
  <c r="C19" i="54"/>
  <c r="E20" i="54"/>
  <c r="J20" i="54"/>
  <c r="K20" i="54" s="1"/>
  <c r="K47" i="92"/>
  <c r="K45" i="38"/>
  <c r="C17" i="34"/>
  <c r="E18" i="34"/>
  <c r="J18" i="34"/>
  <c r="K18" i="34" s="1"/>
  <c r="I47" i="105"/>
  <c r="J46" i="105"/>
  <c r="K44" i="8"/>
  <c r="E19" i="171"/>
  <c r="C18" i="171"/>
  <c r="J19" i="171"/>
  <c r="K19" i="171" s="1"/>
  <c r="E18" i="105"/>
  <c r="C17" i="105"/>
  <c r="J18" i="105"/>
  <c r="K18" i="105" s="1"/>
  <c r="K64" i="150"/>
  <c r="AJ23" i="1"/>
  <c r="J51" i="46"/>
  <c r="I52" i="46"/>
  <c r="K46" i="70"/>
  <c r="C20" i="101"/>
  <c r="E21" i="101"/>
  <c r="J21" i="101"/>
  <c r="K21" i="101" s="1"/>
  <c r="J46" i="95"/>
  <c r="I47" i="95"/>
  <c r="J47" i="103"/>
  <c r="I48" i="103"/>
  <c r="K47" i="63"/>
  <c r="C20" i="36"/>
  <c r="E21" i="36"/>
  <c r="J21" i="36"/>
  <c r="K21" i="36" s="1"/>
  <c r="K49" i="134"/>
  <c r="I48" i="76"/>
  <c r="J47" i="76"/>
  <c r="K45" i="90"/>
  <c r="E17" i="138"/>
  <c r="C16" i="138"/>
  <c r="J17" i="138"/>
  <c r="K17" i="138" s="1"/>
  <c r="I49" i="92"/>
  <c r="J48" i="92"/>
  <c r="K44" i="110"/>
  <c r="J48" i="129"/>
  <c r="K47" i="129" s="1"/>
  <c r="I49" i="129"/>
  <c r="J47" i="169"/>
  <c r="K46" i="169" s="1"/>
  <c r="I48" i="169"/>
  <c r="J47" i="54"/>
  <c r="I48" i="54"/>
  <c r="K45" i="119"/>
  <c r="C19" i="139"/>
  <c r="E20" i="139"/>
  <c r="J20" i="139"/>
  <c r="K20" i="139" s="1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126"/>
  <c r="K45" i="57"/>
  <c r="I47" i="11"/>
  <c r="J46" i="11"/>
  <c r="C21" i="107"/>
  <c r="BE21" i="2" s="1"/>
  <c r="E22" i="107"/>
  <c r="J22" i="107"/>
  <c r="K22" i="107" s="1"/>
  <c r="K46" i="54"/>
  <c r="I49" i="167"/>
  <c r="J48" i="167"/>
  <c r="AI22" i="1"/>
  <c r="I48" i="155"/>
  <c r="J47" i="155"/>
  <c r="K45" i="114"/>
  <c r="J48" i="83"/>
  <c r="K47" i="83" s="1"/>
  <c r="I49" i="83"/>
  <c r="I66" i="150"/>
  <c r="J65" i="150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155"/>
  <c r="K46" i="83"/>
  <c r="I50" i="117"/>
  <c r="J49" i="117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K46" i="4"/>
  <c r="I48" i="108"/>
  <c r="J47" i="108"/>
  <c r="I48" i="162"/>
  <c r="J47" i="162"/>
  <c r="K45" i="97"/>
  <c r="K47" i="173"/>
  <c r="K45" i="11"/>
  <c r="HD23" i="2"/>
  <c r="K47" i="167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48" i="117"/>
  <c r="K50" i="12"/>
  <c r="I48" i="4"/>
  <c r="J47" i="4"/>
  <c r="I50" i="16"/>
  <c r="J49" i="16"/>
  <c r="K46" i="162"/>
  <c r="E19" i="86"/>
  <c r="C18" i="86"/>
  <c r="J19" i="86"/>
  <c r="K19" i="86" s="1"/>
  <c r="I49" i="173"/>
  <c r="J48" i="173"/>
  <c r="K45" i="123"/>
  <c r="CM21" i="2" l="1"/>
  <c r="BF21" i="2"/>
  <c r="C15" i="138"/>
  <c r="E16" i="138"/>
  <c r="J16" i="138"/>
  <c r="K16" i="138" s="1"/>
  <c r="K47" i="97"/>
  <c r="E21" i="93"/>
  <c r="C20" i="93"/>
  <c r="J21" i="93"/>
  <c r="K21" i="93" s="1"/>
  <c r="E20" i="88"/>
  <c r="C19" i="88"/>
  <c r="J20" i="88"/>
  <c r="K20" i="88" s="1"/>
  <c r="J47" i="40"/>
  <c r="I48" i="40"/>
  <c r="K46" i="58"/>
  <c r="C18" i="94"/>
  <c r="E19" i="94"/>
  <c r="J19" i="94"/>
  <c r="K19" i="94" s="1"/>
  <c r="I48" i="102"/>
  <c r="J47" i="102"/>
  <c r="J48" i="80"/>
  <c r="I49" i="80"/>
  <c r="Y22" i="2"/>
  <c r="E17" i="43"/>
  <c r="C16" i="43"/>
  <c r="J17" i="43"/>
  <c r="K17" i="43" s="1"/>
  <c r="I49" i="144"/>
  <c r="J48" i="144"/>
  <c r="I51" i="98"/>
  <c r="J50" i="98"/>
  <c r="I51" i="127"/>
  <c r="J50" i="127"/>
  <c r="J48" i="153"/>
  <c r="I49" i="153"/>
  <c r="K49" i="127"/>
  <c r="E18" i="61"/>
  <c r="C17" i="61"/>
  <c r="J18" i="61"/>
  <c r="K18" i="61" s="1"/>
  <c r="I49" i="97"/>
  <c r="J48" i="97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E18" i="84"/>
  <c r="C17" i="84"/>
  <c r="J18" i="84"/>
  <c r="K18" i="84" s="1"/>
  <c r="N22" i="1"/>
  <c r="C17" i="127"/>
  <c r="E18" i="127"/>
  <c r="J18" i="127"/>
  <c r="K18" i="127" s="1"/>
  <c r="C18" i="17"/>
  <c r="E19" i="17"/>
  <c r="J19" i="17"/>
  <c r="K19" i="17" s="1"/>
  <c r="I48" i="38"/>
  <c r="J47" i="38"/>
  <c r="C17" i="106"/>
  <c r="E18" i="106"/>
  <c r="J18" i="106"/>
  <c r="K18" i="106" s="1"/>
  <c r="I49" i="86"/>
  <c r="J48" i="86"/>
  <c r="E21" i="12"/>
  <c r="C20" i="12"/>
  <c r="X21" i="2"/>
  <c r="M21" i="1"/>
  <c r="J21" i="12"/>
  <c r="K21" i="12" s="1"/>
  <c r="K46" i="38"/>
  <c r="K46" i="143"/>
  <c r="C18" i="128"/>
  <c r="E19" i="128"/>
  <c r="J19" i="128"/>
  <c r="K19" i="128" s="1"/>
  <c r="K50" i="94"/>
  <c r="E18" i="37"/>
  <c r="C17" i="37"/>
  <c r="J18" i="37"/>
  <c r="K18" i="37" s="1"/>
  <c r="E19" i="22"/>
  <c r="C18" i="22"/>
  <c r="J19" i="22"/>
  <c r="K19" i="22" s="1"/>
  <c r="IK21" i="2"/>
  <c r="I51" i="48"/>
  <c r="J50" i="48"/>
  <c r="K46" i="34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E21" i="158"/>
  <c r="C20" i="158"/>
  <c r="J21" i="158"/>
  <c r="K21" i="158" s="1"/>
  <c r="K46" i="163"/>
  <c r="E19" i="148"/>
  <c r="C18" i="148"/>
  <c r="J19" i="148"/>
  <c r="K19" i="148" s="1"/>
  <c r="I48" i="143"/>
  <c r="J47" i="143"/>
  <c r="J51" i="94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K46" i="100"/>
  <c r="K46" i="55"/>
  <c r="E20" i="76"/>
  <c r="C19" i="76"/>
  <c r="J20" i="76"/>
  <c r="K20" i="76" s="1"/>
  <c r="I52" i="24"/>
  <c r="K49" i="135"/>
  <c r="I48" i="163"/>
  <c r="J47" i="163"/>
  <c r="J47" i="34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I48" i="100"/>
  <c r="I48" i="81"/>
  <c r="J47" i="81"/>
  <c r="I51" i="135"/>
  <c r="J50" i="135"/>
  <c r="K48" i="159"/>
  <c r="DT20" i="2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E19" i="60"/>
  <c r="C18" i="60"/>
  <c r="J19" i="60"/>
  <c r="K19" i="60" s="1"/>
  <c r="I49" i="4"/>
  <c r="J48" i="4"/>
  <c r="C18" i="75"/>
  <c r="E19" i="75"/>
  <c r="J19" i="75"/>
  <c r="K19" i="75" s="1"/>
  <c r="IK22" i="2"/>
  <c r="K48" i="48"/>
  <c r="C17" i="149"/>
  <c r="E18" i="149"/>
  <c r="J18" i="149"/>
  <c r="K18" i="149" s="1"/>
  <c r="E20" i="145"/>
  <c r="C19" i="145"/>
  <c r="J20" i="145"/>
  <c r="K20" i="145" s="1"/>
  <c r="BQ22" i="1"/>
  <c r="J48" i="154"/>
  <c r="K47" i="154" s="1"/>
  <c r="I49" i="154"/>
  <c r="K48" i="66"/>
  <c r="E21" i="42"/>
  <c r="C20" i="42"/>
  <c r="J21" i="42"/>
  <c r="K21" i="42" s="1"/>
  <c r="FV21" i="2"/>
  <c r="C19" i="33"/>
  <c r="E20" i="33"/>
  <c r="J20" i="33"/>
  <c r="K20" i="33" s="1"/>
  <c r="K46" i="171"/>
  <c r="I48" i="174"/>
  <c r="J47" i="174"/>
  <c r="C18" i="25"/>
  <c r="E19" i="25"/>
  <c r="J19" i="25"/>
  <c r="K19" i="25" s="1"/>
  <c r="K46" i="81"/>
  <c r="I50" i="159"/>
  <c r="J49" i="159"/>
  <c r="E18" i="159"/>
  <c r="C17" i="159"/>
  <c r="J18" i="159"/>
  <c r="K18" i="159" s="1"/>
  <c r="C17" i="62"/>
  <c r="E18" i="62"/>
  <c r="J18" i="62"/>
  <c r="K18" i="62" s="1"/>
  <c r="E20" i="63"/>
  <c r="C19" i="63"/>
  <c r="J20" i="63"/>
  <c r="K20" i="63" s="1"/>
  <c r="K47" i="19"/>
  <c r="K49" i="13"/>
  <c r="K48" i="127"/>
  <c r="I51" i="164"/>
  <c r="J50" i="164"/>
  <c r="I49" i="151"/>
  <c r="J48" i="151"/>
  <c r="I51" i="156"/>
  <c r="J50" i="156"/>
  <c r="J49" i="66"/>
  <c r="I50" i="66"/>
  <c r="J48" i="88"/>
  <c r="I49" i="88"/>
  <c r="I49" i="104"/>
  <c r="J48" i="104"/>
  <c r="I48" i="171"/>
  <c r="J47" i="171"/>
  <c r="I49" i="53"/>
  <c r="J48" i="53"/>
  <c r="E20" i="153"/>
  <c r="C19" i="153"/>
  <c r="J20" i="153"/>
  <c r="K20" i="153" s="1"/>
  <c r="I48" i="96"/>
  <c r="J47" i="96"/>
  <c r="K46" i="96" s="1"/>
  <c r="I49" i="119"/>
  <c r="J48" i="119"/>
  <c r="E19" i="130"/>
  <c r="C18" i="130"/>
  <c r="J19" i="130"/>
  <c r="K19" i="130" s="1"/>
  <c r="K47" i="72"/>
  <c r="I49" i="168"/>
  <c r="J48" i="168"/>
  <c r="C20" i="8"/>
  <c r="E21" i="8"/>
  <c r="HC21" i="2"/>
  <c r="BP21" i="1"/>
  <c r="J21" i="8"/>
  <c r="K21" i="8" s="1"/>
  <c r="K49" i="156"/>
  <c r="K46" i="109"/>
  <c r="I51" i="29"/>
  <c r="J50" i="29"/>
  <c r="C17" i="73"/>
  <c r="E18" i="73"/>
  <c r="J18" i="73"/>
  <c r="K18" i="73" s="1"/>
  <c r="K47" i="104"/>
  <c r="K47" i="53"/>
  <c r="K47" i="119"/>
  <c r="E19" i="18"/>
  <c r="C18" i="18"/>
  <c r="J19" i="18"/>
  <c r="K19" i="18" s="1"/>
  <c r="E19" i="129"/>
  <c r="C18" i="129"/>
  <c r="J19" i="129"/>
  <c r="K19" i="129" s="1"/>
  <c r="DS19" i="2"/>
  <c r="E20" i="21"/>
  <c r="C19" i="21"/>
  <c r="J20" i="21"/>
  <c r="K20" i="21" s="1"/>
  <c r="I49" i="19"/>
  <c r="J48" i="19"/>
  <c r="K46" i="76"/>
  <c r="J50" i="132"/>
  <c r="I51" i="132"/>
  <c r="E21" i="172"/>
  <c r="C20" i="172"/>
  <c r="J21" i="172"/>
  <c r="K21" i="172" s="1"/>
  <c r="K45" i="105"/>
  <c r="I48" i="120"/>
  <c r="J47" i="120"/>
  <c r="C18" i="161"/>
  <c r="E19" i="161"/>
  <c r="J19" i="161"/>
  <c r="K19" i="161" s="1"/>
  <c r="J47" i="109"/>
  <c r="I48" i="109"/>
  <c r="C17" i="69"/>
  <c r="E18" i="69"/>
  <c r="J18" i="69"/>
  <c r="K18" i="69" s="1"/>
  <c r="I49" i="121"/>
  <c r="J48" i="121"/>
  <c r="K47" i="121" s="1"/>
  <c r="C18" i="103"/>
  <c r="E19" i="103"/>
  <c r="J19" i="103"/>
  <c r="K19" i="103" s="1"/>
  <c r="E19" i="68"/>
  <c r="C18" i="68"/>
  <c r="J19" i="68"/>
  <c r="K19" i="68" s="1"/>
  <c r="I49" i="114"/>
  <c r="J48" i="114"/>
  <c r="J47" i="47"/>
  <c r="I48" i="47"/>
  <c r="K47" i="13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50" i="145"/>
  <c r="E19" i="104"/>
  <c r="C18" i="104"/>
  <c r="J19" i="104"/>
  <c r="K19" i="104" s="1"/>
  <c r="E20" i="36"/>
  <c r="C19" i="36"/>
  <c r="J20" i="36"/>
  <c r="K20" i="36" s="1"/>
  <c r="J50" i="13"/>
  <c r="I51" i="13"/>
  <c r="E21" i="46"/>
  <c r="C20" i="46"/>
  <c r="AI20" i="1" s="1"/>
  <c r="J21" i="46"/>
  <c r="K21" i="46" s="1"/>
  <c r="AI21" i="1"/>
  <c r="BQ22" i="2"/>
  <c r="C17" i="39"/>
  <c r="E18" i="39"/>
  <c r="J18" i="39"/>
  <c r="K18" i="39" s="1"/>
  <c r="K65" i="150"/>
  <c r="I49" i="103"/>
  <c r="J48" i="103"/>
  <c r="I50" i="115"/>
  <c r="J49" i="115"/>
  <c r="C20" i="52"/>
  <c r="E21" i="52"/>
  <c r="BP21" i="2"/>
  <c r="J21" i="52"/>
  <c r="K21" i="52" s="1"/>
  <c r="J66" i="150"/>
  <c r="K66" i="150" s="1"/>
  <c r="I67" i="150"/>
  <c r="J67" i="150" s="1"/>
  <c r="K46" i="19"/>
  <c r="K47" i="103"/>
  <c r="K48" i="115"/>
  <c r="K49" i="107"/>
  <c r="C18" i="9"/>
  <c r="E19" i="9"/>
  <c r="J19" i="9"/>
  <c r="K19" i="9" s="1"/>
  <c r="K49" i="128"/>
  <c r="I51" i="136"/>
  <c r="J50" i="136"/>
  <c r="J49" i="10"/>
  <c r="I50" i="10"/>
  <c r="C16" i="102"/>
  <c r="E17" i="102"/>
  <c r="J17" i="102"/>
  <c r="K17" i="102" s="1"/>
  <c r="K45" i="143"/>
  <c r="I48" i="36"/>
  <c r="J47" i="36"/>
  <c r="C20" i="136"/>
  <c r="E21" i="136"/>
  <c r="J21" i="136"/>
  <c r="K21" i="136" s="1"/>
  <c r="C16" i="131"/>
  <c r="E17" i="131"/>
  <c r="J17" i="131"/>
  <c r="K17" i="131" s="1"/>
  <c r="E19" i="74"/>
  <c r="C18" i="74"/>
  <c r="J19" i="74"/>
  <c r="K19" i="74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C13" i="98"/>
  <c r="E14" i="98"/>
  <c r="J14" i="98"/>
  <c r="K14" i="98" s="1"/>
  <c r="E19" i="64"/>
  <c r="C18" i="64"/>
  <c r="J19" i="64"/>
  <c r="K19" i="64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I51" i="128"/>
  <c r="E21" i="90"/>
  <c r="C20" i="90"/>
  <c r="J21" i="90"/>
  <c r="K21" i="90" s="1"/>
  <c r="K49" i="136"/>
  <c r="K48" i="135"/>
  <c r="K48" i="107"/>
  <c r="E21" i="28"/>
  <c r="C20" i="28"/>
  <c r="J21" i="28"/>
  <c r="K21" i="28" s="1"/>
  <c r="K46" i="36"/>
  <c r="K46" i="95"/>
  <c r="CM22" i="2"/>
  <c r="K51" i="15"/>
  <c r="E19" i="83"/>
  <c r="C18" i="83"/>
  <c r="J19" i="83"/>
  <c r="K19" i="83" s="1"/>
  <c r="J51" i="71"/>
  <c r="I52" i="71"/>
  <c r="J47" i="146"/>
  <c r="I48" i="146"/>
  <c r="K51" i="61"/>
  <c r="E19" i="150"/>
  <c r="C18" i="150"/>
  <c r="J19" i="150"/>
  <c r="K19" i="150" s="1"/>
  <c r="J47" i="147"/>
  <c r="K46" i="147" s="1"/>
  <c r="I48" i="147"/>
  <c r="I52" i="22"/>
  <c r="J51" i="22"/>
  <c r="I53" i="15"/>
  <c r="J52" i="15"/>
  <c r="C18" i="118"/>
  <c r="E19" i="118"/>
  <c r="J19" i="118"/>
  <c r="K19" i="118" s="1"/>
  <c r="C20" i="155"/>
  <c r="CL20" i="2" s="1"/>
  <c r="E21" i="155"/>
  <c r="J21" i="155"/>
  <c r="K21" i="155" s="1"/>
  <c r="AI21" i="2"/>
  <c r="CB22" i="1"/>
  <c r="K46" i="146"/>
  <c r="E19" i="4"/>
  <c r="C18" i="4"/>
  <c r="J19" i="4"/>
  <c r="K19" i="4" s="1"/>
  <c r="I51" i="26"/>
  <c r="J50" i="26"/>
  <c r="K49" i="26" s="1"/>
  <c r="E20" i="147"/>
  <c r="C19" i="147"/>
  <c r="J20" i="147"/>
  <c r="K20" i="147" s="1"/>
  <c r="C16" i="165"/>
  <c r="E17" i="165"/>
  <c r="J17" i="165"/>
  <c r="K17" i="165" s="1"/>
  <c r="I49" i="31"/>
  <c r="J48" i="31"/>
  <c r="K47" i="31" s="1"/>
  <c r="J52" i="6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E18" i="72"/>
  <c r="C17" i="72"/>
  <c r="J18" i="72"/>
  <c r="K18" i="72" s="1"/>
  <c r="I48" i="69"/>
  <c r="J47" i="69"/>
  <c r="C20" i="58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E21" i="7"/>
  <c r="C20" i="7"/>
  <c r="AT21" i="1"/>
  <c r="J21" i="7"/>
  <c r="K21" i="7" s="1"/>
  <c r="K47" i="123"/>
  <c r="K45" i="96"/>
  <c r="E16" i="146"/>
  <c r="C15" i="146"/>
  <c r="J16" i="146"/>
  <c r="K16" i="146" s="1"/>
  <c r="E19" i="81"/>
  <c r="C18" i="81"/>
  <c r="J19" i="81"/>
  <c r="K19" i="81" s="1"/>
  <c r="K48" i="113"/>
  <c r="E20" i="140"/>
  <c r="C19" i="140"/>
  <c r="J20" i="140"/>
  <c r="K20" i="140" s="1"/>
  <c r="J51" i="59"/>
  <c r="I52" i="59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I49" i="123"/>
  <c r="I50" i="23"/>
  <c r="J49" i="23"/>
  <c r="K48" i="16"/>
  <c r="K50" i="59"/>
  <c r="C15" i="32"/>
  <c r="E16" i="32"/>
  <c r="J16" i="32"/>
  <c r="K16" i="32" s="1"/>
  <c r="HZ21" i="2"/>
  <c r="K48" i="63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C13" i="82"/>
  <c r="E14" i="82"/>
  <c r="J14" i="82"/>
  <c r="K14" i="82" s="1"/>
  <c r="K46" i="64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FK20" i="2" s="1"/>
  <c r="J21" i="55"/>
  <c r="K21" i="55" s="1"/>
  <c r="E19" i="139"/>
  <c r="C18" i="139"/>
  <c r="J19" i="139"/>
  <c r="K19" i="139" s="1"/>
  <c r="K51" i="46"/>
  <c r="K45" i="95"/>
  <c r="K46" i="141"/>
  <c r="C19" i="41"/>
  <c r="E20" i="41"/>
  <c r="J20" i="41"/>
  <c r="K20" i="41" s="1"/>
  <c r="K51" i="74"/>
  <c r="E21" i="92"/>
  <c r="C20" i="92"/>
  <c r="HN20" i="2" s="1"/>
  <c r="J21" i="92"/>
  <c r="K21" i="92" s="1"/>
  <c r="C17" i="173"/>
  <c r="E18" i="173"/>
  <c r="J18" i="173"/>
  <c r="K18" i="173" s="1"/>
  <c r="C17" i="120"/>
  <c r="E18" i="120"/>
  <c r="J18" i="120"/>
  <c r="K18" i="120" s="1"/>
  <c r="BG60" i="1"/>
  <c r="BF60" i="1"/>
  <c r="E21" i="29"/>
  <c r="C20" i="29"/>
  <c r="X20" i="1" s="1"/>
  <c r="J21" i="29"/>
  <c r="K21" i="29" s="1"/>
  <c r="X21" i="1"/>
  <c r="I49" i="20"/>
  <c r="J48" i="20"/>
  <c r="I50" i="28"/>
  <c r="J49" i="28"/>
  <c r="K48" i="28" s="1"/>
  <c r="I48" i="64"/>
  <c r="J47" i="64"/>
  <c r="J47" i="140"/>
  <c r="I48" i="140"/>
  <c r="C19" i="117"/>
  <c r="E20" i="117"/>
  <c r="J20" i="117"/>
  <c r="K20" i="117" s="1"/>
  <c r="K47" i="155"/>
  <c r="J51" i="14"/>
  <c r="I52" i="14"/>
  <c r="K51" i="75"/>
  <c r="I50" i="167"/>
  <c r="J49" i="167"/>
  <c r="J47" i="160"/>
  <c r="I48" i="160"/>
  <c r="K50" i="15"/>
  <c r="I48" i="141"/>
  <c r="J47" i="141"/>
  <c r="J52" i="74"/>
  <c r="I53" i="74"/>
  <c r="K50" i="27"/>
  <c r="FA21" i="2"/>
  <c r="E21" i="27"/>
  <c r="C20" i="27"/>
  <c r="IJ20" i="2" s="1"/>
  <c r="J21" i="27"/>
  <c r="K21" i="27" s="1"/>
  <c r="C17" i="85"/>
  <c r="E18" i="85"/>
  <c r="J18" i="85"/>
  <c r="K18" i="85" s="1"/>
  <c r="I51" i="101"/>
  <c r="J50" i="101"/>
  <c r="GI60" i="2"/>
  <c r="GH60" i="2"/>
  <c r="K47" i="20"/>
  <c r="E19" i="110"/>
  <c r="C18" i="110"/>
  <c r="J19" i="110"/>
  <c r="K19" i="110" s="1"/>
  <c r="K48" i="25"/>
  <c r="I50" i="30"/>
  <c r="J49" i="30"/>
  <c r="K51" i="134"/>
  <c r="C19" i="31"/>
  <c r="E20" i="31"/>
  <c r="CA20" i="2"/>
  <c r="J20" i="31"/>
  <c r="K20" i="31" s="1"/>
  <c r="C15" i="156"/>
  <c r="E16" i="156"/>
  <c r="J16" i="156"/>
  <c r="K16" i="156" s="1"/>
  <c r="J48" i="3"/>
  <c r="I49" i="3"/>
  <c r="I49" i="54"/>
  <c r="J48" i="54"/>
  <c r="K47" i="54" s="1"/>
  <c r="E20" i="35"/>
  <c r="C19" i="35"/>
  <c r="J20" i="35"/>
  <c r="K20" i="35" s="1"/>
  <c r="I49" i="126"/>
  <c r="J48" i="126"/>
  <c r="C18" i="65"/>
  <c r="E19" i="65"/>
  <c r="J19" i="65"/>
  <c r="K19" i="65" s="1"/>
  <c r="K48" i="122"/>
  <c r="I52" i="27"/>
  <c r="J51" i="27"/>
  <c r="K49" i="10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I50" i="25"/>
  <c r="C18" i="11"/>
  <c r="E19" i="11"/>
  <c r="J19" i="11"/>
  <c r="K19" i="11" s="1"/>
  <c r="J52" i="134"/>
  <c r="I53" i="134"/>
  <c r="K47" i="3"/>
  <c r="E18" i="141"/>
  <c r="C17" i="141"/>
  <c r="J18" i="141"/>
  <c r="K18" i="141" s="1"/>
  <c r="I49" i="155"/>
  <c r="J48" i="155"/>
  <c r="E20" i="101"/>
  <c r="C19" i="101"/>
  <c r="J20" i="101"/>
  <c r="K20" i="101" s="1"/>
  <c r="I50" i="63"/>
  <c r="J49" i="63"/>
  <c r="I53" i="75"/>
  <c r="J52" i="75"/>
  <c r="I51" i="117"/>
  <c r="J50" i="117"/>
  <c r="K49" i="117" s="1"/>
  <c r="I49" i="70"/>
  <c r="J48" i="70"/>
  <c r="K47" i="70" s="1"/>
  <c r="K50" i="46"/>
  <c r="C19" i="20"/>
  <c r="E20" i="20"/>
  <c r="J20" i="20"/>
  <c r="K20" i="20" s="1"/>
  <c r="K47" i="126"/>
  <c r="C20" i="152"/>
  <c r="E21" i="152"/>
  <c r="J21" i="152"/>
  <c r="K21" i="152" s="1"/>
  <c r="CW20" i="2"/>
  <c r="J49" i="60"/>
  <c r="I50" i="60"/>
  <c r="K46" i="112"/>
  <c r="E20" i="134"/>
  <c r="C19" i="134"/>
  <c r="EZ20" i="2"/>
  <c r="J20" i="134"/>
  <c r="K20" i="134" s="1"/>
  <c r="E17" i="45"/>
  <c r="C16" i="45"/>
  <c r="J17" i="45"/>
  <c r="K17" i="45" s="1"/>
  <c r="E18" i="51"/>
  <c r="C17" i="51"/>
  <c r="J18" i="51"/>
  <c r="K18" i="51" s="1"/>
  <c r="I48" i="17"/>
  <c r="J47" i="17"/>
  <c r="C15" i="87"/>
  <c r="E16" i="87"/>
  <c r="J16" i="87"/>
  <c r="K16" i="87" s="1"/>
  <c r="J49" i="149"/>
  <c r="I50" i="149"/>
  <c r="C16" i="59"/>
  <c r="E17" i="59"/>
  <c r="J17" i="59"/>
  <c r="K17" i="59" s="1"/>
  <c r="I52" i="82"/>
  <c r="J51" i="82"/>
  <c r="K50" i="82" s="1"/>
  <c r="K46" i="43"/>
  <c r="J49" i="124"/>
  <c r="I50" i="124"/>
  <c r="CB22" i="2"/>
  <c r="K46" i="97"/>
  <c r="C18" i="112"/>
  <c r="E19" i="112"/>
  <c r="CW19" i="2"/>
  <c r="J19" i="112"/>
  <c r="K19" i="112" s="1"/>
  <c r="K48" i="60"/>
  <c r="J47" i="112"/>
  <c r="I48" i="112"/>
  <c r="E21" i="143"/>
  <c r="C20" i="143"/>
  <c r="J21" i="143"/>
  <c r="K21" i="143" s="1"/>
  <c r="K47" i="158"/>
  <c r="E20" i="15"/>
  <c r="C19" i="15"/>
  <c r="J20" i="15"/>
  <c r="K20" i="15" s="1"/>
  <c r="K46" i="17"/>
  <c r="I48" i="43"/>
  <c r="J47" i="43"/>
  <c r="I48" i="110"/>
  <c r="J47" i="110"/>
  <c r="I49" i="170"/>
  <c r="J48" i="170"/>
  <c r="J50" i="9"/>
  <c r="K49" i="9" s="1"/>
  <c r="I51" i="9"/>
  <c r="K47" i="169"/>
  <c r="C19" i="71"/>
  <c r="E20" i="71"/>
  <c r="J20" i="71"/>
  <c r="K20" i="71" s="1"/>
  <c r="J48" i="106"/>
  <c r="I49" i="106"/>
  <c r="C18" i="5"/>
  <c r="E19" i="5"/>
  <c r="J19" i="5"/>
  <c r="K19" i="5" s="1"/>
  <c r="J49" i="68"/>
  <c r="I50" i="68"/>
  <c r="K46" i="110"/>
  <c r="K47" i="124"/>
  <c r="E21" i="107"/>
  <c r="C20" i="107"/>
  <c r="J21" i="107"/>
  <c r="K21" i="107" s="1"/>
  <c r="I49" i="169"/>
  <c r="J48" i="169"/>
  <c r="K49" i="14"/>
  <c r="J49" i="118"/>
  <c r="K48" i="118" s="1"/>
  <c r="I50" i="118"/>
  <c r="K49" i="152"/>
  <c r="J49" i="165"/>
  <c r="K48" i="165" s="1"/>
  <c r="I50" i="165"/>
  <c r="K47" i="106"/>
  <c r="E21" i="170"/>
  <c r="C20" i="170"/>
  <c r="AI20" i="2" s="1"/>
  <c r="J21" i="170"/>
  <c r="K21" i="170" s="1"/>
  <c r="K47" i="57"/>
  <c r="K47" i="93"/>
  <c r="E19" i="135"/>
  <c r="C18" i="135"/>
  <c r="J19" i="135"/>
  <c r="K19" i="135" s="1"/>
  <c r="K48" i="68"/>
  <c r="J48" i="33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K47" i="111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K46" i="11"/>
  <c r="I50" i="129"/>
  <c r="J49" i="129"/>
  <c r="J47" i="11"/>
  <c r="I48" i="11"/>
  <c r="K48" i="129"/>
  <c r="C16" i="105"/>
  <c r="E17" i="105"/>
  <c r="J17" i="105"/>
  <c r="K17" i="105" s="1"/>
  <c r="K47" i="52"/>
  <c r="K46" i="130"/>
  <c r="J50" i="152"/>
  <c r="I51" i="152"/>
  <c r="AJ22" i="2"/>
  <c r="K47" i="165"/>
  <c r="K46" i="106"/>
  <c r="E16" i="166"/>
  <c r="C15" i="166"/>
  <c r="J16" i="166"/>
  <c r="K16" i="166" s="1"/>
  <c r="J48" i="57"/>
  <c r="I49" i="57"/>
  <c r="I51" i="78"/>
  <c r="J50" i="78"/>
  <c r="K49" i="78" s="1"/>
  <c r="I52" i="42"/>
  <c r="J51" i="42"/>
  <c r="K45" i="55"/>
  <c r="I48" i="35"/>
  <c r="J47" i="35"/>
  <c r="K46" i="35" s="1"/>
  <c r="E19" i="113"/>
  <c r="C18" i="113"/>
  <c r="J19" i="113"/>
  <c r="K19" i="113" s="1"/>
  <c r="K47" i="33"/>
  <c r="K45" i="110"/>
  <c r="J50" i="51"/>
  <c r="I51" i="51"/>
  <c r="K46" i="168"/>
  <c r="K49" i="89"/>
  <c r="J48" i="111"/>
  <c r="I49" i="111"/>
  <c r="K48" i="83"/>
  <c r="K50" i="22"/>
  <c r="K47" i="162"/>
  <c r="K48" i="99"/>
  <c r="E20" i="164"/>
  <c r="C19" i="164"/>
  <c r="J20" i="164"/>
  <c r="K20" i="164" s="1"/>
  <c r="I53" i="133"/>
  <c r="J52" i="133"/>
  <c r="E20" i="77"/>
  <c r="C19" i="77"/>
  <c r="J20" i="77"/>
  <c r="K20" i="77" s="1"/>
  <c r="K50" i="32"/>
  <c r="K50" i="42"/>
  <c r="K48" i="157"/>
  <c r="K48" i="142"/>
  <c r="I49" i="138"/>
  <c r="J48" i="138"/>
  <c r="I53" i="12"/>
  <c r="J52" i="12"/>
  <c r="I48" i="130"/>
  <c r="J47" i="130"/>
  <c r="J48" i="162"/>
  <c r="I49" i="162"/>
  <c r="K48" i="92"/>
  <c r="J49" i="99"/>
  <c r="I50" i="99"/>
  <c r="I48" i="8"/>
  <c r="J47" i="8"/>
  <c r="C18" i="19"/>
  <c r="E19" i="19"/>
  <c r="J19" i="19"/>
  <c r="K19" i="19" s="1"/>
  <c r="I50" i="18"/>
  <c r="J49" i="18"/>
  <c r="K48" i="18" s="1"/>
  <c r="K51" i="133"/>
  <c r="EO21" i="2"/>
  <c r="J51" i="32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K47" i="49"/>
  <c r="AU22" i="2"/>
  <c r="C19" i="162"/>
  <c r="E20" i="162"/>
  <c r="J20" i="162"/>
  <c r="K20" i="162" s="1"/>
  <c r="I49" i="87"/>
  <c r="J48" i="87"/>
  <c r="K47" i="87" s="1"/>
  <c r="K47" i="131"/>
  <c r="E17" i="160"/>
  <c r="C16" i="160"/>
  <c r="J17" i="160"/>
  <c r="K17" i="160" s="1"/>
  <c r="C17" i="171"/>
  <c r="E18" i="171"/>
  <c r="J18" i="171"/>
  <c r="K18" i="171" s="1"/>
  <c r="K45" i="34"/>
  <c r="I52" i="79"/>
  <c r="J51" i="79"/>
  <c r="E20" i="44"/>
  <c r="C19" i="44"/>
  <c r="J20" i="44"/>
  <c r="K20" i="44" s="1"/>
  <c r="K47" i="50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I50" i="92"/>
  <c r="J49" i="92"/>
  <c r="K46" i="8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E18" i="168"/>
  <c r="C17" i="168"/>
  <c r="J18" i="168"/>
  <c r="K18" i="168" s="1"/>
  <c r="K48" i="77"/>
  <c r="K50" i="79"/>
  <c r="E18" i="115"/>
  <c r="C17" i="115"/>
  <c r="J18" i="115"/>
  <c r="K18" i="115" s="1"/>
  <c r="E19" i="57"/>
  <c r="C18" i="57"/>
  <c r="J19" i="57"/>
  <c r="K19" i="57" s="1"/>
  <c r="K47" i="41"/>
  <c r="K46" i="65"/>
  <c r="K47" i="66"/>
  <c r="I49" i="50"/>
  <c r="J48" i="50"/>
  <c r="K45" i="146"/>
  <c r="E21" i="91"/>
  <c r="C20" i="91"/>
  <c r="J21" i="91"/>
  <c r="K21" i="91" s="1"/>
  <c r="K45" i="125"/>
  <c r="E16" i="157"/>
  <c r="C15" i="157"/>
  <c r="J16" i="157"/>
  <c r="K16" i="157" s="1"/>
  <c r="K48" i="89"/>
  <c r="E20" i="151"/>
  <c r="C19" i="151"/>
  <c r="J20" i="151"/>
  <c r="K20" i="151" s="1"/>
  <c r="J48" i="52"/>
  <c r="I49" i="52"/>
  <c r="K46" i="153"/>
  <c r="K50" i="75"/>
  <c r="K47" i="99"/>
  <c r="E21" i="53"/>
  <c r="C20" i="53"/>
  <c r="BE20" i="2" s="1"/>
  <c r="J21" i="53"/>
  <c r="K21" i="53" s="1"/>
  <c r="I48" i="65"/>
  <c r="J47" i="65"/>
  <c r="HN21" i="2"/>
  <c r="FK21" i="2"/>
  <c r="K46" i="40"/>
  <c r="J49" i="44"/>
  <c r="K48" i="44" s="1"/>
  <c r="I50" i="44"/>
  <c r="K45" i="40"/>
  <c r="K46" i="102"/>
  <c r="K47" i="80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FL20" i="2" l="1"/>
  <c r="Y20" i="1"/>
  <c r="AJ20" i="2"/>
  <c r="CM20" i="2"/>
  <c r="HO20" i="2"/>
  <c r="BF20" i="2"/>
  <c r="IK20" i="2"/>
  <c r="AJ20" i="1"/>
  <c r="E20" i="50"/>
  <c r="C19" i="50"/>
  <c r="AT20" i="2"/>
  <c r="J20" i="50"/>
  <c r="K20" i="50" s="1"/>
  <c r="E18" i="135"/>
  <c r="C17" i="135"/>
  <c r="J18" i="135"/>
  <c r="K18" i="135" s="1"/>
  <c r="I50" i="52"/>
  <c r="J49" i="52"/>
  <c r="I49" i="141"/>
  <c r="J48" i="141"/>
  <c r="E17" i="120"/>
  <c r="C16" i="120"/>
  <c r="J17" i="120"/>
  <c r="K17" i="120" s="1"/>
  <c r="I50" i="31"/>
  <c r="J49" i="31"/>
  <c r="C16" i="39"/>
  <c r="E17" i="39"/>
  <c r="J17" i="39"/>
  <c r="K17" i="39" s="1"/>
  <c r="I49" i="148"/>
  <c r="J48" i="148"/>
  <c r="I49" i="109"/>
  <c r="J48" i="109"/>
  <c r="E18" i="137"/>
  <c r="C17" i="137"/>
  <c r="J18" i="137"/>
  <c r="K18" i="137" s="1"/>
  <c r="I53" i="82"/>
  <c r="J52" i="82"/>
  <c r="E17" i="168"/>
  <c r="C16" i="168"/>
  <c r="J17" i="168"/>
  <c r="K17" i="168" s="1"/>
  <c r="J49" i="49"/>
  <c r="I50" i="49"/>
  <c r="K47" i="130"/>
  <c r="CX20" i="2"/>
  <c r="K48" i="52"/>
  <c r="J48" i="90"/>
  <c r="I49" i="90"/>
  <c r="E19" i="162"/>
  <c r="C18" i="162"/>
  <c r="J19" i="162"/>
  <c r="K19" i="162" s="1"/>
  <c r="J48" i="130"/>
  <c r="I49" i="130"/>
  <c r="J50" i="129"/>
  <c r="K49" i="129" s="1"/>
  <c r="I51" i="129"/>
  <c r="J50" i="124"/>
  <c r="I51" i="124"/>
  <c r="E18" i="11"/>
  <c r="C17" i="11"/>
  <c r="J18" i="11"/>
  <c r="K18" i="11" s="1"/>
  <c r="E17" i="163"/>
  <c r="C16" i="163"/>
  <c r="J17" i="163"/>
  <c r="K17" i="163" s="1"/>
  <c r="J52" i="59"/>
  <c r="I53" i="59"/>
  <c r="I49" i="36"/>
  <c r="J48" i="36"/>
  <c r="J51" i="107"/>
  <c r="I52" i="107"/>
  <c r="K47" i="109"/>
  <c r="I49" i="171"/>
  <c r="J48" i="171"/>
  <c r="I53" i="24"/>
  <c r="K49" i="124"/>
  <c r="I51" i="25"/>
  <c r="J50" i="25"/>
  <c r="E15" i="156"/>
  <c r="C14" i="156"/>
  <c r="J15" i="156"/>
  <c r="K15" i="156" s="1"/>
  <c r="K48" i="104"/>
  <c r="E18" i="75"/>
  <c r="C17" i="75"/>
  <c r="J18" i="75"/>
  <c r="K18" i="75" s="1"/>
  <c r="K48" i="73"/>
  <c r="I50" i="80"/>
  <c r="J49" i="80"/>
  <c r="E19" i="151"/>
  <c r="C18" i="151"/>
  <c r="J19" i="151"/>
  <c r="K19" i="151" s="1"/>
  <c r="E17" i="26"/>
  <c r="C16" i="26"/>
  <c r="J17" i="26"/>
  <c r="K17" i="26" s="1"/>
  <c r="I54" i="12"/>
  <c r="J53" i="12"/>
  <c r="C19" i="152"/>
  <c r="E20" i="152"/>
  <c r="J20" i="152"/>
  <c r="K20" i="152" s="1"/>
  <c r="K49" i="25"/>
  <c r="I50" i="116"/>
  <c r="J49" i="116"/>
  <c r="C15" i="165"/>
  <c r="E16" i="165"/>
  <c r="J16" i="165"/>
  <c r="K16" i="165" s="1"/>
  <c r="E19" i="114"/>
  <c r="C18" i="114"/>
  <c r="J19" i="114"/>
  <c r="K19" i="114" s="1"/>
  <c r="AJ21" i="1"/>
  <c r="I50" i="104"/>
  <c r="J49" i="104"/>
  <c r="E18" i="25"/>
  <c r="C17" i="25"/>
  <c r="J18" i="25"/>
  <c r="K18" i="25" s="1"/>
  <c r="K48" i="4"/>
  <c r="E20" i="158"/>
  <c r="C19" i="158"/>
  <c r="J20" i="158"/>
  <c r="K20" i="158" s="1"/>
  <c r="C17" i="128"/>
  <c r="E18" i="128"/>
  <c r="J18" i="128"/>
  <c r="K18" i="128" s="1"/>
  <c r="I50" i="73"/>
  <c r="J49" i="73"/>
  <c r="K48" i="80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C16" i="173"/>
  <c r="E17" i="173"/>
  <c r="J17" i="173"/>
  <c r="K17" i="173" s="1"/>
  <c r="E15" i="32"/>
  <c r="C14" i="32"/>
  <c r="J15" i="32"/>
  <c r="K15" i="32" s="1"/>
  <c r="I49" i="146"/>
  <c r="J48" i="146"/>
  <c r="E19" i="70"/>
  <c r="C18" i="70"/>
  <c r="J19" i="70"/>
  <c r="K19" i="70" s="1"/>
  <c r="I50" i="88"/>
  <c r="J49" i="88"/>
  <c r="J49" i="4"/>
  <c r="I50" i="4"/>
  <c r="C18" i="76"/>
  <c r="E19" i="76"/>
  <c r="J19" i="76"/>
  <c r="K19" i="76" s="1"/>
  <c r="K47" i="102"/>
  <c r="E19" i="140"/>
  <c r="C18" i="140"/>
  <c r="J19" i="140"/>
  <c r="K19" i="140" s="1"/>
  <c r="C18" i="147"/>
  <c r="E19" i="147"/>
  <c r="J19" i="147"/>
  <c r="K19" i="147" s="1"/>
  <c r="K47" i="146"/>
  <c r="C15" i="102"/>
  <c r="E16" i="102"/>
  <c r="J16" i="102"/>
  <c r="K16" i="102" s="1"/>
  <c r="E20" i="46"/>
  <c r="C19" i="46"/>
  <c r="J20" i="46"/>
  <c r="K20" i="46" s="1"/>
  <c r="C17" i="161"/>
  <c r="E18" i="161"/>
  <c r="J18" i="161"/>
  <c r="K18" i="161" s="1"/>
  <c r="I49" i="174"/>
  <c r="J48" i="174"/>
  <c r="K47" i="174" s="1"/>
  <c r="K47" i="55"/>
  <c r="I49" i="102"/>
  <c r="J48" i="102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E18" i="60"/>
  <c r="C17" i="60"/>
  <c r="J18" i="60"/>
  <c r="K18" i="60" s="1"/>
  <c r="I49" i="55"/>
  <c r="J48" i="55"/>
  <c r="E19" i="89"/>
  <c r="C18" i="89"/>
  <c r="J19" i="89"/>
  <c r="K19" i="89" s="1"/>
  <c r="E19" i="20"/>
  <c r="C18" i="20"/>
  <c r="J19" i="20"/>
  <c r="K19" i="20" s="1"/>
  <c r="I51" i="167"/>
  <c r="J50" i="167"/>
  <c r="K49" i="167" s="1"/>
  <c r="C12" i="82"/>
  <c r="E13" i="82"/>
  <c r="J13" i="82"/>
  <c r="K13" i="82" s="1"/>
  <c r="E17" i="47"/>
  <c r="C16" i="47"/>
  <c r="J17" i="47"/>
  <c r="K17" i="47" s="1"/>
  <c r="K49" i="23"/>
  <c r="E18" i="64"/>
  <c r="C17" i="64"/>
  <c r="J18" i="64"/>
  <c r="K18" i="64" s="1"/>
  <c r="K46" i="120"/>
  <c r="E18" i="144"/>
  <c r="C17" i="144"/>
  <c r="J18" i="144"/>
  <c r="K18" i="144" s="1"/>
  <c r="J48" i="120"/>
  <c r="I49" i="120"/>
  <c r="E17" i="73"/>
  <c r="C16" i="73"/>
  <c r="J17" i="73"/>
  <c r="K17" i="73" s="1"/>
  <c r="E20" i="3"/>
  <c r="C19" i="3"/>
  <c r="J20" i="3"/>
  <c r="K20" i="3" s="1"/>
  <c r="N21" i="1"/>
  <c r="K47" i="90"/>
  <c r="I54" i="7"/>
  <c r="J53" i="7"/>
  <c r="K52" i="7" s="1"/>
  <c r="I50" i="85"/>
  <c r="J49" i="85"/>
  <c r="K51" i="7"/>
  <c r="GS21" i="2"/>
  <c r="J50" i="23"/>
  <c r="I51" i="23"/>
  <c r="E20" i="58"/>
  <c r="C19" i="58"/>
  <c r="J20" i="58"/>
  <c r="K20" i="58" s="1"/>
  <c r="I52" i="26"/>
  <c r="J51" i="26"/>
  <c r="K50" i="136"/>
  <c r="I52" i="13"/>
  <c r="J51" i="13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C14" i="157"/>
  <c r="E15" i="157"/>
  <c r="J15" i="157"/>
  <c r="K15" i="157" s="1"/>
  <c r="I51" i="173"/>
  <c r="J50" i="173"/>
  <c r="EP20" i="2"/>
  <c r="J49" i="170"/>
  <c r="K48" i="170" s="1"/>
  <c r="I50" i="170"/>
  <c r="E16" i="59"/>
  <c r="C15" i="59"/>
  <c r="J16" i="59"/>
  <c r="K16" i="59" s="1"/>
  <c r="I50" i="56"/>
  <c r="J49" i="56"/>
  <c r="K48" i="56" s="1"/>
  <c r="I51" i="30"/>
  <c r="J50" i="30"/>
  <c r="K49" i="30" s="1"/>
  <c r="I53" i="14"/>
  <c r="J52" i="14"/>
  <c r="I50" i="123"/>
  <c r="J49" i="123"/>
  <c r="K48" i="123" s="1"/>
  <c r="E18" i="81"/>
  <c r="C17" i="81"/>
  <c r="J18" i="81"/>
  <c r="K18" i="81" s="1"/>
  <c r="I52" i="136"/>
  <c r="J51" i="136"/>
  <c r="K50" i="13"/>
  <c r="I54" i="145"/>
  <c r="J53" i="145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K47" i="110"/>
  <c r="I51" i="149"/>
  <c r="J50" i="149"/>
  <c r="K48" i="70"/>
  <c r="D59" i="1"/>
  <c r="O59" i="1"/>
  <c r="BR59" i="1"/>
  <c r="Z59" i="1"/>
  <c r="AK59" i="1"/>
  <c r="AV59" i="1"/>
  <c r="CC59" i="1"/>
  <c r="K51" i="14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K52" i="145"/>
  <c r="C19" i="172"/>
  <c r="E20" i="172"/>
  <c r="J20" i="172"/>
  <c r="K20" i="172" s="1"/>
  <c r="E19" i="33"/>
  <c r="C18" i="33"/>
  <c r="M19" i="2"/>
  <c r="J19" i="33"/>
  <c r="K19" i="33" s="1"/>
  <c r="J51" i="16"/>
  <c r="I52" i="16"/>
  <c r="E19" i="122"/>
  <c r="C18" i="122"/>
  <c r="J19" i="122"/>
  <c r="K19" i="122" s="1"/>
  <c r="J48" i="40"/>
  <c r="I49" i="40"/>
  <c r="I51" i="118"/>
  <c r="J50" i="118"/>
  <c r="J48" i="110"/>
  <c r="I49" i="110"/>
  <c r="K49" i="149"/>
  <c r="J49" i="70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3" i="98"/>
  <c r="C12" i="98"/>
  <c r="J13" i="98"/>
  <c r="K13" i="98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K48" i="86"/>
  <c r="K47" i="40"/>
  <c r="I52" i="78"/>
  <c r="J51" i="78"/>
  <c r="E19" i="78"/>
  <c r="C18" i="78"/>
  <c r="J19" i="78"/>
  <c r="K19" i="78" s="1"/>
  <c r="K49" i="118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I52" i="132"/>
  <c r="FW21" i="2"/>
  <c r="I49" i="105"/>
  <c r="J48" i="105"/>
  <c r="C18" i="96"/>
  <c r="E19" i="96"/>
  <c r="J19" i="96"/>
  <c r="K19" i="96" s="1"/>
  <c r="I50" i="86"/>
  <c r="J49" i="86"/>
  <c r="I50" i="97"/>
  <c r="J49" i="97"/>
  <c r="K47" i="73"/>
  <c r="J48" i="35"/>
  <c r="I49" i="35"/>
  <c r="J48" i="43"/>
  <c r="I49" i="43"/>
  <c r="I52" i="117"/>
  <c r="J51" i="117"/>
  <c r="GI59" i="2"/>
  <c r="GH59" i="2"/>
  <c r="E15" i="146"/>
  <c r="C14" i="146"/>
  <c r="J15" i="146"/>
  <c r="K15" i="146" s="1"/>
  <c r="E17" i="72"/>
  <c r="C16" i="72"/>
  <c r="J17" i="72"/>
  <c r="K17" i="72" s="1"/>
  <c r="K50" i="132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57"/>
  <c r="K50" i="89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50" i="122"/>
  <c r="K48" i="84"/>
  <c r="I51" i="72"/>
  <c r="J50" i="72"/>
  <c r="E17" i="124"/>
  <c r="C16" i="124"/>
  <c r="J17" i="124"/>
  <c r="K17" i="124" s="1"/>
  <c r="K50" i="78"/>
  <c r="C19" i="91"/>
  <c r="E20" i="91"/>
  <c r="J20" i="91"/>
  <c r="K20" i="91" s="1"/>
  <c r="E15" i="87"/>
  <c r="C14" i="87"/>
  <c r="J15" i="87"/>
  <c r="K15" i="87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DH19" i="2"/>
  <c r="I52" i="122"/>
  <c r="J51" i="122"/>
  <c r="C16" i="106"/>
  <c r="E17" i="106"/>
  <c r="J17" i="106"/>
  <c r="K17" i="106" s="1"/>
  <c r="E17" i="61"/>
  <c r="C16" i="61"/>
  <c r="J17" i="61"/>
  <c r="K17" i="61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8"/>
  <c r="K47" i="35"/>
  <c r="I50" i="169"/>
  <c r="J49" i="169"/>
  <c r="I51" i="92"/>
  <c r="J50" i="92"/>
  <c r="J53" i="133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K51" i="27"/>
  <c r="K47" i="140"/>
  <c r="I50" i="39"/>
  <c r="J49" i="39"/>
  <c r="K48" i="39" s="1"/>
  <c r="C17" i="54"/>
  <c r="E18" i="54"/>
  <c r="J18" i="54"/>
  <c r="K18" i="54" s="1"/>
  <c r="J49" i="114"/>
  <c r="I50" i="114"/>
  <c r="K51" i="145"/>
  <c r="K48" i="168"/>
  <c r="I50" i="154"/>
  <c r="J49" i="154"/>
  <c r="E16" i="34"/>
  <c r="C15" i="34"/>
  <c r="J16" i="34"/>
  <c r="K16" i="34" s="1"/>
  <c r="E19" i="13"/>
  <c r="C18" i="13"/>
  <c r="J19" i="13"/>
  <c r="K19" i="13" s="1"/>
  <c r="J48" i="38"/>
  <c r="I49" i="38"/>
  <c r="K49" i="173"/>
  <c r="E19" i="97"/>
  <c r="C18" i="97"/>
  <c r="EO19" i="2"/>
  <c r="J19" i="97"/>
  <c r="K19" i="97" s="1"/>
  <c r="J51" i="89"/>
  <c r="I52" i="89"/>
  <c r="I53" i="32"/>
  <c r="J52" i="32"/>
  <c r="K51" i="32" s="1"/>
  <c r="K52" i="133"/>
  <c r="E15" i="166"/>
  <c r="C14" i="166"/>
  <c r="J15" i="166"/>
  <c r="K15" i="166" s="1"/>
  <c r="I49" i="140"/>
  <c r="J48" i="140"/>
  <c r="K48" i="50"/>
  <c r="J49" i="50"/>
  <c r="I50" i="50"/>
  <c r="K46" i="90"/>
  <c r="I53" i="79"/>
  <c r="J52" i="79"/>
  <c r="K51" i="79" s="1"/>
  <c r="EP21" i="2"/>
  <c r="I51" i="63"/>
  <c r="J50" i="63"/>
  <c r="I53" i="27"/>
  <c r="J52" i="27"/>
  <c r="K47" i="64"/>
  <c r="E18" i="139"/>
  <c r="C17" i="139"/>
  <c r="J18" i="139"/>
  <c r="K18" i="139" s="1"/>
  <c r="K47" i="116"/>
  <c r="E20" i="28"/>
  <c r="C19" i="28"/>
  <c r="AI19" i="2" s="1"/>
  <c r="J20" i="28"/>
  <c r="K20" i="28" s="1"/>
  <c r="I49" i="95"/>
  <c r="J48" i="95"/>
  <c r="J49" i="137"/>
  <c r="K48" i="137" s="1"/>
  <c r="I50" i="137"/>
  <c r="K46" i="45"/>
  <c r="J49" i="168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K47" i="95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9" i="37"/>
  <c r="K47" i="170"/>
  <c r="E17" i="51"/>
  <c r="C16" i="51"/>
  <c r="J17" i="51"/>
  <c r="K17" i="51" s="1"/>
  <c r="C18" i="101"/>
  <c r="E19" i="101"/>
  <c r="J19" i="101"/>
  <c r="K19" i="101" s="1"/>
  <c r="K49" i="28"/>
  <c r="J50" i="93"/>
  <c r="I51" i="93"/>
  <c r="AU21" i="1"/>
  <c r="E18" i="16"/>
  <c r="C17" i="16"/>
  <c r="J18" i="16"/>
  <c r="K18" i="16" s="1"/>
  <c r="I51" i="83"/>
  <c r="J50" i="83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K50" i="48"/>
  <c r="E18" i="17"/>
  <c r="C17" i="17"/>
  <c r="J18" i="17"/>
  <c r="K18" i="17" s="1"/>
  <c r="I50" i="138"/>
  <c r="J49" i="138"/>
  <c r="IV21" i="2"/>
  <c r="K48" i="139"/>
  <c r="I51" i="37"/>
  <c r="J50" i="37"/>
  <c r="I51" i="28"/>
  <c r="J50" i="28"/>
  <c r="E20" i="55"/>
  <c r="C19" i="55"/>
  <c r="J20" i="55"/>
  <c r="K20" i="55" s="1"/>
  <c r="K48" i="167"/>
  <c r="I50" i="161"/>
  <c r="J49" i="161"/>
  <c r="E20" i="7"/>
  <c r="C19" i="7"/>
  <c r="AT20" i="1"/>
  <c r="J20" i="7"/>
  <c r="K20" i="7" s="1"/>
  <c r="K49" i="83"/>
  <c r="E18" i="130"/>
  <c r="C17" i="130"/>
  <c r="J18" i="130"/>
  <c r="K18" i="130" s="1"/>
  <c r="K49" i="77"/>
  <c r="I52" i="48"/>
  <c r="J51" i="48"/>
  <c r="J51" i="152"/>
  <c r="I52" i="152"/>
  <c r="J49" i="21"/>
  <c r="I50" i="21"/>
  <c r="K48" i="37"/>
  <c r="C16" i="85"/>
  <c r="E17" i="85"/>
  <c r="J17" i="85"/>
  <c r="K17" i="85" s="1"/>
  <c r="I49" i="166"/>
  <c r="J48" i="166"/>
  <c r="K48" i="161"/>
  <c r="C18" i="119"/>
  <c r="E19" i="119"/>
  <c r="J19" i="119"/>
  <c r="K19" i="119" s="1"/>
  <c r="E18" i="118"/>
  <c r="C17" i="118"/>
  <c r="J18" i="118"/>
  <c r="K18" i="118" s="1"/>
  <c r="BQ21" i="2"/>
  <c r="K48" i="10"/>
  <c r="DT19" i="2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8" i="21"/>
  <c r="K47" i="21"/>
  <c r="J48" i="112"/>
  <c r="K47" i="112" s="1"/>
  <c r="I49" i="112"/>
  <c r="E16" i="45"/>
  <c r="C15" i="45"/>
  <c r="J16" i="45"/>
  <c r="K16" i="45" s="1"/>
  <c r="I50" i="155"/>
  <c r="J49" i="155"/>
  <c r="K48" i="155" s="1"/>
  <c r="K48" i="126"/>
  <c r="I50" i="20"/>
  <c r="J49" i="20"/>
  <c r="K48" i="20" s="1"/>
  <c r="CB21" i="1"/>
  <c r="K47" i="166"/>
  <c r="J51" i="142"/>
  <c r="I52" i="142"/>
  <c r="E18" i="74"/>
  <c r="C17" i="74"/>
  <c r="J18" i="74"/>
  <c r="K18" i="74" s="1"/>
  <c r="K50" i="135"/>
  <c r="K48" i="158"/>
  <c r="E15" i="30"/>
  <c r="C14" i="30"/>
  <c r="J15" i="30"/>
  <c r="K15" i="30" s="1"/>
  <c r="E17" i="127"/>
  <c r="C16" i="127"/>
  <c r="J17" i="127"/>
  <c r="K17" i="127" s="1"/>
  <c r="I51" i="44"/>
  <c r="J50" i="44"/>
  <c r="J50" i="68"/>
  <c r="I51" i="68"/>
  <c r="J49" i="126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K49" i="113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C17" i="103"/>
  <c r="E18" i="103"/>
  <c r="J18" i="103"/>
  <c r="K18" i="103" s="1"/>
  <c r="C17" i="129"/>
  <c r="E18" i="129"/>
  <c r="J18" i="129"/>
  <c r="K18" i="129" s="1"/>
  <c r="DS18" i="2"/>
  <c r="I50" i="119"/>
  <c r="J49" i="119"/>
  <c r="K48" i="119" s="1"/>
  <c r="E17" i="62"/>
  <c r="C16" i="62"/>
  <c r="J17" i="62"/>
  <c r="K17" i="62" s="1"/>
  <c r="E19" i="145"/>
  <c r="C18" i="145"/>
  <c r="J19" i="145"/>
  <c r="K19" i="145" s="1"/>
  <c r="J51" i="135"/>
  <c r="I52" i="135"/>
  <c r="J51" i="98"/>
  <c r="K50" i="98" s="1"/>
  <c r="I52" i="98"/>
  <c r="C14" i="138"/>
  <c r="E15" i="138"/>
  <c r="J15" i="138"/>
  <c r="K15" i="138" s="1"/>
  <c r="K48" i="85"/>
  <c r="J51" i="9"/>
  <c r="K50" i="9" s="1"/>
  <c r="I52" i="9"/>
  <c r="I52" i="172"/>
  <c r="J51" i="172"/>
  <c r="K50" i="172" s="1"/>
  <c r="E17" i="171"/>
  <c r="C16" i="171"/>
  <c r="J17" i="171"/>
  <c r="K17" i="171" s="1"/>
  <c r="K47" i="65"/>
  <c r="E18" i="19"/>
  <c r="C17" i="19"/>
  <c r="J18" i="19"/>
  <c r="K18" i="19" s="1"/>
  <c r="I49" i="65"/>
  <c r="J48" i="65"/>
  <c r="K51" i="12"/>
  <c r="E18" i="126"/>
  <c r="C17" i="126"/>
  <c r="J18" i="126"/>
  <c r="K18" i="126" s="1"/>
  <c r="K49" i="68"/>
  <c r="E17" i="141"/>
  <c r="C16" i="141"/>
  <c r="J17" i="141"/>
  <c r="K17" i="141" s="1"/>
  <c r="I51" i="113"/>
  <c r="J50" i="113"/>
  <c r="C17" i="66"/>
  <c r="E18" i="66"/>
  <c r="J18" i="66"/>
  <c r="K18" i="66" s="1"/>
  <c r="K50" i="14"/>
  <c r="K49" i="115"/>
  <c r="C17" i="116"/>
  <c r="E18" i="116"/>
  <c r="J18" i="116"/>
  <c r="K18" i="116" s="1"/>
  <c r="K47" i="81"/>
  <c r="E19" i="23"/>
  <c r="C18" i="23"/>
  <c r="J19" i="23"/>
  <c r="K19" i="23" s="1"/>
  <c r="K49" i="48"/>
  <c r="K49" i="16"/>
  <c r="K48" i="144"/>
  <c r="K47" i="153"/>
  <c r="J51" i="62"/>
  <c r="I52" i="62"/>
  <c r="I51" i="139"/>
  <c r="J50" i="139"/>
  <c r="K49" i="139" s="1"/>
  <c r="K49" i="44"/>
  <c r="I50" i="131"/>
  <c r="J49" i="131"/>
  <c r="J50" i="18"/>
  <c r="K49" i="18" s="1"/>
  <c r="I51" i="18"/>
  <c r="C15" i="160"/>
  <c r="E16" i="160"/>
  <c r="J16" i="160"/>
  <c r="K16" i="160" s="1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I52" i="128"/>
  <c r="J50" i="115"/>
  <c r="I51" i="115"/>
  <c r="I50" i="121"/>
  <c r="J49" i="121"/>
  <c r="K48" i="121" s="1"/>
  <c r="J48" i="96"/>
  <c r="K47" i="96" s="1"/>
  <c r="I49" i="96"/>
  <c r="J48" i="81"/>
  <c r="I49" i="81"/>
  <c r="I53" i="94"/>
  <c r="J52" i="94"/>
  <c r="K47" i="86"/>
  <c r="I50" i="144"/>
  <c r="J49" i="144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BE19" i="2" s="1"/>
  <c r="J20" i="53"/>
  <c r="K20" i="53" s="1"/>
  <c r="I51" i="99"/>
  <c r="J50" i="99"/>
  <c r="I50" i="111"/>
  <c r="J49" i="111"/>
  <c r="I50" i="33"/>
  <c r="J49" i="33"/>
  <c r="CX19" i="2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K50" i="128"/>
  <c r="C15" i="131"/>
  <c r="E16" i="131"/>
  <c r="J16" i="131"/>
  <c r="K16" i="131" s="1"/>
  <c r="I49" i="91"/>
  <c r="J48" i="91"/>
  <c r="E17" i="159"/>
  <c r="C16" i="159"/>
  <c r="J17" i="159"/>
  <c r="K17" i="159" s="1"/>
  <c r="K46" i="174"/>
  <c r="K49" i="122"/>
  <c r="K51" i="94"/>
  <c r="C17" i="22"/>
  <c r="E18" i="22"/>
  <c r="J18" i="22"/>
  <c r="K18" i="22" s="1"/>
  <c r="AU21" i="2"/>
  <c r="E16" i="105"/>
  <c r="C15" i="105"/>
  <c r="J16" i="105"/>
  <c r="K16" i="105" s="1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C16" i="149"/>
  <c r="E17" i="149"/>
  <c r="J17" i="149"/>
  <c r="K17" i="149" s="1"/>
  <c r="J48" i="100"/>
  <c r="I49" i="100"/>
  <c r="I49" i="34"/>
  <c r="J48" i="34"/>
  <c r="K47" i="143"/>
  <c r="C16" i="84"/>
  <c r="E17" i="84"/>
  <c r="J17" i="84"/>
  <c r="K17" i="84" s="1"/>
  <c r="E16" i="43"/>
  <c r="C15" i="43"/>
  <c r="J16" i="43"/>
  <c r="K16" i="43" s="1"/>
  <c r="E18" i="5"/>
  <c r="C17" i="5"/>
  <c r="J18" i="5"/>
  <c r="K18" i="5" s="1"/>
  <c r="C17" i="112"/>
  <c r="E18" i="112"/>
  <c r="CW18" i="2"/>
  <c r="J18" i="112"/>
  <c r="K18" i="112" s="1"/>
  <c r="J53" i="134"/>
  <c r="I54" i="134"/>
  <c r="I50" i="54"/>
  <c r="J49" i="54"/>
  <c r="I54" i="74"/>
  <c r="J53" i="74"/>
  <c r="C18" i="10"/>
  <c r="E19" i="10"/>
  <c r="J19" i="10"/>
  <c r="K19" i="10" s="1"/>
  <c r="I54" i="61"/>
  <c r="J53" i="61"/>
  <c r="E19" i="80"/>
  <c r="C18" i="80"/>
  <c r="J19" i="80"/>
  <c r="K19" i="80" s="1"/>
  <c r="K47" i="168"/>
  <c r="J48" i="143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52" i="74"/>
  <c r="K47" i="5"/>
  <c r="EE21" i="2"/>
  <c r="K52" i="61"/>
  <c r="K46" i="47"/>
  <c r="K48" i="53"/>
  <c r="K49" i="159"/>
  <c r="K47" i="67"/>
  <c r="K47" i="163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K48" i="31"/>
  <c r="C17" i="150"/>
  <c r="J18" i="150"/>
  <c r="K18" i="150" s="1"/>
  <c r="E18" i="150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I50" i="53"/>
  <c r="I51" i="159"/>
  <c r="J50" i="159"/>
  <c r="I49" i="163"/>
  <c r="J48" i="163"/>
  <c r="C17" i="148"/>
  <c r="E18" i="148"/>
  <c r="J18" i="148"/>
  <c r="K18" i="148" s="1"/>
  <c r="J48" i="58"/>
  <c r="K47" i="58" s="1"/>
  <c r="I49" i="58"/>
  <c r="K48" i="72"/>
  <c r="IK19" i="2" l="1"/>
  <c r="BF19" i="2"/>
  <c r="AJ19" i="2"/>
  <c r="I51" i="103"/>
  <c r="J50" i="103"/>
  <c r="E19" i="109"/>
  <c r="C18" i="109"/>
  <c r="ED19" i="2"/>
  <c r="J19" i="109"/>
  <c r="K19" i="109" s="1"/>
  <c r="I52" i="115"/>
  <c r="J51" i="115"/>
  <c r="I50" i="65"/>
  <c r="J49" i="65"/>
  <c r="E17" i="129"/>
  <c r="C16" i="129"/>
  <c r="J17" i="129"/>
  <c r="K17" i="129" s="1"/>
  <c r="DS17" i="2"/>
  <c r="J51" i="28"/>
  <c r="I52" i="28"/>
  <c r="E18" i="13"/>
  <c r="C17" i="13"/>
  <c r="J18" i="13"/>
  <c r="K18" i="13" s="1"/>
  <c r="I55" i="133"/>
  <c r="J54" i="133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I52" i="66"/>
  <c r="J51" i="66"/>
  <c r="I50" i="90"/>
  <c r="J49" i="90"/>
  <c r="E16" i="120"/>
  <c r="C15" i="120"/>
  <c r="J16" i="120"/>
  <c r="K16" i="120" s="1"/>
  <c r="K50" i="159"/>
  <c r="J51" i="159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3" i="133"/>
  <c r="K50" i="62"/>
  <c r="I53" i="164"/>
  <c r="J52" i="164"/>
  <c r="I53" i="132"/>
  <c r="J52" i="132"/>
  <c r="I51" i="151"/>
  <c r="J50" i="151"/>
  <c r="K50" i="66"/>
  <c r="C18" i="46"/>
  <c r="E19" i="46"/>
  <c r="J19" i="46"/>
  <c r="K19" i="46" s="1"/>
  <c r="E14" i="156"/>
  <c r="C13" i="156"/>
  <c r="J14" i="156"/>
  <c r="K14" i="156" s="1"/>
  <c r="J50" i="53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K52" i="27"/>
  <c r="K51" i="132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C13" i="138"/>
  <c r="E14" i="138"/>
  <c r="J14" i="138"/>
  <c r="K14" i="138" s="1"/>
  <c r="J49" i="100"/>
  <c r="I50" i="100"/>
  <c r="C16" i="22"/>
  <c r="E17" i="22"/>
  <c r="J17" i="22"/>
  <c r="K17" i="22" s="1"/>
  <c r="I51" i="33"/>
  <c r="J50" i="33"/>
  <c r="K49" i="33" s="1"/>
  <c r="C16" i="103"/>
  <c r="E17" i="103"/>
  <c r="J17" i="103"/>
  <c r="K17" i="103" s="1"/>
  <c r="I50" i="64"/>
  <c r="J49" i="64"/>
  <c r="K48" i="64" s="1"/>
  <c r="J53" i="27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E16" i="173"/>
  <c r="C15" i="173"/>
  <c r="J16" i="173"/>
  <c r="K16" i="173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E14" i="87"/>
  <c r="C13" i="87"/>
  <c r="J14" i="87"/>
  <c r="K14" i="87" s="1"/>
  <c r="C16" i="83"/>
  <c r="E17" i="83"/>
  <c r="J17" i="83"/>
  <c r="K17" i="83" s="1"/>
  <c r="I53" i="156"/>
  <c r="J52" i="156"/>
  <c r="K51" i="156" s="1"/>
  <c r="K50" i="10"/>
  <c r="K48" i="160"/>
  <c r="I52" i="25"/>
  <c r="J51" i="25"/>
  <c r="J54" i="74"/>
  <c r="I55" i="74"/>
  <c r="C17" i="132"/>
  <c r="E18" i="132"/>
  <c r="J18" i="132"/>
  <c r="K18" i="132" s="1"/>
  <c r="K51" i="101"/>
  <c r="J50" i="11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I53" i="101"/>
  <c r="I52" i="63"/>
  <c r="J51" i="63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E14" i="157"/>
  <c r="C13" i="157"/>
  <c r="J14" i="157"/>
  <c r="K14" i="157" s="1"/>
  <c r="E19" i="58"/>
  <c r="C18" i="58"/>
  <c r="J19" i="58"/>
  <c r="K19" i="58" s="1"/>
  <c r="K49" i="10"/>
  <c r="J53" i="71"/>
  <c r="I54" i="71"/>
  <c r="E15" i="102"/>
  <c r="C14" i="102"/>
  <c r="J15" i="102"/>
  <c r="K15" i="102" s="1"/>
  <c r="J49" i="160"/>
  <c r="I50" i="160"/>
  <c r="I53" i="128"/>
  <c r="J52" i="128"/>
  <c r="K48" i="100"/>
  <c r="K49" i="111"/>
  <c r="K50" i="63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E16" i="72"/>
  <c r="C15" i="72"/>
  <c r="J16" i="72"/>
  <c r="K16" i="72" s="1"/>
  <c r="K51" i="29"/>
  <c r="I51" i="84"/>
  <c r="J50" i="84"/>
  <c r="K52" i="71"/>
  <c r="I51" i="52"/>
  <c r="J50" i="52"/>
  <c r="K49" i="52" s="1"/>
  <c r="E17" i="150"/>
  <c r="C16" i="150"/>
  <c r="K49" i="87"/>
  <c r="E18" i="80"/>
  <c r="C17" i="80"/>
  <c r="J18" i="80"/>
  <c r="K18" i="80" s="1"/>
  <c r="I50" i="34"/>
  <c r="J49" i="34"/>
  <c r="I55" i="61"/>
  <c r="J54" i="61"/>
  <c r="K53" i="61" s="1"/>
  <c r="E16" i="149"/>
  <c r="C15" i="149"/>
  <c r="J16" i="149"/>
  <c r="K16" i="149" s="1"/>
  <c r="I52" i="99"/>
  <c r="J51" i="99"/>
  <c r="C18" i="52"/>
  <c r="E19" i="52"/>
  <c r="BP19" i="2"/>
  <c r="J19" i="52"/>
  <c r="K19" i="52" s="1"/>
  <c r="E16" i="85"/>
  <c r="C15" i="85"/>
  <c r="J16" i="85"/>
  <c r="K16" i="85" s="1"/>
  <c r="K52" i="46"/>
  <c r="E18" i="164"/>
  <c r="C17" i="164"/>
  <c r="J18" i="164"/>
  <c r="K18" i="164" s="1"/>
  <c r="J50" i="154"/>
  <c r="I51" i="154"/>
  <c r="K49" i="169"/>
  <c r="K48" i="169"/>
  <c r="K49" i="84"/>
  <c r="I52" i="23"/>
  <c r="J51" i="23"/>
  <c r="E17" i="64"/>
  <c r="C16" i="64"/>
  <c r="J17" i="64"/>
  <c r="K17" i="64" s="1"/>
  <c r="E15" i="165"/>
  <c r="C14" i="165"/>
  <c r="J15" i="165"/>
  <c r="K15" i="165" s="1"/>
  <c r="I54" i="24"/>
  <c r="I51" i="49"/>
  <c r="J50" i="49"/>
  <c r="I51" i="108"/>
  <c r="J50" i="108"/>
  <c r="I51" i="138"/>
  <c r="J50" i="138"/>
  <c r="I51" i="169"/>
  <c r="J50" i="169"/>
  <c r="C15" i="61"/>
  <c r="E16" i="61"/>
  <c r="J16" i="61"/>
  <c r="K16" i="61" s="1"/>
  <c r="C18" i="91"/>
  <c r="E19" i="91"/>
  <c r="J19" i="91"/>
  <c r="K19" i="91" s="1"/>
  <c r="E18" i="41"/>
  <c r="C17" i="41"/>
  <c r="J18" i="41"/>
  <c r="K18" i="41" s="1"/>
  <c r="E12" i="98"/>
  <c r="C11" i="98"/>
  <c r="J12" i="98"/>
  <c r="K12" i="98" s="1"/>
  <c r="I55" i="145"/>
  <c r="J54" i="145"/>
  <c r="K50" i="23"/>
  <c r="K48" i="171"/>
  <c r="K49" i="49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K51" i="172"/>
  <c r="C17" i="153"/>
  <c r="E18" i="153"/>
  <c r="J18" i="153"/>
  <c r="K18" i="153" s="1"/>
  <c r="E16" i="159"/>
  <c r="C15" i="159"/>
  <c r="J16" i="159"/>
  <c r="K16" i="159" s="1"/>
  <c r="I53" i="172"/>
  <c r="J52" i="172"/>
  <c r="E19" i="90"/>
  <c r="C18" i="90"/>
  <c r="J19" i="90"/>
  <c r="K19" i="90" s="1"/>
  <c r="I51" i="21"/>
  <c r="J50" i="21"/>
  <c r="E14" i="146"/>
  <c r="C13" i="146"/>
  <c r="J14" i="146"/>
  <c r="K14" i="146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9" i="53"/>
  <c r="E19" i="53"/>
  <c r="C18" i="53"/>
  <c r="BE18" i="2" s="1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I53" i="9"/>
  <c r="K49" i="21"/>
  <c r="I51" i="114"/>
  <c r="J50" i="114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114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I55" i="15"/>
  <c r="J54" i="15"/>
  <c r="C18" i="93"/>
  <c r="E19" i="93"/>
  <c r="J19" i="93"/>
  <c r="K19" i="93" s="1"/>
  <c r="K49" i="50"/>
  <c r="E16" i="106"/>
  <c r="C15" i="106"/>
  <c r="J16" i="106"/>
  <c r="K16" i="106" s="1"/>
  <c r="C17" i="77"/>
  <c r="E18" i="77"/>
  <c r="J18" i="77"/>
  <c r="K18" i="77" s="1"/>
  <c r="J49" i="110"/>
  <c r="I50" i="110"/>
  <c r="I52" i="165"/>
  <c r="J51" i="165"/>
  <c r="K50" i="165" s="1"/>
  <c r="CA19" i="2"/>
  <c r="E18" i="140"/>
  <c r="C17" i="140"/>
  <c r="J18" i="140"/>
  <c r="K18" i="140" s="1"/>
  <c r="E16" i="168"/>
  <c r="C15" i="168"/>
  <c r="J16" i="168"/>
  <c r="K16" i="168" s="1"/>
  <c r="AU20" i="2"/>
  <c r="K51" i="9"/>
  <c r="E17" i="65"/>
  <c r="C16" i="65"/>
  <c r="J17" i="65"/>
  <c r="K17" i="65" s="1"/>
  <c r="E18" i="95"/>
  <c r="C17" i="95"/>
  <c r="J18" i="95"/>
  <c r="K18" i="95" s="1"/>
  <c r="C15" i="51"/>
  <c r="E16" i="51"/>
  <c r="J16" i="51"/>
  <c r="K16" i="51" s="1"/>
  <c r="K51" i="122"/>
  <c r="K50" i="72"/>
  <c r="K51" i="117"/>
  <c r="K48" i="110"/>
  <c r="E19" i="14"/>
  <c r="C18" i="14"/>
  <c r="GR18" i="2" s="1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K48" i="36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48"/>
  <c r="HD20" i="2"/>
  <c r="I53" i="122"/>
  <c r="J52" i="122"/>
  <c r="J51" i="72"/>
  <c r="I52" i="72"/>
  <c r="I52" i="157"/>
  <c r="J51" i="157"/>
  <c r="K50" i="157" s="1"/>
  <c r="J52" i="117"/>
  <c r="I53" i="117"/>
  <c r="J49" i="69"/>
  <c r="I50" i="69"/>
  <c r="E17" i="99"/>
  <c r="C16" i="99"/>
  <c r="J17" i="99"/>
  <c r="K17" i="99" s="1"/>
  <c r="K49" i="85"/>
  <c r="K47" i="160"/>
  <c r="I50" i="36"/>
  <c r="J49" i="36"/>
  <c r="E19" i="29"/>
  <c r="C18" i="29"/>
  <c r="J19" i="29"/>
  <c r="K19" i="29" s="1"/>
  <c r="X19" i="1"/>
  <c r="I50" i="91"/>
  <c r="J49" i="91"/>
  <c r="E17" i="116"/>
  <c r="C16" i="116"/>
  <c r="J17" i="116"/>
  <c r="K17" i="116" s="1"/>
  <c r="I51" i="54"/>
  <c r="J50" i="54"/>
  <c r="K49" i="54" s="1"/>
  <c r="I55" i="134"/>
  <c r="J54" i="134"/>
  <c r="E16" i="115"/>
  <c r="C15" i="115"/>
  <c r="J16" i="115"/>
  <c r="K16" i="115" s="1"/>
  <c r="IV20" i="2"/>
  <c r="K51" i="142"/>
  <c r="J52" i="48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I55" i="12"/>
  <c r="J54" i="12"/>
  <c r="K53" i="12" s="1"/>
  <c r="J53" i="59"/>
  <c r="I54" i="59"/>
  <c r="K49" i="99"/>
  <c r="C18" i="8"/>
  <c r="BP19" i="1"/>
  <c r="E19" i="8"/>
  <c r="HC19" i="2"/>
  <c r="J19" i="8"/>
  <c r="K19" i="8" s="1"/>
  <c r="I50" i="40"/>
  <c r="J49" i="40"/>
  <c r="I51" i="123"/>
  <c r="J50" i="123"/>
  <c r="K53" i="7"/>
  <c r="E17" i="113"/>
  <c r="C16" i="113"/>
  <c r="J17" i="113"/>
  <c r="K17" i="113" s="1"/>
  <c r="K52" i="59"/>
  <c r="I54" i="82"/>
  <c r="J53" i="82"/>
  <c r="K48" i="91"/>
  <c r="K53" i="134"/>
  <c r="K49" i="103"/>
  <c r="E15" i="131"/>
  <c r="C14" i="131"/>
  <c r="J15" i="131"/>
  <c r="K15" i="131" s="1"/>
  <c r="E19" i="143"/>
  <c r="C18" i="143"/>
  <c r="J19" i="143"/>
  <c r="K19" i="143" s="1"/>
  <c r="I53" i="98"/>
  <c r="J52" i="98"/>
  <c r="CB20" i="1"/>
  <c r="K49" i="108"/>
  <c r="I51" i="153"/>
  <c r="J50" i="153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E12" i="82"/>
  <c r="C11" i="82"/>
  <c r="J12" i="82"/>
  <c r="K12" i="82" s="1"/>
  <c r="C17" i="142"/>
  <c r="E18" i="142"/>
  <c r="J18" i="142"/>
  <c r="K18" i="142" s="1"/>
  <c r="E16" i="26"/>
  <c r="C15" i="26"/>
  <c r="J16" i="26"/>
  <c r="K16" i="26" s="1"/>
  <c r="K53" i="74"/>
  <c r="E17" i="74"/>
  <c r="C16" i="74"/>
  <c r="J17" i="74"/>
  <c r="K17" i="74" s="1"/>
  <c r="E17" i="66"/>
  <c r="C16" i="66"/>
  <c r="J17" i="66"/>
  <c r="K17" i="66" s="1"/>
  <c r="K51" i="98"/>
  <c r="E19" i="6"/>
  <c r="C18" i="6"/>
  <c r="CA19" i="1"/>
  <c r="K51" i="127"/>
  <c r="C16" i="130"/>
  <c r="E17" i="130"/>
  <c r="J17" i="130"/>
  <c r="K17" i="130" s="1"/>
  <c r="K49" i="153"/>
  <c r="J50" i="168"/>
  <c r="I51" i="168"/>
  <c r="J50" i="19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49" i="19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J50" i="20"/>
  <c r="K49" i="20" s="1"/>
  <c r="I51" i="20"/>
  <c r="C17" i="154"/>
  <c r="E18" i="154"/>
  <c r="J18" i="154"/>
  <c r="K18" i="154" s="1"/>
  <c r="IJ18" i="2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K49" i="97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8" i="17"/>
  <c r="K49" i="57"/>
  <c r="I51" i="97"/>
  <c r="J50" i="97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I50" i="17"/>
  <c r="K48" i="19"/>
  <c r="J50" i="57"/>
  <c r="I51" i="57"/>
  <c r="K49" i="86"/>
  <c r="I53" i="16"/>
  <c r="J52" i="16"/>
  <c r="K51" i="16" s="1"/>
  <c r="K48" i="102"/>
  <c r="E17" i="128"/>
  <c r="C16" i="128"/>
  <c r="J17" i="128"/>
  <c r="K17" i="128" s="1"/>
  <c r="K49" i="80"/>
  <c r="J49" i="109"/>
  <c r="I50" i="109"/>
  <c r="K48" i="8"/>
  <c r="I53" i="152"/>
  <c r="J52" i="152"/>
  <c r="K51" i="152" s="1"/>
  <c r="K49" i="155"/>
  <c r="IU19" i="2"/>
  <c r="K48" i="54"/>
  <c r="J53" i="94"/>
  <c r="I54" i="94"/>
  <c r="I52" i="18"/>
  <c r="J51" i="18"/>
  <c r="I51" i="155"/>
  <c r="J50" i="155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J50" i="86"/>
  <c r="I51" i="86"/>
  <c r="I53" i="78"/>
  <c r="J52" i="78"/>
  <c r="K50" i="149"/>
  <c r="I51" i="56"/>
  <c r="J50" i="56"/>
  <c r="HN19" i="2"/>
  <c r="J49" i="102"/>
  <c r="I50" i="102"/>
  <c r="I51" i="88"/>
  <c r="J50" i="88"/>
  <c r="K49" i="88" s="1"/>
  <c r="J50" i="80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8" i="47"/>
  <c r="K50" i="158"/>
  <c r="K49" i="158"/>
  <c r="K49" i="72"/>
  <c r="I52" i="149"/>
  <c r="J51" i="149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K52" i="94"/>
  <c r="I52" i="60"/>
  <c r="J51" i="60"/>
  <c r="K50" i="60" s="1"/>
  <c r="K48" i="33"/>
  <c r="E16" i="62"/>
  <c r="C15" i="62"/>
  <c r="J16" i="62"/>
  <c r="K16" i="62" s="1"/>
  <c r="C14" i="45"/>
  <c r="E15" i="45"/>
  <c r="J15" i="45"/>
  <c r="K15" i="45" s="1"/>
  <c r="K49" i="161"/>
  <c r="C17" i="63"/>
  <c r="E18" i="63"/>
  <c r="J18" i="63"/>
  <c r="K18" i="63" s="1"/>
  <c r="CL18" i="2"/>
  <c r="EP19" i="2"/>
  <c r="I52" i="158"/>
  <c r="J51" i="158"/>
  <c r="N19" i="2"/>
  <c r="C14" i="59"/>
  <c r="E15" i="59"/>
  <c r="J15" i="59"/>
  <c r="K15" i="59" s="1"/>
  <c r="E18" i="89"/>
  <c r="C17" i="89"/>
  <c r="J18" i="89"/>
  <c r="K18" i="89" s="1"/>
  <c r="HN18" i="2"/>
  <c r="K48" i="174"/>
  <c r="C17" i="70"/>
  <c r="E18" i="70"/>
  <c r="J18" i="70"/>
  <c r="K18" i="70" s="1"/>
  <c r="I52" i="129"/>
  <c r="J51" i="129"/>
  <c r="K52" i="22"/>
  <c r="J50" i="106"/>
  <c r="I51" i="106"/>
  <c r="K48" i="87"/>
  <c r="K48" i="11"/>
  <c r="I51" i="131"/>
  <c r="J50" i="131"/>
  <c r="C16" i="126"/>
  <c r="E17" i="126"/>
  <c r="J17" i="126"/>
  <c r="K17" i="126" s="1"/>
  <c r="I51" i="161"/>
  <c r="J50" i="16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K52" i="42"/>
  <c r="E16" i="123"/>
  <c r="C15" i="123"/>
  <c r="J16" i="123"/>
  <c r="K16" i="123" s="1"/>
  <c r="J49" i="174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C14" i="105"/>
  <c r="E15" i="105"/>
  <c r="J15" i="105"/>
  <c r="K15" i="10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C16" i="104"/>
  <c r="E17" i="104"/>
  <c r="J17" i="104"/>
  <c r="K17" i="104" s="1"/>
  <c r="E18" i="96"/>
  <c r="C17" i="96"/>
  <c r="J18" i="96"/>
  <c r="K18" i="96" s="1"/>
  <c r="J53" i="42"/>
  <c r="I54" i="42"/>
  <c r="I51" i="170"/>
  <c r="J50" i="170"/>
  <c r="K48" i="76"/>
  <c r="K49" i="66"/>
  <c r="K48" i="88"/>
  <c r="I50" i="130"/>
  <c r="J49" i="130"/>
  <c r="E16" i="39"/>
  <c r="C15" i="39"/>
  <c r="J16" i="39"/>
  <c r="K16" i="39" s="1"/>
  <c r="K49" i="3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K48" i="105"/>
  <c r="I53" i="77"/>
  <c r="J52" i="77"/>
  <c r="K48" i="151"/>
  <c r="K49" i="170"/>
  <c r="N20" i="2"/>
  <c r="J49" i="55"/>
  <c r="I50" i="55"/>
  <c r="I50" i="146"/>
  <c r="J49" i="146"/>
  <c r="E17" i="25"/>
  <c r="C16" i="25"/>
  <c r="J17" i="25"/>
  <c r="K17" i="25" s="1"/>
  <c r="K47" i="36"/>
  <c r="C14" i="160"/>
  <c r="E15" i="160"/>
  <c r="J15" i="160"/>
  <c r="K15" i="160" s="1"/>
  <c r="K48" i="111"/>
  <c r="FA19" i="2"/>
  <c r="K50" i="139"/>
  <c r="K47" i="8"/>
  <c r="DT18" i="2"/>
  <c r="K48" i="131"/>
  <c r="E17" i="118"/>
  <c r="C16" i="118"/>
  <c r="J17" i="118"/>
  <c r="K17" i="118" s="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51" i="77"/>
  <c r="N20" i="1"/>
  <c r="K49" i="165"/>
  <c r="K50" i="156"/>
  <c r="E16" i="73"/>
  <c r="C15" i="73"/>
  <c r="J16" i="73"/>
  <c r="K16" i="73" s="1"/>
  <c r="K50" i="107"/>
  <c r="CX18" i="2"/>
  <c r="I51" i="3"/>
  <c r="J50" i="3"/>
  <c r="K48" i="125"/>
  <c r="K50" i="113"/>
  <c r="C17" i="145"/>
  <c r="E18" i="145"/>
  <c r="J18" i="145"/>
  <c r="K18" i="145" s="1"/>
  <c r="E19" i="27"/>
  <c r="C18" i="27"/>
  <c r="J19" i="27"/>
  <c r="K19" i="27" s="1"/>
  <c r="J49" i="81"/>
  <c r="I50" i="81"/>
  <c r="K48" i="112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E17" i="139"/>
  <c r="C16" i="139"/>
  <c r="J17" i="139"/>
  <c r="K17" i="139" s="1"/>
  <c r="BF58" i="1"/>
  <c r="BG58" i="1"/>
  <c r="E17" i="67"/>
  <c r="C16" i="67"/>
  <c r="J17" i="67"/>
  <c r="K17" i="67" s="1"/>
  <c r="K50" i="16"/>
  <c r="Y20" i="2"/>
  <c r="K51" i="42"/>
  <c r="K50" i="29"/>
  <c r="E17" i="60"/>
  <c r="C16" i="60"/>
  <c r="J17" i="60"/>
  <c r="K17" i="60" s="1"/>
  <c r="C13" i="32"/>
  <c r="E14" i="32"/>
  <c r="J14" i="32"/>
  <c r="K14" i="32" s="1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I50" i="11"/>
  <c r="E15" i="43"/>
  <c r="C14" i="43"/>
  <c r="J15" i="43"/>
  <c r="K15" i="43" s="1"/>
  <c r="I50" i="143"/>
  <c r="J49" i="143"/>
  <c r="I51" i="121"/>
  <c r="J50" i="121"/>
  <c r="J51" i="139"/>
  <c r="I52" i="139"/>
  <c r="K50" i="44"/>
  <c r="J49" i="163"/>
  <c r="K48" i="163" s="1"/>
  <c r="I50" i="163"/>
  <c r="J50" i="162"/>
  <c r="I51" i="162"/>
  <c r="K47" i="100"/>
  <c r="C15" i="84"/>
  <c r="E16" i="84"/>
  <c r="J16" i="84"/>
  <c r="K16" i="84" s="1"/>
  <c r="K47" i="91"/>
  <c r="I53" i="62"/>
  <c r="J52" i="62"/>
  <c r="K48" i="65"/>
  <c r="J51" i="44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K51" i="13"/>
  <c r="J49" i="120"/>
  <c r="K48" i="120" s="1"/>
  <c r="I50" i="120"/>
  <c r="C16" i="161"/>
  <c r="E17" i="161"/>
  <c r="J17" i="161"/>
  <c r="K17" i="161" s="1"/>
  <c r="J50" i="104"/>
  <c r="K49" i="104" s="1"/>
  <c r="I51" i="104"/>
  <c r="K51" i="59"/>
  <c r="BF18" i="2" l="1"/>
  <c r="GS18" i="2"/>
  <c r="EP18" i="2"/>
  <c r="HO19" i="2"/>
  <c r="I53" i="30"/>
  <c r="J52" i="30"/>
  <c r="I52" i="73"/>
  <c r="J51" i="73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C12" i="157"/>
  <c r="E13" i="157"/>
  <c r="J13" i="157"/>
  <c r="K13" i="157" s="1"/>
  <c r="K54" i="133"/>
  <c r="I54" i="62"/>
  <c r="J53" i="62"/>
  <c r="E15" i="141"/>
  <c r="C14" i="141"/>
  <c r="J15" i="141"/>
  <c r="K15" i="141" s="1"/>
  <c r="C14" i="73"/>
  <c r="E15" i="73"/>
  <c r="J15" i="73"/>
  <c r="K15" i="73" s="1"/>
  <c r="K49" i="146"/>
  <c r="E17" i="97"/>
  <c r="C16" i="97"/>
  <c r="J17" i="97"/>
  <c r="K17" i="97" s="1"/>
  <c r="K50" i="56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E13" i="156"/>
  <c r="C12" i="156"/>
  <c r="J13" i="156"/>
  <c r="K13" i="156" s="1"/>
  <c r="I56" i="133"/>
  <c r="J55" i="133"/>
  <c r="J50" i="146"/>
  <c r="I51" i="146"/>
  <c r="E15" i="39"/>
  <c r="C14" i="39"/>
  <c r="J15" i="39"/>
  <c r="K15" i="39" s="1"/>
  <c r="E14" i="105"/>
  <c r="C13" i="105"/>
  <c r="J14" i="105"/>
  <c r="K14" i="105" s="1"/>
  <c r="C17" i="158"/>
  <c r="E18" i="158"/>
  <c r="J18" i="158"/>
  <c r="K18" i="158" s="1"/>
  <c r="J51" i="56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5" i="173"/>
  <c r="C14" i="173"/>
  <c r="J15" i="173"/>
  <c r="K15" i="173" s="1"/>
  <c r="C13" i="59"/>
  <c r="E14" i="59"/>
  <c r="J14" i="59"/>
  <c r="K14" i="59" s="1"/>
  <c r="E18" i="56"/>
  <c r="C17" i="56"/>
  <c r="J18" i="56"/>
  <c r="K18" i="56" s="1"/>
  <c r="K50" i="19"/>
  <c r="C14" i="106"/>
  <c r="E15" i="106"/>
  <c r="J15" i="106"/>
  <c r="K15" i="106" s="1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E13" i="138"/>
  <c r="C12" i="138"/>
  <c r="J13" i="138"/>
  <c r="K13" i="138" s="1"/>
  <c r="E15" i="120"/>
  <c r="C14" i="120"/>
  <c r="J15" i="120"/>
  <c r="K15" i="120" s="1"/>
  <c r="C16" i="13"/>
  <c r="E17" i="13"/>
  <c r="J17" i="13"/>
  <c r="K17" i="13" s="1"/>
  <c r="K49" i="130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I56" i="74"/>
  <c r="I51" i="130"/>
  <c r="J50" i="130"/>
  <c r="C15" i="5"/>
  <c r="E16" i="5"/>
  <c r="J16" i="5"/>
  <c r="K16" i="5" s="1"/>
  <c r="E16" i="128"/>
  <c r="C15" i="128"/>
  <c r="J16" i="128"/>
  <c r="K16" i="128" s="1"/>
  <c r="J54" i="14"/>
  <c r="I55" i="14"/>
  <c r="K49" i="35"/>
  <c r="I51" i="43"/>
  <c r="J50" i="43"/>
  <c r="C15" i="18"/>
  <c r="E16" i="18"/>
  <c r="J16" i="18"/>
  <c r="K16" i="18" s="1"/>
  <c r="K50" i="108"/>
  <c r="K51" i="99"/>
  <c r="K54" i="74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I55" i="82"/>
  <c r="J54" i="82"/>
  <c r="C16" i="71"/>
  <c r="E17" i="71"/>
  <c r="J17" i="71"/>
  <c r="K17" i="71" s="1"/>
  <c r="J51" i="108"/>
  <c r="I52" i="108"/>
  <c r="J52" i="99"/>
  <c r="I53" i="99"/>
  <c r="I51" i="90"/>
  <c r="J50" i="90"/>
  <c r="J52" i="28"/>
  <c r="I53" i="28"/>
  <c r="K52" i="62"/>
  <c r="E16" i="68"/>
  <c r="C15" i="68"/>
  <c r="J16" i="68"/>
  <c r="K16" i="68" s="1"/>
  <c r="J52" i="158"/>
  <c r="I53" i="158"/>
  <c r="J51" i="86"/>
  <c r="I52" i="86"/>
  <c r="I51" i="36"/>
  <c r="J50" i="36"/>
  <c r="K49" i="36" s="1"/>
  <c r="AU19" i="2"/>
  <c r="E15" i="51"/>
  <c r="C14" i="51"/>
  <c r="J15" i="51"/>
  <c r="K15" i="51" s="1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K50" i="162"/>
  <c r="K52" i="51"/>
  <c r="K49" i="105"/>
  <c r="C17" i="55"/>
  <c r="E18" i="55"/>
  <c r="J18" i="55"/>
  <c r="K18" i="55" s="1"/>
  <c r="K48" i="55"/>
  <c r="K51" i="149"/>
  <c r="K50" i="86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5" i="149"/>
  <c r="C14" i="149"/>
  <c r="J15" i="149"/>
  <c r="K15" i="149" s="1"/>
  <c r="E16" i="144"/>
  <c r="C15" i="144"/>
  <c r="J16" i="144"/>
  <c r="K16" i="144" s="1"/>
  <c r="I53" i="66"/>
  <c r="J52" i="66"/>
  <c r="DT17" i="2"/>
  <c r="E15" i="84"/>
  <c r="C14" i="84"/>
  <c r="J15" i="84"/>
  <c r="K15" i="84" s="1"/>
  <c r="J51" i="162"/>
  <c r="I52" i="162"/>
  <c r="J53" i="51"/>
  <c r="I54" i="51"/>
  <c r="I51" i="163"/>
  <c r="J50" i="163"/>
  <c r="I51" i="105"/>
  <c r="J50" i="105"/>
  <c r="I53" i="149"/>
  <c r="J52" i="149"/>
  <c r="K49" i="56"/>
  <c r="E16" i="130"/>
  <c r="C15" i="130"/>
  <c r="J16" i="130"/>
  <c r="K16" i="130" s="1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K50" i="151"/>
  <c r="J50" i="55"/>
  <c r="I51" i="55"/>
  <c r="IK18" i="2"/>
  <c r="E17" i="95"/>
  <c r="C16" i="95"/>
  <c r="J17" i="95"/>
  <c r="K17" i="95" s="1"/>
  <c r="K54" i="61"/>
  <c r="C14" i="69"/>
  <c r="E15" i="69"/>
  <c r="J15" i="69"/>
  <c r="K15" i="69" s="1"/>
  <c r="J52" i="173"/>
  <c r="I53" i="173"/>
  <c r="I52" i="151"/>
  <c r="J51" i="151"/>
  <c r="K52" i="13"/>
  <c r="E16" i="129"/>
  <c r="C15" i="129"/>
  <c r="J16" i="129"/>
  <c r="K16" i="129" s="1"/>
  <c r="DS16" i="2"/>
  <c r="K50" i="170"/>
  <c r="I54" i="16"/>
  <c r="J53" i="16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FK18" i="2"/>
  <c r="J53" i="156"/>
  <c r="K52" i="156" s="1"/>
  <c r="I54" i="156"/>
  <c r="K51" i="173"/>
  <c r="I54" i="13"/>
  <c r="J53" i="13"/>
  <c r="FA18" i="2"/>
  <c r="J51" i="161"/>
  <c r="I52" i="161"/>
  <c r="C15" i="118"/>
  <c r="E16" i="118"/>
  <c r="J16" i="118"/>
  <c r="K16" i="118" s="1"/>
  <c r="C15" i="99"/>
  <c r="E16" i="99"/>
  <c r="J16" i="99"/>
  <c r="K16" i="99" s="1"/>
  <c r="E18" i="152"/>
  <c r="C17" i="152"/>
  <c r="J18" i="152"/>
  <c r="K18" i="152" s="1"/>
  <c r="K49" i="8"/>
  <c r="E14" i="165"/>
  <c r="C13" i="165"/>
  <c r="J14" i="165"/>
  <c r="K14" i="165" s="1"/>
  <c r="K49" i="34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CA18" i="1"/>
  <c r="DI18" i="2"/>
  <c r="K50" i="123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E16" i="65"/>
  <c r="C15" i="65"/>
  <c r="J16" i="65"/>
  <c r="K16" i="65" s="1"/>
  <c r="J50" i="8"/>
  <c r="I51" i="8"/>
  <c r="K49" i="116"/>
  <c r="J50" i="34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K50" i="121"/>
  <c r="E16" i="60"/>
  <c r="C15" i="60"/>
  <c r="J16" i="60"/>
  <c r="K16" i="60" s="1"/>
  <c r="C16" i="38"/>
  <c r="E17" i="38"/>
  <c r="J17" i="38"/>
  <c r="K17" i="38" s="1"/>
  <c r="E16" i="75"/>
  <c r="C15" i="75"/>
  <c r="J16" i="75"/>
  <c r="K16" i="75" s="1"/>
  <c r="K50" i="131"/>
  <c r="I52" i="57"/>
  <c r="J51" i="57"/>
  <c r="I52" i="20"/>
  <c r="J51" i="20"/>
  <c r="E17" i="133"/>
  <c r="C16" i="133"/>
  <c r="J17" i="133"/>
  <c r="K17" i="133" s="1"/>
  <c r="DH17" i="2"/>
  <c r="K49" i="40"/>
  <c r="I51" i="140"/>
  <c r="J50" i="140"/>
  <c r="K50" i="118"/>
  <c r="K52" i="107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I51" i="174"/>
  <c r="I52" i="131"/>
  <c r="J51" i="131"/>
  <c r="E17" i="21"/>
  <c r="C16" i="21"/>
  <c r="J17" i="21"/>
  <c r="K17" i="21" s="1"/>
  <c r="K50" i="57"/>
  <c r="K50" i="20"/>
  <c r="I51" i="40"/>
  <c r="J50" i="40"/>
  <c r="K50" i="67"/>
  <c r="J50" i="69"/>
  <c r="I51" i="69"/>
  <c r="E17" i="48"/>
  <c r="C16" i="48"/>
  <c r="J17" i="48"/>
  <c r="K17" i="48" s="1"/>
  <c r="J53" i="107"/>
  <c r="I54" i="107"/>
  <c r="J52" i="41"/>
  <c r="I53" i="41"/>
  <c r="K54" i="145"/>
  <c r="C15" i="64"/>
  <c r="E16" i="64"/>
  <c r="J16" i="64"/>
  <c r="K16" i="64" s="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K49" i="174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I54" i="9"/>
  <c r="I56" i="145"/>
  <c r="J55" i="145"/>
  <c r="K49" i="5"/>
  <c r="I55" i="27"/>
  <c r="J54" i="27"/>
  <c r="I53" i="115"/>
  <c r="J52" i="115"/>
  <c r="K51" i="115" s="1"/>
  <c r="J50" i="47"/>
  <c r="I51" i="47"/>
  <c r="I51" i="120"/>
  <c r="J50" i="120"/>
  <c r="J52" i="139"/>
  <c r="I53" i="139"/>
  <c r="E13" i="32"/>
  <c r="C12" i="32"/>
  <c r="J13" i="32"/>
  <c r="K13" i="32" s="1"/>
  <c r="J51" i="121"/>
  <c r="I52" i="121"/>
  <c r="E14" i="45"/>
  <c r="C13" i="45"/>
  <c r="J14" i="45"/>
  <c r="K14" i="45" s="1"/>
  <c r="J50" i="17"/>
  <c r="K49" i="17" s="1"/>
  <c r="I51" i="17"/>
  <c r="J53" i="48"/>
  <c r="I54" i="48"/>
  <c r="I54" i="117"/>
  <c r="J53" i="117"/>
  <c r="K52" i="117" s="1"/>
  <c r="K52" i="9"/>
  <c r="C12" i="146"/>
  <c r="E13" i="146"/>
  <c r="J13" i="146"/>
  <c r="K13" i="146" s="1"/>
  <c r="K50" i="41"/>
  <c r="J53" i="128"/>
  <c r="I54" i="128"/>
  <c r="J52" i="63"/>
  <c r="I53" i="63"/>
  <c r="K53" i="27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K52" i="48"/>
  <c r="CA18" i="2"/>
  <c r="J53" i="136"/>
  <c r="I54" i="136"/>
  <c r="I53" i="23"/>
  <c r="J52" i="23"/>
  <c r="E16" i="150"/>
  <c r="C15" i="150"/>
  <c r="J16" i="150"/>
  <c r="K16" i="150" s="1"/>
  <c r="J53" i="101"/>
  <c r="I54" i="101"/>
  <c r="E13" i="87"/>
  <c r="C12" i="87"/>
  <c r="J13" i="87"/>
  <c r="K13" i="87" s="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C15" i="74"/>
  <c r="E16" i="74"/>
  <c r="J16" i="74"/>
  <c r="K16" i="74" s="1"/>
  <c r="C12" i="166"/>
  <c r="E13" i="166"/>
  <c r="J13" i="166"/>
  <c r="K13" i="166" s="1"/>
  <c r="K51" i="157"/>
  <c r="E17" i="31"/>
  <c r="C16" i="31"/>
  <c r="J17" i="31"/>
  <c r="K17" i="31" s="1"/>
  <c r="E15" i="168"/>
  <c r="C14" i="168"/>
  <c r="J15" i="168"/>
  <c r="K15" i="168" s="1"/>
  <c r="E17" i="10"/>
  <c r="C16" i="10"/>
  <c r="J17" i="10"/>
  <c r="K17" i="10" s="1"/>
  <c r="C10" i="98"/>
  <c r="E11" i="98"/>
  <c r="J11" i="98"/>
  <c r="K11" i="98" s="1"/>
  <c r="I51" i="64"/>
  <c r="J50" i="64"/>
  <c r="K49" i="64" s="1"/>
  <c r="J52" i="37"/>
  <c r="I53" i="37"/>
  <c r="K51" i="164"/>
  <c r="EE19" i="2"/>
  <c r="K50" i="104"/>
  <c r="J51" i="106"/>
  <c r="I52" i="106"/>
  <c r="K50" i="144"/>
  <c r="BQ19" i="1"/>
  <c r="I53" i="157"/>
  <c r="J52" i="157"/>
  <c r="J51" i="21"/>
  <c r="K50" i="21" s="1"/>
  <c r="I52" i="21"/>
  <c r="K53" i="145"/>
  <c r="K50" i="52"/>
  <c r="I51" i="160"/>
  <c r="J50" i="160"/>
  <c r="K49" i="160" s="1"/>
  <c r="K51" i="93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4" i="43"/>
  <c r="C13" i="43"/>
  <c r="J14" i="43"/>
  <c r="K14" i="43" s="1"/>
  <c r="E18" i="107"/>
  <c r="C17" i="107"/>
  <c r="J18" i="107"/>
  <c r="K18" i="107" s="1"/>
  <c r="K50" i="106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I52" i="52"/>
  <c r="J52" i="93"/>
  <c r="I53" i="93"/>
  <c r="E16" i="16"/>
  <c r="C15" i="16"/>
  <c r="J16" i="16"/>
  <c r="K16" i="16" s="1"/>
  <c r="E18" i="121"/>
  <c r="C17" i="121"/>
  <c r="J18" i="121"/>
  <c r="K18" i="121" s="1"/>
  <c r="I53" i="68"/>
  <c r="J52" i="68"/>
  <c r="K49" i="163"/>
  <c r="E15" i="62"/>
  <c r="C14" i="62"/>
  <c r="J15" i="62"/>
  <c r="K15" i="62" s="1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AI17" i="1" s="1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K50" i="103"/>
  <c r="C16" i="134"/>
  <c r="E17" i="134"/>
  <c r="EZ17" i="2"/>
  <c r="J17" i="134"/>
  <c r="K17" i="134" s="1"/>
  <c r="K52" i="16"/>
  <c r="E16" i="161"/>
  <c r="C15" i="161"/>
  <c r="J16" i="161"/>
  <c r="K16" i="161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I51" i="112"/>
  <c r="C16" i="33"/>
  <c r="E17" i="33"/>
  <c r="M17" i="2"/>
  <c r="J17" i="33"/>
  <c r="K17" i="33" s="1"/>
  <c r="K51" i="129"/>
  <c r="K48" i="81"/>
  <c r="K51" i="18"/>
  <c r="E17" i="78"/>
  <c r="C16" i="78"/>
  <c r="J17" i="78"/>
  <c r="K17" i="78" s="1"/>
  <c r="K49" i="125"/>
  <c r="C14" i="26"/>
  <c r="E15" i="26"/>
  <c r="J15" i="26"/>
  <c r="K15" i="26" s="1"/>
  <c r="E15" i="115"/>
  <c r="C14" i="115"/>
  <c r="J15" i="115"/>
  <c r="K15" i="115" s="1"/>
  <c r="K52" i="122"/>
  <c r="AI18" i="2"/>
  <c r="C16" i="41"/>
  <c r="E17" i="41"/>
  <c r="BE17" i="2"/>
  <c r="J17" i="41"/>
  <c r="K17" i="41" s="1"/>
  <c r="I52" i="154"/>
  <c r="J51" i="154"/>
  <c r="E14" i="102"/>
  <c r="C13" i="102"/>
  <c r="J14" i="102"/>
  <c r="K14" i="102" s="1"/>
  <c r="E16" i="57"/>
  <c r="C15" i="57"/>
  <c r="J16" i="57"/>
  <c r="K16" i="57" s="1"/>
  <c r="E16" i="103"/>
  <c r="C15" i="103"/>
  <c r="J16" i="103"/>
  <c r="K16" i="103" s="1"/>
  <c r="D57" i="1"/>
  <c r="O57" i="1"/>
  <c r="BR57" i="1"/>
  <c r="CC57" i="1"/>
  <c r="Z57" i="1"/>
  <c r="AK57" i="1"/>
  <c r="AV57" i="1"/>
  <c r="I52" i="103"/>
  <c r="J51" i="103"/>
  <c r="E16" i="67"/>
  <c r="C15" i="67"/>
  <c r="J16" i="67"/>
  <c r="K16" i="67" s="1"/>
  <c r="K48" i="143"/>
  <c r="K49" i="112"/>
  <c r="I52" i="155"/>
  <c r="J51" i="155"/>
  <c r="J50" i="11"/>
  <c r="I51" i="11"/>
  <c r="I52" i="119"/>
  <c r="J51" i="119"/>
  <c r="K51" i="68"/>
  <c r="J52" i="129"/>
  <c r="I53" i="129"/>
  <c r="I53" i="18"/>
  <c r="J52" i="18"/>
  <c r="K48" i="109"/>
  <c r="I51" i="125"/>
  <c r="J50" i="125"/>
  <c r="K52" i="82"/>
  <c r="J53" i="122"/>
  <c r="I54" i="122"/>
  <c r="E17" i="140"/>
  <c r="C16" i="140"/>
  <c r="J17" i="140"/>
  <c r="K17" i="140" s="1"/>
  <c r="C15" i="110"/>
  <c r="E16" i="110"/>
  <c r="J16" i="110"/>
  <c r="K16" i="110" s="1"/>
  <c r="K50" i="70"/>
  <c r="K50" i="154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K51" i="60"/>
  <c r="I55" i="94"/>
  <c r="J54" i="94"/>
  <c r="E17" i="76"/>
  <c r="C16" i="76"/>
  <c r="J17" i="76"/>
  <c r="K17" i="76" s="1"/>
  <c r="I55" i="59"/>
  <c r="J54" i="59"/>
  <c r="K54" i="134"/>
  <c r="I52" i="70"/>
  <c r="J51" i="70"/>
  <c r="I54" i="172"/>
  <c r="J53" i="172"/>
  <c r="I55" i="71"/>
  <c r="J54" i="71"/>
  <c r="E17" i="119"/>
  <c r="C16" i="119"/>
  <c r="J17" i="119"/>
  <c r="K17" i="119" s="1"/>
  <c r="BG57" i="1"/>
  <c r="BF57" i="1"/>
  <c r="I53" i="124"/>
  <c r="J52" i="124"/>
  <c r="I53" i="83"/>
  <c r="J52" i="83"/>
  <c r="K48" i="38"/>
  <c r="K49" i="58"/>
  <c r="K49" i="119"/>
  <c r="I53" i="60"/>
  <c r="J52" i="60"/>
  <c r="I52" i="80"/>
  <c r="J51" i="80"/>
  <c r="K53" i="94"/>
  <c r="CW17" i="2"/>
  <c r="K52" i="98"/>
  <c r="J55" i="134"/>
  <c r="I56" i="134"/>
  <c r="E16" i="81"/>
  <c r="C15" i="81"/>
  <c r="J16" i="81"/>
  <c r="K16" i="81" s="1"/>
  <c r="CB19" i="2"/>
  <c r="I55" i="79"/>
  <c r="J54" i="79"/>
  <c r="E17" i="164"/>
  <c r="C16" i="164"/>
  <c r="J17" i="164"/>
  <c r="K17" i="164" s="1"/>
  <c r="K53" i="7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E16" i="112"/>
  <c r="C15" i="112"/>
  <c r="CW16" i="2"/>
  <c r="J16" i="112"/>
  <c r="K16" i="112" s="1"/>
  <c r="K50" i="167"/>
  <c r="E17" i="142"/>
  <c r="C16" i="142"/>
  <c r="J17" i="142"/>
  <c r="K17" i="142" s="1"/>
  <c r="I54" i="98"/>
  <c r="J53" i="98"/>
  <c r="K48" i="140"/>
  <c r="K53" i="79"/>
  <c r="C17" i="91"/>
  <c r="E18" i="91"/>
  <c r="J18" i="91"/>
  <c r="K18" i="91" s="1"/>
  <c r="E15" i="72"/>
  <c r="C14" i="72"/>
  <c r="J15" i="72"/>
  <c r="K15" i="72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C14" i="159"/>
  <c r="E15" i="159"/>
  <c r="J15" i="159"/>
  <c r="K15" i="159" s="1"/>
  <c r="K50" i="25"/>
  <c r="K49" i="96"/>
  <c r="E17" i="79"/>
  <c r="C16" i="79"/>
  <c r="J17" i="79"/>
  <c r="K17" i="79" s="1"/>
  <c r="E17" i="70"/>
  <c r="C16" i="70"/>
  <c r="J17" i="70"/>
  <c r="K17" i="70" s="1"/>
  <c r="E16" i="139"/>
  <c r="C15" i="139"/>
  <c r="J16" i="139"/>
  <c r="K16" i="139" s="1"/>
  <c r="K48" i="130"/>
  <c r="I52" i="126"/>
  <c r="J51" i="126"/>
  <c r="K50" i="126" s="1"/>
  <c r="E11" i="82"/>
  <c r="C10" i="82"/>
  <c r="J11" i="82"/>
  <c r="K11" i="82" s="1"/>
  <c r="K52" i="142"/>
  <c r="I51" i="110"/>
  <c r="J50" i="110"/>
  <c r="C17" i="53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K52" i="15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I54" i="142"/>
  <c r="E18" i="14"/>
  <c r="C17" i="14"/>
  <c r="J18" i="14"/>
  <c r="K18" i="14" s="1"/>
  <c r="K49" i="110"/>
  <c r="K50" i="93"/>
  <c r="I52" i="111"/>
  <c r="J51" i="111"/>
  <c r="C16" i="114"/>
  <c r="E17" i="114"/>
  <c r="J17" i="114"/>
  <c r="K17" i="114" s="1"/>
  <c r="I51" i="100"/>
  <c r="J50" i="100"/>
  <c r="I53" i="159"/>
  <c r="J52" i="159"/>
  <c r="K51" i="159" s="1"/>
  <c r="E17" i="44"/>
  <c r="C16" i="44"/>
  <c r="J17" i="44"/>
  <c r="K17" i="44" s="1"/>
  <c r="C13" i="160"/>
  <c r="E14" i="160"/>
  <c r="J14" i="160"/>
  <c r="K14" i="160" s="1"/>
  <c r="IV19" i="2"/>
  <c r="J52" i="44"/>
  <c r="K51" i="44" s="1"/>
  <c r="I53" i="44"/>
  <c r="C17" i="155"/>
  <c r="CL17" i="2" s="1"/>
  <c r="E18" i="155"/>
  <c r="J18" i="155"/>
  <c r="K18" i="155" s="1"/>
  <c r="E16" i="25"/>
  <c r="C15" i="25"/>
  <c r="J16" i="25"/>
  <c r="K16" i="25" s="1"/>
  <c r="E17" i="89"/>
  <c r="C16" i="89"/>
  <c r="J17" i="89"/>
  <c r="K17" i="89" s="1"/>
  <c r="HN17" i="2"/>
  <c r="K50" i="124"/>
  <c r="I54" i="152"/>
  <c r="J53" i="152"/>
  <c r="K51" i="30"/>
  <c r="E18" i="42"/>
  <c r="C17" i="42"/>
  <c r="J18" i="42"/>
  <c r="K18" i="42" s="1"/>
  <c r="FV18" i="2"/>
  <c r="K50" i="73"/>
  <c r="K54" i="7"/>
  <c r="K49" i="123"/>
  <c r="J51" i="50"/>
  <c r="I52" i="50"/>
  <c r="E15" i="61"/>
  <c r="C14" i="61"/>
  <c r="J15" i="61"/>
  <c r="K15" i="61" s="1"/>
  <c r="E15" i="85"/>
  <c r="C14" i="85"/>
  <c r="J15" i="85"/>
  <c r="K15" i="85" s="1"/>
  <c r="K50" i="111"/>
  <c r="K49" i="100"/>
  <c r="K48" i="90"/>
  <c r="IU17" i="2"/>
  <c r="AJ17" i="1" l="1"/>
  <c r="CM17" i="2"/>
  <c r="EP17" i="2"/>
  <c r="AJ17" i="2"/>
  <c r="IK17" i="2"/>
  <c r="FL17" i="2"/>
  <c r="CB17" i="2"/>
  <c r="I55" i="89"/>
  <c r="J54" i="89"/>
  <c r="E14" i="85"/>
  <c r="C13" i="85"/>
  <c r="J14" i="85"/>
  <c r="K14" i="85" s="1"/>
  <c r="K51" i="155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E10" i="98"/>
  <c r="C9" i="98"/>
  <c r="J10" i="98"/>
  <c r="K10" i="98" s="1"/>
  <c r="I55" i="77"/>
  <c r="J54" i="77"/>
  <c r="K51" i="123"/>
  <c r="I53" i="170"/>
  <c r="J52" i="170"/>
  <c r="K55" i="61"/>
  <c r="I52" i="105"/>
  <c r="J51" i="105"/>
  <c r="E17" i="50"/>
  <c r="C16" i="50"/>
  <c r="AT17" i="2"/>
  <c r="J17" i="50"/>
  <c r="K17" i="50" s="1"/>
  <c r="I55" i="62"/>
  <c r="J54" i="62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C16" i="91"/>
  <c r="E17" i="91"/>
  <c r="J17" i="91"/>
  <c r="K17" i="91" s="1"/>
  <c r="K53" i="172"/>
  <c r="K52" i="129"/>
  <c r="C14" i="4"/>
  <c r="E15" i="4"/>
  <c r="J15" i="4"/>
  <c r="K15" i="4" s="1"/>
  <c r="J52" i="31"/>
  <c r="I53" i="31"/>
  <c r="E15" i="83"/>
  <c r="C14" i="83"/>
  <c r="J15" i="83"/>
  <c r="K15" i="83" s="1"/>
  <c r="J52" i="123"/>
  <c r="I53" i="123"/>
  <c r="K51" i="170"/>
  <c r="I57" i="61"/>
  <c r="J56" i="61"/>
  <c r="C16" i="46"/>
  <c r="AI16" i="1" s="1"/>
  <c r="E17" i="46"/>
  <c r="J17" i="46"/>
  <c r="K17" i="46" s="1"/>
  <c r="I52" i="148"/>
  <c r="J51" i="148"/>
  <c r="I55" i="128"/>
  <c r="J54" i="128"/>
  <c r="E14" i="124"/>
  <c r="C13" i="124"/>
  <c r="J14" i="124"/>
  <c r="K14" i="124" s="1"/>
  <c r="C15" i="89"/>
  <c r="E16" i="89"/>
  <c r="J16" i="89"/>
  <c r="K16" i="89" s="1"/>
  <c r="HN16" i="2"/>
  <c r="I55" i="172"/>
  <c r="J54" i="172"/>
  <c r="K51" i="154"/>
  <c r="J52" i="52"/>
  <c r="I53" i="52"/>
  <c r="K51" i="31"/>
  <c r="E12" i="32"/>
  <c r="C11" i="32"/>
  <c r="J12" i="32"/>
  <c r="K12" i="32" s="1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J51" i="110"/>
  <c r="K50" i="110" s="1"/>
  <c r="I52" i="110"/>
  <c r="I53" i="54"/>
  <c r="J52" i="54"/>
  <c r="K51" i="54" s="1"/>
  <c r="IV17" i="2"/>
  <c r="E15" i="25"/>
  <c r="C14" i="25"/>
  <c r="J15" i="25"/>
  <c r="K15" i="25" s="1"/>
  <c r="J54" i="142"/>
  <c r="I55" i="142"/>
  <c r="K50" i="54"/>
  <c r="EE18" i="2"/>
  <c r="E12" i="87"/>
  <c r="C11" i="87"/>
  <c r="J12" i="87"/>
  <c r="K12" i="87" s="1"/>
  <c r="K54" i="12"/>
  <c r="I53" i="154"/>
  <c r="J52" i="154"/>
  <c r="C16" i="49"/>
  <c r="E17" i="49"/>
  <c r="J17" i="49"/>
  <c r="K17" i="49" s="1"/>
  <c r="K51" i="52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I55" i="132"/>
  <c r="I55" i="51"/>
  <c r="J54" i="5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K53" i="132"/>
  <c r="C16" i="92"/>
  <c r="E17" i="92"/>
  <c r="J17" i="92"/>
  <c r="K17" i="92" s="1"/>
  <c r="K53" i="51"/>
  <c r="BQ18" i="2"/>
  <c r="C15" i="101"/>
  <c r="E16" i="101"/>
  <c r="J16" i="101"/>
  <c r="K16" i="101" s="1"/>
  <c r="I53" i="169"/>
  <c r="J52" i="169"/>
  <c r="E12" i="157"/>
  <c r="C11" i="157"/>
  <c r="J12" i="157"/>
  <c r="K12" i="157" s="1"/>
  <c r="K53" i="101"/>
  <c r="C14" i="60"/>
  <c r="E15" i="60"/>
  <c r="J15" i="60"/>
  <c r="K15" i="60" s="1"/>
  <c r="K55" i="15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N18" i="2"/>
  <c r="E14" i="47"/>
  <c r="C13" i="47"/>
  <c r="J14" i="47"/>
  <c r="K14" i="47" s="1"/>
  <c r="K52" i="72"/>
  <c r="C13" i="168"/>
  <c r="E14" i="168"/>
  <c r="J14" i="168"/>
  <c r="K14" i="168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I52" i="55"/>
  <c r="J51" i="55"/>
  <c r="K50" i="55" s="1"/>
  <c r="K50" i="35"/>
  <c r="E17" i="52"/>
  <c r="C16" i="52"/>
  <c r="BP17" i="2"/>
  <c r="J17" i="52"/>
  <c r="K17" i="52" s="1"/>
  <c r="J51" i="120"/>
  <c r="K50" i="120" s="1"/>
  <c r="I52" i="120"/>
  <c r="K53" i="164"/>
  <c r="C13" i="51"/>
  <c r="E14" i="51"/>
  <c r="J14" i="51"/>
  <c r="K14" i="51" s="1"/>
  <c r="I52" i="35"/>
  <c r="J51" i="35"/>
  <c r="J52" i="138"/>
  <c r="I53" i="138"/>
  <c r="I52" i="171"/>
  <c r="J51" i="171"/>
  <c r="J51" i="160"/>
  <c r="I52" i="160"/>
  <c r="J53" i="63"/>
  <c r="I54" i="63"/>
  <c r="J51" i="47"/>
  <c r="I52" i="47"/>
  <c r="IV18" i="2"/>
  <c r="I55" i="164"/>
  <c r="J54" i="164"/>
  <c r="I52" i="65"/>
  <c r="J51" i="65"/>
  <c r="K50" i="65" s="1"/>
  <c r="E15" i="54"/>
  <c r="C14" i="54"/>
  <c r="J15" i="54"/>
  <c r="K15" i="54" s="1"/>
  <c r="E14" i="84"/>
  <c r="C13" i="84"/>
  <c r="J14" i="84"/>
  <c r="K14" i="8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E16" i="76"/>
  <c r="C15" i="76"/>
  <c r="J16" i="76"/>
  <c r="K16" i="76" s="1"/>
  <c r="K50" i="166"/>
  <c r="I53" i="155"/>
  <c r="J52" i="155"/>
  <c r="I53" i="153"/>
  <c r="J52" i="153"/>
  <c r="BQ18" i="1"/>
  <c r="K50" i="47"/>
  <c r="E15" i="64"/>
  <c r="C14" i="64"/>
  <c r="J15" i="64"/>
  <c r="K15" i="64" s="1"/>
  <c r="C12" i="165"/>
  <c r="E13" i="165"/>
  <c r="J13" i="165"/>
  <c r="K13" i="165" s="1"/>
  <c r="K50" i="138"/>
  <c r="J52" i="19"/>
  <c r="I53" i="19"/>
  <c r="E16" i="77"/>
  <c r="C15" i="77"/>
  <c r="J16" i="77"/>
  <c r="K16" i="77" s="1"/>
  <c r="K49" i="171"/>
  <c r="I57" i="134"/>
  <c r="J56" i="134"/>
  <c r="J53" i="44"/>
  <c r="K52" i="44" s="1"/>
  <c r="I54" i="44"/>
  <c r="K50" i="45"/>
  <c r="K54" i="32"/>
  <c r="I53" i="4"/>
  <c r="J52" i="4"/>
  <c r="I54" i="72"/>
  <c r="J53" i="72"/>
  <c r="K50" i="148"/>
  <c r="K53" i="59"/>
  <c r="K53" i="89"/>
  <c r="E15" i="139"/>
  <c r="C14" i="139"/>
  <c r="J15" i="139"/>
  <c r="K15" i="139" s="1"/>
  <c r="CX16" i="2"/>
  <c r="K54" i="94"/>
  <c r="C13" i="115"/>
  <c r="E14" i="115"/>
  <c r="J14" i="115"/>
  <c r="K14" i="115" s="1"/>
  <c r="C14" i="161"/>
  <c r="E15" i="161"/>
  <c r="J15" i="161"/>
  <c r="K15" i="161" s="1"/>
  <c r="E17" i="8"/>
  <c r="C16" i="8"/>
  <c r="HC17" i="2"/>
  <c r="BP17" i="1"/>
  <c r="J17" i="8"/>
  <c r="K17" i="8" s="1"/>
  <c r="I53" i="21"/>
  <c r="J52" i="21"/>
  <c r="J54" i="136"/>
  <c r="I55" i="136"/>
  <c r="K53" i="128"/>
  <c r="I54" i="115"/>
  <c r="J53" i="115"/>
  <c r="E16" i="96"/>
  <c r="C15" i="96"/>
  <c r="J16" i="96"/>
  <c r="K16" i="96" s="1"/>
  <c r="I54" i="41"/>
  <c r="J53" i="41"/>
  <c r="K52" i="41" s="1"/>
  <c r="I54" i="92"/>
  <c r="J53" i="92"/>
  <c r="I52" i="45"/>
  <c r="J51" i="45"/>
  <c r="J52" i="137"/>
  <c r="K51" i="137" s="1"/>
  <c r="I53" i="137"/>
  <c r="I56" i="32"/>
  <c r="J55" i="32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K51" i="4"/>
  <c r="I52" i="91"/>
  <c r="J51" i="91"/>
  <c r="K50" i="11"/>
  <c r="K50" i="160"/>
  <c r="E15" i="150"/>
  <c r="C14" i="150"/>
  <c r="J15" i="150"/>
  <c r="K15" i="150" s="1"/>
  <c r="I53" i="126"/>
  <c r="J52" i="126"/>
  <c r="K53" i="136"/>
  <c r="K51" i="23"/>
  <c r="K51" i="41"/>
  <c r="K52" i="164"/>
  <c r="C15" i="63"/>
  <c r="E16" i="63"/>
  <c r="J16" i="63"/>
  <c r="K16" i="63" s="1"/>
  <c r="I53" i="5"/>
  <c r="J52" i="5"/>
  <c r="J51" i="36"/>
  <c r="I52" i="36"/>
  <c r="K53" i="78"/>
  <c r="Y18" i="1"/>
  <c r="J52" i="97"/>
  <c r="I53" i="97"/>
  <c r="K50" i="91"/>
  <c r="E16" i="35"/>
  <c r="C15" i="35"/>
  <c r="J16" i="35"/>
  <c r="K16" i="35" s="1"/>
  <c r="E15" i="11"/>
  <c r="C14" i="11"/>
  <c r="J15" i="11"/>
  <c r="K15" i="11" s="1"/>
  <c r="I53" i="80"/>
  <c r="J52" i="80"/>
  <c r="E15" i="67"/>
  <c r="C14" i="67"/>
  <c r="J15" i="67"/>
  <c r="K15" i="67" s="1"/>
  <c r="CB18" i="2"/>
  <c r="J55" i="27"/>
  <c r="I56" i="27"/>
  <c r="K50" i="81"/>
  <c r="I55" i="107"/>
  <c r="J54" i="107"/>
  <c r="K50" i="76"/>
  <c r="C16" i="152"/>
  <c r="E17" i="152"/>
  <c r="J17" i="152"/>
  <c r="K17" i="152" s="1"/>
  <c r="K51" i="5"/>
  <c r="I54" i="66"/>
  <c r="J53" i="66"/>
  <c r="K50" i="137"/>
  <c r="J54" i="78"/>
  <c r="I55" i="78"/>
  <c r="I52" i="43"/>
  <c r="J51" i="43"/>
  <c r="K50" i="116"/>
  <c r="K51" i="97"/>
  <c r="K49" i="91"/>
  <c r="K51" i="85"/>
  <c r="E15" i="112"/>
  <c r="C14" i="112"/>
  <c r="J15" i="112"/>
  <c r="K15" i="112" s="1"/>
  <c r="K51" i="80"/>
  <c r="I56" i="94"/>
  <c r="J55" i="94"/>
  <c r="I53" i="84"/>
  <c r="J52" i="84"/>
  <c r="K51" i="84" s="1"/>
  <c r="C13" i="163"/>
  <c r="E14" i="163"/>
  <c r="J14" i="163"/>
  <c r="K14" i="163" s="1"/>
  <c r="I53" i="50"/>
  <c r="J52" i="50"/>
  <c r="E13" i="160"/>
  <c r="C12" i="160"/>
  <c r="J13" i="160"/>
  <c r="K13" i="16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60"/>
  <c r="K52" i="172"/>
  <c r="K53" i="22"/>
  <c r="J53" i="157"/>
  <c r="I54" i="157"/>
  <c r="J51" i="81"/>
  <c r="I52" i="81"/>
  <c r="K53" i="107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K51" i="103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0" i="155"/>
  <c r="E12" i="146"/>
  <c r="C11" i="146"/>
  <c r="J12" i="146"/>
  <c r="K12" i="146" s="1"/>
  <c r="K52" i="128"/>
  <c r="E16" i="48"/>
  <c r="C15" i="48"/>
  <c r="J16" i="48"/>
  <c r="K16" i="48" s="1"/>
  <c r="K50" i="119"/>
  <c r="I54" i="158"/>
  <c r="J53" i="158"/>
  <c r="K49" i="43"/>
  <c r="E14" i="106"/>
  <c r="C13" i="106"/>
  <c r="J14" i="106"/>
  <c r="K14" i="106" s="1"/>
  <c r="K50" i="97"/>
  <c r="C12" i="131"/>
  <c r="E13" i="131"/>
  <c r="J13" i="131"/>
  <c r="K13" i="131" s="1"/>
  <c r="J51" i="95"/>
  <c r="I52" i="95"/>
  <c r="E17" i="172"/>
  <c r="C16" i="172"/>
  <c r="J17" i="172"/>
  <c r="K17" i="172" s="1"/>
  <c r="GR17" i="2"/>
  <c r="C14" i="99"/>
  <c r="E15" i="99"/>
  <c r="J15" i="99"/>
  <c r="K15" i="99" s="1"/>
  <c r="DT16" i="2"/>
  <c r="E15" i="135"/>
  <c r="C14" i="135"/>
  <c r="J15" i="135"/>
  <c r="K15" i="135" s="1"/>
  <c r="K50" i="5"/>
  <c r="E17" i="55"/>
  <c r="C16" i="55"/>
  <c r="J17" i="55"/>
  <c r="K17" i="55" s="1"/>
  <c r="K52" i="158"/>
  <c r="I56" i="14"/>
  <c r="J55" i="14"/>
  <c r="I53" i="168"/>
  <c r="J52" i="168"/>
  <c r="K51" i="168" s="1"/>
  <c r="I52" i="109"/>
  <c r="J51" i="109"/>
  <c r="K50" i="109" s="1"/>
  <c r="C16" i="155"/>
  <c r="CL16" i="2" s="1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50" i="95"/>
  <c r="K49" i="95"/>
  <c r="E15" i="74"/>
  <c r="C14" i="74"/>
  <c r="J15" i="74"/>
  <c r="K15" i="74" s="1"/>
  <c r="K52" i="136"/>
  <c r="J56" i="145"/>
  <c r="K55" i="145" s="1"/>
  <c r="I57" i="145"/>
  <c r="I52" i="69"/>
  <c r="J51" i="69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I53" i="53"/>
  <c r="I53" i="106"/>
  <c r="J52" i="106"/>
  <c r="K51" i="144"/>
  <c r="J54" i="9"/>
  <c r="I55" i="9"/>
  <c r="K50" i="69"/>
  <c r="K51" i="139"/>
  <c r="E15" i="129"/>
  <c r="C14" i="129"/>
  <c r="J15" i="129"/>
  <c r="K15" i="129" s="1"/>
  <c r="DS15" i="2"/>
  <c r="E14" i="149"/>
  <c r="C13" i="149"/>
  <c r="J14" i="149"/>
  <c r="K14" i="149" s="1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C13" i="62"/>
  <c r="E14" i="62"/>
  <c r="J14" i="62"/>
  <c r="K14" i="62" s="1"/>
  <c r="J52" i="144"/>
  <c r="I53" i="144"/>
  <c r="C14" i="137"/>
  <c r="E15" i="137"/>
  <c r="J15" i="137"/>
  <c r="K15" i="137" s="1"/>
  <c r="J54" i="117"/>
  <c r="I55" i="117"/>
  <c r="K53" i="9"/>
  <c r="E15" i="148"/>
  <c r="C14" i="148"/>
  <c r="J15" i="148"/>
  <c r="K15" i="148" s="1"/>
  <c r="DI17" i="2"/>
  <c r="E16" i="88"/>
  <c r="C15" i="88"/>
  <c r="J16" i="88"/>
  <c r="K16" i="88" s="1"/>
  <c r="K49" i="120"/>
  <c r="E15" i="118"/>
  <c r="C14" i="118"/>
  <c r="J15" i="118"/>
  <c r="K15" i="118" s="1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K51" i="50"/>
  <c r="K50" i="147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K50" i="40"/>
  <c r="I53" i="161"/>
  <c r="J52" i="161"/>
  <c r="I53" i="49"/>
  <c r="J52" i="49"/>
  <c r="J51" i="38"/>
  <c r="I52" i="38"/>
  <c r="C12" i="105"/>
  <c r="E13" i="105"/>
  <c r="J13" i="105"/>
  <c r="K13" i="105" s="1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E16" i="133"/>
  <c r="C15" i="133"/>
  <c r="J16" i="133"/>
  <c r="K16" i="133" s="1"/>
  <c r="DH16" i="2"/>
  <c r="J51" i="34"/>
  <c r="I52" i="34"/>
  <c r="K51" i="161"/>
  <c r="C15" i="162"/>
  <c r="E16" i="162"/>
  <c r="J16" i="162"/>
  <c r="K16" i="162" s="1"/>
  <c r="I54" i="28"/>
  <c r="J53" i="28"/>
  <c r="K50" i="38"/>
  <c r="K52" i="78"/>
  <c r="K49" i="55"/>
  <c r="E16" i="97"/>
  <c r="C15" i="97"/>
  <c r="J16" i="97"/>
  <c r="K16" i="97" s="1"/>
  <c r="K52" i="30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E15" i="130"/>
  <c r="C14" i="130"/>
  <c r="J15" i="130"/>
  <c r="K15" i="130" s="1"/>
  <c r="K52" i="28"/>
  <c r="K51" i="104"/>
  <c r="I54" i="30"/>
  <c r="J53" i="30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2" i="43"/>
  <c r="E13" i="43"/>
  <c r="J13" i="43"/>
  <c r="K13" i="43" s="1"/>
  <c r="C15" i="15"/>
  <c r="E16" i="15"/>
  <c r="J16" i="15"/>
  <c r="K16" i="15" s="1"/>
  <c r="K51" i="113"/>
  <c r="K51" i="20"/>
  <c r="CB18" i="1"/>
  <c r="I54" i="173"/>
  <c r="J53" i="173"/>
  <c r="C15" i="147"/>
  <c r="E16" i="147"/>
  <c r="J16" i="147"/>
  <c r="K16" i="147" s="1"/>
  <c r="K51" i="28"/>
  <c r="K50" i="90"/>
  <c r="I53" i="104"/>
  <c r="J52" i="104"/>
  <c r="C12" i="59"/>
  <c r="E13" i="59"/>
  <c r="J13" i="59"/>
  <c r="K13" i="59" s="1"/>
  <c r="C13" i="39"/>
  <c r="E14" i="39"/>
  <c r="J14" i="39"/>
  <c r="K14" i="39" s="1"/>
  <c r="E15" i="116"/>
  <c r="C14" i="116"/>
  <c r="J15" i="116"/>
  <c r="K15" i="116" s="1"/>
  <c r="E10" i="82"/>
  <c r="C9" i="82"/>
  <c r="J10" i="82"/>
  <c r="K10" i="82" s="1"/>
  <c r="I53" i="88"/>
  <c r="J52" i="88"/>
  <c r="HD18" i="2"/>
  <c r="C15" i="114"/>
  <c r="E16" i="114"/>
  <c r="J16" i="114"/>
  <c r="K16" i="114" s="1"/>
  <c r="HZ17" i="2"/>
  <c r="C13" i="159"/>
  <c r="E14" i="159"/>
  <c r="J14" i="159"/>
  <c r="K14" i="159" s="1"/>
  <c r="C11" i="30"/>
  <c r="E12" i="30"/>
  <c r="J12" i="30"/>
  <c r="K12" i="30" s="1"/>
  <c r="J53" i="37"/>
  <c r="I54" i="37"/>
  <c r="I52" i="17"/>
  <c r="J51" i="17"/>
  <c r="K51" i="39"/>
  <c r="N18" i="1"/>
  <c r="I53" i="20"/>
  <c r="J52" i="20"/>
  <c r="K50" i="114"/>
  <c r="C16" i="6"/>
  <c r="CA17" i="1"/>
  <c r="E17" i="6"/>
  <c r="K52" i="173"/>
  <c r="K51" i="66"/>
  <c r="I52" i="90"/>
  <c r="J51" i="90"/>
  <c r="K53" i="32"/>
  <c r="E16" i="13"/>
  <c r="C15" i="13"/>
  <c r="J16" i="13"/>
  <c r="K16" i="13" s="1"/>
  <c r="IU16" i="2"/>
  <c r="K50" i="31"/>
  <c r="J53" i="23"/>
  <c r="K52" i="23" s="1"/>
  <c r="I54" i="23"/>
  <c r="J56" i="75"/>
  <c r="K55" i="75" s="1"/>
  <c r="I57" i="75"/>
  <c r="I52" i="147"/>
  <c r="J51" i="147"/>
  <c r="E15" i="22"/>
  <c r="C14" i="22"/>
  <c r="J15" i="22"/>
  <c r="K15" i="22" s="1"/>
  <c r="I55" i="152"/>
  <c r="J54" i="152"/>
  <c r="C16" i="58"/>
  <c r="E17" i="58"/>
  <c r="J17" i="58"/>
  <c r="K17" i="58" s="1"/>
  <c r="E15" i="103"/>
  <c r="C14" i="103"/>
  <c r="J15" i="103"/>
  <c r="K15" i="103" s="1"/>
  <c r="K49" i="102"/>
  <c r="K51" i="111"/>
  <c r="E16" i="169"/>
  <c r="C15" i="169"/>
  <c r="HY16" i="2"/>
  <c r="J16" i="169"/>
  <c r="K16" i="169" s="1"/>
  <c r="C13" i="72"/>
  <c r="E14" i="72"/>
  <c r="J14" i="72"/>
  <c r="K14" i="72" s="1"/>
  <c r="E16" i="33"/>
  <c r="C15" i="33"/>
  <c r="M16" i="2"/>
  <c r="J16" i="33"/>
  <c r="K16" i="33" s="1"/>
  <c r="E17" i="121"/>
  <c r="C16" i="121"/>
  <c r="J17" i="121"/>
  <c r="K17" i="121" s="1"/>
  <c r="J52" i="39"/>
  <c r="I53" i="39"/>
  <c r="Y18" i="2"/>
  <c r="K51" i="57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K51" i="53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I53" i="57"/>
  <c r="K52" i="127"/>
  <c r="K52" i="132"/>
  <c r="C16" i="93"/>
  <c r="E17" i="93"/>
  <c r="J17" i="93"/>
  <c r="K17" i="93" s="1"/>
  <c r="E17" i="28"/>
  <c r="C16" i="28"/>
  <c r="AI16" i="2" s="1"/>
  <c r="J17" i="28"/>
  <c r="K17" i="28" s="1"/>
  <c r="K50" i="130"/>
  <c r="E14" i="120"/>
  <c r="C13" i="120"/>
  <c r="J14" i="120"/>
  <c r="K14" i="120" s="1"/>
  <c r="K50" i="146"/>
  <c r="E14" i="73"/>
  <c r="C13" i="73"/>
  <c r="J14" i="73"/>
  <c r="K14" i="73" s="1"/>
  <c r="CX17" i="2"/>
  <c r="K51" i="153"/>
  <c r="E14" i="61"/>
  <c r="C13" i="61"/>
  <c r="J14" i="61"/>
  <c r="K14" i="61" s="1"/>
  <c r="C14" i="57"/>
  <c r="E15" i="57"/>
  <c r="J15" i="57"/>
  <c r="K15" i="57" s="1"/>
  <c r="K50" i="112"/>
  <c r="I52" i="64"/>
  <c r="J51" i="64"/>
  <c r="E13" i="45"/>
  <c r="C12" i="45"/>
  <c r="J13" i="45"/>
  <c r="K13" i="45" s="1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K52" i="25"/>
  <c r="I54" i="99"/>
  <c r="J53" i="99"/>
  <c r="I52" i="130"/>
  <c r="J51" i="130"/>
  <c r="E14" i="173"/>
  <c r="C13" i="173"/>
  <c r="J14" i="173"/>
  <c r="K14" i="173" s="1"/>
  <c r="E13" i="111"/>
  <c r="C12" i="111"/>
  <c r="J13" i="111"/>
  <c r="K13" i="111" s="1"/>
  <c r="K52" i="115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K52" i="165"/>
  <c r="E16" i="164"/>
  <c r="C15" i="164"/>
  <c r="J16" i="164"/>
  <c r="K16" i="164" s="1"/>
  <c r="K50" i="33"/>
  <c r="K52" i="18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J55" i="59"/>
  <c r="K54" i="59" s="1"/>
  <c r="I56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K55" i="134"/>
  <c r="AJ18" i="2"/>
  <c r="J51" i="125"/>
  <c r="I52" i="125"/>
  <c r="E17" i="90"/>
  <c r="C16" i="90"/>
  <c r="J17" i="90"/>
  <c r="K17" i="90" s="1"/>
  <c r="I54" i="18"/>
  <c r="J53" i="18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C12" i="102"/>
  <c r="E13" i="102"/>
  <c r="J13" i="102"/>
  <c r="K13" i="102" s="1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CW15" i="2" s="1"/>
  <c r="E16" i="36"/>
  <c r="J16" i="36"/>
  <c r="K16" i="36" s="1"/>
  <c r="AJ18" i="1"/>
  <c r="J56" i="74"/>
  <c r="K55" i="74" s="1"/>
  <c r="I57" i="74"/>
  <c r="E12" i="138"/>
  <c r="C11" i="138"/>
  <c r="J12" i="138"/>
  <c r="K12" i="138" s="1"/>
  <c r="E12" i="156"/>
  <c r="C11" i="156"/>
  <c r="J12" i="156"/>
  <c r="K12" i="156" s="1"/>
  <c r="K53" i="62"/>
  <c r="AJ16" i="2" l="1"/>
  <c r="CX15" i="2"/>
  <c r="CM16" i="2"/>
  <c r="AJ16" i="1"/>
  <c r="EP16" i="2"/>
  <c r="IK16" i="2"/>
  <c r="BF16" i="2"/>
  <c r="I53" i="130"/>
  <c r="J52" i="130"/>
  <c r="C12" i="73"/>
  <c r="E13" i="73"/>
  <c r="J13" i="73"/>
  <c r="K13" i="73" s="1"/>
  <c r="E13" i="72"/>
  <c r="C12" i="72"/>
  <c r="J13" i="72"/>
  <c r="K13" i="72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I56" i="29"/>
  <c r="J55" i="29"/>
  <c r="K54" i="29" s="1"/>
  <c r="K56" i="61"/>
  <c r="E15" i="44"/>
  <c r="C14" i="44"/>
  <c r="J15" i="44"/>
  <c r="K15" i="44" s="1"/>
  <c r="I57" i="79"/>
  <c r="J56" i="79"/>
  <c r="C13" i="11"/>
  <c r="E14" i="11"/>
  <c r="J14" i="11"/>
  <c r="K14" i="11" s="1"/>
  <c r="C13" i="150"/>
  <c r="E14" i="150"/>
  <c r="J14" i="150"/>
  <c r="K14" i="150" s="1"/>
  <c r="I55" i="115"/>
  <c r="J54" i="115"/>
  <c r="K52" i="76"/>
  <c r="C12" i="171"/>
  <c r="E13" i="171"/>
  <c r="J13" i="171"/>
  <c r="K13" i="171" s="1"/>
  <c r="C14" i="95"/>
  <c r="E15" i="95"/>
  <c r="J15" i="95"/>
  <c r="K15" i="95" s="1"/>
  <c r="I58" i="61"/>
  <c r="J57" i="61"/>
  <c r="K51" i="141"/>
  <c r="E15" i="140"/>
  <c r="C14" i="140"/>
  <c r="J15" i="140"/>
  <c r="K15" i="140" s="1"/>
  <c r="C15" i="55"/>
  <c r="E16" i="55"/>
  <c r="J16" i="55"/>
  <c r="K16" i="55" s="1"/>
  <c r="I54" i="86"/>
  <c r="J53" i="86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C11" i="43"/>
  <c r="E12" i="43"/>
  <c r="J12" i="43"/>
  <c r="K12" i="43" s="1"/>
  <c r="I53" i="141"/>
  <c r="J52" i="141"/>
  <c r="I56" i="9"/>
  <c r="J55" i="9"/>
  <c r="E14" i="74"/>
  <c r="C13" i="74"/>
  <c r="J14" i="74"/>
  <c r="K14" i="74" s="1"/>
  <c r="E15" i="48"/>
  <c r="C14" i="48"/>
  <c r="J15" i="48"/>
  <c r="K15" i="48" s="1"/>
  <c r="E11" i="166"/>
  <c r="C10" i="166"/>
  <c r="J11" i="166"/>
  <c r="K11" i="166" s="1"/>
  <c r="K52" i="86"/>
  <c r="I53" i="47"/>
  <c r="J52" i="47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I55" i="113"/>
  <c r="I55" i="83"/>
  <c r="J54" i="83"/>
  <c r="I56" i="117"/>
  <c r="J55" i="117"/>
  <c r="K54" i="117" s="1"/>
  <c r="K54" i="9"/>
  <c r="J55" i="136"/>
  <c r="I56" i="136"/>
  <c r="E15" i="76"/>
  <c r="C14" i="76"/>
  <c r="J15" i="76"/>
  <c r="K15" i="76" s="1"/>
  <c r="K51" i="47"/>
  <c r="K55" i="82"/>
  <c r="I55" i="10"/>
  <c r="J54" i="10"/>
  <c r="I54" i="123"/>
  <c r="J53" i="123"/>
  <c r="J54" i="68"/>
  <c r="I55" i="68"/>
  <c r="K53" i="113"/>
  <c r="K53" i="83"/>
  <c r="K53" i="117"/>
  <c r="I57" i="22"/>
  <c r="J56" i="22"/>
  <c r="I56" i="16"/>
  <c r="J55" i="16"/>
  <c r="K54" i="136"/>
  <c r="I55" i="63"/>
  <c r="J54" i="63"/>
  <c r="E16" i="92"/>
  <c r="C15" i="92"/>
  <c r="J16" i="92"/>
  <c r="K16" i="92" s="1"/>
  <c r="C15" i="14"/>
  <c r="GR15" i="2" s="1"/>
  <c r="E16" i="14"/>
  <c r="J16" i="14"/>
  <c r="K16" i="14" s="1"/>
  <c r="GR16" i="2"/>
  <c r="K56" i="133"/>
  <c r="K53" i="149"/>
  <c r="C12" i="120"/>
  <c r="E13" i="120"/>
  <c r="J13" i="120"/>
  <c r="K13" i="120" s="1"/>
  <c r="I55" i="93"/>
  <c r="J54" i="93"/>
  <c r="I58" i="133"/>
  <c r="J57" i="133"/>
  <c r="I55" i="149"/>
  <c r="J54" i="149"/>
  <c r="E9" i="82"/>
  <c r="C8" i="82"/>
  <c r="J9" i="82"/>
  <c r="K9" i="82" s="1"/>
  <c r="E14" i="19"/>
  <c r="C13" i="19"/>
  <c r="J14" i="19"/>
  <c r="K14" i="19" s="1"/>
  <c r="J53" i="33"/>
  <c r="I54" i="33"/>
  <c r="C13" i="135"/>
  <c r="E14" i="135"/>
  <c r="J14" i="135"/>
  <c r="K14" i="135" s="1"/>
  <c r="E15" i="35"/>
  <c r="C14" i="35"/>
  <c r="J15" i="35"/>
  <c r="K15" i="35" s="1"/>
  <c r="I55" i="44"/>
  <c r="J54" i="44"/>
  <c r="K53" i="63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K53" i="93"/>
  <c r="FW17" i="2"/>
  <c r="E16" i="100"/>
  <c r="C15" i="100"/>
  <c r="J16" i="100"/>
  <c r="K16" i="100" s="1"/>
  <c r="C10" i="146"/>
  <c r="E11" i="146"/>
  <c r="J11" i="146"/>
  <c r="K11" i="146" s="1"/>
  <c r="I54" i="114"/>
  <c r="J53" i="114"/>
  <c r="I53" i="91"/>
  <c r="J52" i="91"/>
  <c r="K51" i="91" s="1"/>
  <c r="I54" i="21"/>
  <c r="J53" i="21"/>
  <c r="K53" i="44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4" i="103"/>
  <c r="C13" i="103"/>
  <c r="J14" i="103"/>
  <c r="K14" i="103" s="1"/>
  <c r="E16" i="6"/>
  <c r="CA16" i="1"/>
  <c r="C15" i="6"/>
  <c r="E14" i="116"/>
  <c r="C13" i="116"/>
  <c r="J14" i="116"/>
  <c r="K14" i="116" s="1"/>
  <c r="K50" i="141"/>
  <c r="I54" i="144"/>
  <c r="J53" i="144"/>
  <c r="I54" i="53"/>
  <c r="J53" i="53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E14" i="25"/>
  <c r="C13" i="25"/>
  <c r="J14" i="25"/>
  <c r="K14" i="25" s="1"/>
  <c r="C10" i="32"/>
  <c r="E11" i="32"/>
  <c r="J11" i="32"/>
  <c r="K11" i="32" s="1"/>
  <c r="AU17" i="2"/>
  <c r="K52" i="33"/>
  <c r="E15" i="145"/>
  <c r="C14" i="145"/>
  <c r="J15" i="145"/>
  <c r="K15" i="145" s="1"/>
  <c r="N17" i="1"/>
  <c r="Y17" i="2"/>
  <c r="K53" i="25"/>
  <c r="C15" i="42"/>
  <c r="E16" i="42"/>
  <c r="J16" i="42"/>
  <c r="K16" i="42" s="1"/>
  <c r="FV16" i="2"/>
  <c r="K52" i="144"/>
  <c r="K52" i="53"/>
  <c r="K52" i="103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1" i="33"/>
  <c r="C15" i="12"/>
  <c r="E16" i="12"/>
  <c r="X16" i="2"/>
  <c r="M16" i="1"/>
  <c r="J16" i="12"/>
  <c r="K16" i="12" s="1"/>
  <c r="K53" i="26"/>
  <c r="K52" i="20"/>
  <c r="K51" i="106"/>
  <c r="J53" i="103"/>
  <c r="I54" i="103"/>
  <c r="J54" i="157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I54" i="138"/>
  <c r="K52" i="162"/>
  <c r="K53" i="139"/>
  <c r="K54" i="132"/>
  <c r="J52" i="166"/>
  <c r="I53" i="166"/>
  <c r="I54" i="20"/>
  <c r="J53" i="20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K53" i="157"/>
  <c r="K51" i="102"/>
  <c r="K53" i="66"/>
  <c r="E15" i="77"/>
  <c r="C14" i="77"/>
  <c r="J15" i="77"/>
  <c r="K15" i="77" s="1"/>
  <c r="K52" i="138"/>
  <c r="E14" i="167"/>
  <c r="C13" i="167"/>
  <c r="J14" i="167"/>
  <c r="K14" i="167" s="1"/>
  <c r="I54" i="162"/>
  <c r="J53" i="162"/>
  <c r="J54" i="139"/>
  <c r="I55" i="139"/>
  <c r="I54" i="52"/>
  <c r="J53" i="52"/>
  <c r="K51" i="105"/>
  <c r="C13" i="75"/>
  <c r="E14" i="75"/>
  <c r="J14" i="75"/>
  <c r="K14" i="75" s="1"/>
  <c r="K54" i="156"/>
  <c r="I55" i="159"/>
  <c r="J54" i="159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J54" i="66"/>
  <c r="I55" i="66"/>
  <c r="K50" i="43"/>
  <c r="E14" i="17"/>
  <c r="C13" i="17"/>
  <c r="J14" i="17"/>
  <c r="K14" i="17" s="1"/>
  <c r="K54" i="101"/>
  <c r="I56" i="127"/>
  <c r="J55" i="127"/>
  <c r="K52" i="52"/>
  <c r="I53" i="105"/>
  <c r="J52" i="105"/>
  <c r="I56" i="156"/>
  <c r="J55" i="156"/>
  <c r="C15" i="93"/>
  <c r="E16" i="93"/>
  <c r="J16" i="93"/>
  <c r="K16" i="93" s="1"/>
  <c r="K54" i="152"/>
  <c r="I53" i="100"/>
  <c r="J52" i="100"/>
  <c r="E13" i="62"/>
  <c r="C12" i="62"/>
  <c r="J13" i="62"/>
  <c r="K13" i="62" s="1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6" i="46"/>
  <c r="K51" i="76"/>
  <c r="I56" i="101"/>
  <c r="J55" i="101"/>
  <c r="J53" i="54"/>
  <c r="I54" i="54"/>
  <c r="C12" i="85"/>
  <c r="E13" i="85"/>
  <c r="J13" i="85"/>
  <c r="K13" i="85" s="1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I58" i="46"/>
  <c r="J52" i="110"/>
  <c r="I53" i="110"/>
  <c r="K54" i="172"/>
  <c r="E14" i="4"/>
  <c r="C13" i="4"/>
  <c r="J14" i="4"/>
  <c r="K14" i="4" s="1"/>
  <c r="K53" i="159"/>
  <c r="J53" i="131"/>
  <c r="K52" i="131" s="1"/>
  <c r="I54" i="131"/>
  <c r="E11" i="138"/>
  <c r="C10" i="138"/>
  <c r="J11" i="138"/>
  <c r="K11" i="138" s="1"/>
  <c r="E15" i="151"/>
  <c r="C14" i="151"/>
  <c r="J15" i="151"/>
  <c r="K15" i="151" s="1"/>
  <c r="J53" i="87"/>
  <c r="I54" i="87"/>
  <c r="E12" i="45"/>
  <c r="C11" i="45"/>
  <c r="J12" i="45"/>
  <c r="K12" i="45" s="1"/>
  <c r="K53" i="152"/>
  <c r="C11" i="59"/>
  <c r="E12" i="59"/>
  <c r="J12" i="59"/>
  <c r="K12" i="59" s="1"/>
  <c r="E12" i="105"/>
  <c r="C11" i="105"/>
  <c r="J12" i="105"/>
  <c r="K12" i="105" s="1"/>
  <c r="I58" i="7"/>
  <c r="J57" i="7"/>
  <c r="E12" i="160"/>
  <c r="C11" i="160"/>
  <c r="J12" i="160"/>
  <c r="K12" i="160" s="1"/>
  <c r="E14" i="161"/>
  <c r="C13" i="161"/>
  <c r="J14" i="161"/>
  <c r="K14" i="161" s="1"/>
  <c r="EE17" i="2"/>
  <c r="C14" i="38"/>
  <c r="E15" i="38"/>
  <c r="J15" i="38"/>
  <c r="K15" i="38" s="1"/>
  <c r="K51" i="110"/>
  <c r="J55" i="172"/>
  <c r="I56" i="172"/>
  <c r="I54" i="170"/>
  <c r="J53" i="170"/>
  <c r="K52" i="170" s="1"/>
  <c r="J55" i="135"/>
  <c r="I56" i="135"/>
  <c r="J52" i="17"/>
  <c r="I53" i="17"/>
  <c r="K51" i="88"/>
  <c r="I53" i="38"/>
  <c r="J52" i="38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E13" i="51"/>
  <c r="C12" i="51"/>
  <c r="J13" i="51"/>
  <c r="K13" i="51" s="1"/>
  <c r="C13" i="60"/>
  <c r="E14" i="60"/>
  <c r="J14" i="60"/>
  <c r="K14" i="60" s="1"/>
  <c r="K51" i="112"/>
  <c r="HO16" i="2"/>
  <c r="I56" i="89"/>
  <c r="J55" i="89"/>
  <c r="K54" i="89" s="1"/>
  <c r="K54" i="135"/>
  <c r="J57" i="74"/>
  <c r="I58" i="74"/>
  <c r="E16" i="53"/>
  <c r="C15" i="53"/>
  <c r="BE15" i="2" s="1"/>
  <c r="J16" i="53"/>
  <c r="K16" i="53" s="1"/>
  <c r="K50" i="8"/>
  <c r="I55" i="37"/>
  <c r="J54" i="37"/>
  <c r="I54" i="104"/>
  <c r="J53" i="104"/>
  <c r="I55" i="28"/>
  <c r="J54" i="28"/>
  <c r="K51" i="38"/>
  <c r="E14" i="128"/>
  <c r="C13" i="128"/>
  <c r="J14" i="128"/>
  <c r="K14" i="128" s="1"/>
  <c r="E16" i="152"/>
  <c r="C15" i="152"/>
  <c r="J16" i="152"/>
  <c r="K16" i="152" s="1"/>
  <c r="K52" i="5"/>
  <c r="E15" i="23"/>
  <c r="C14" i="23"/>
  <c r="J15" i="23"/>
  <c r="K15" i="23" s="1"/>
  <c r="C12" i="168"/>
  <c r="E13" i="168"/>
  <c r="J13" i="168"/>
  <c r="K13" i="168" s="1"/>
  <c r="K52" i="139"/>
  <c r="C15" i="109"/>
  <c r="E16" i="109"/>
  <c r="ED16" i="2"/>
  <c r="J16" i="109"/>
  <c r="K16" i="109" s="1"/>
  <c r="I53" i="112"/>
  <c r="J52" i="112"/>
  <c r="J53" i="39"/>
  <c r="I54" i="39"/>
  <c r="C13" i="22"/>
  <c r="E14" i="22"/>
  <c r="J14" i="22"/>
  <c r="K14" i="22" s="1"/>
  <c r="K53" i="37"/>
  <c r="J54" i="30"/>
  <c r="K53" i="30" s="1"/>
  <c r="I55" i="30"/>
  <c r="E16" i="158"/>
  <c r="C15" i="158"/>
  <c r="J16" i="158"/>
  <c r="K16" i="158" s="1"/>
  <c r="I54" i="56"/>
  <c r="J53" i="56"/>
  <c r="I54" i="50"/>
  <c r="J53" i="50"/>
  <c r="I54" i="5"/>
  <c r="J53" i="5"/>
  <c r="K55" i="32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I53" i="95"/>
  <c r="K52" i="56"/>
  <c r="K52" i="157"/>
  <c r="K51" i="114"/>
  <c r="I57" i="32"/>
  <c r="J56" i="32"/>
  <c r="C11" i="165"/>
  <c r="E12" i="165"/>
  <c r="J12" i="165"/>
  <c r="K12" i="165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2" i="39"/>
  <c r="K50" i="17"/>
  <c r="K51" i="14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95"/>
  <c r="K51" i="86"/>
  <c r="K50" i="96"/>
  <c r="K54" i="107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6" i="74"/>
  <c r="K51" i="131"/>
  <c r="K51" i="108"/>
  <c r="E16" i="136"/>
  <c r="C15" i="136"/>
  <c r="J16" i="136"/>
  <c r="K16" i="136" s="1"/>
  <c r="I53" i="143"/>
  <c r="J52" i="143"/>
  <c r="E16" i="170"/>
  <c r="C15" i="170"/>
  <c r="AI15" i="2" s="1"/>
  <c r="J16" i="170"/>
  <c r="K16" i="170" s="1"/>
  <c r="K52" i="37"/>
  <c r="J52" i="147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I54" i="137"/>
  <c r="J53" i="137"/>
  <c r="K52" i="137" s="1"/>
  <c r="K50" i="171"/>
  <c r="C10" i="157"/>
  <c r="E11" i="157"/>
  <c r="J11" i="157"/>
  <c r="K11" i="157" s="1"/>
  <c r="I54" i="70"/>
  <c r="J53" i="70"/>
  <c r="E13" i="124"/>
  <c r="C12" i="124"/>
  <c r="J13" i="124"/>
  <c r="K13" i="124" s="1"/>
  <c r="I55" i="165"/>
  <c r="J54" i="165"/>
  <c r="I55" i="18"/>
  <c r="J54" i="18"/>
  <c r="K51" i="143"/>
  <c r="E15" i="21"/>
  <c r="C14" i="21"/>
  <c r="J15" i="21"/>
  <c r="K15" i="21" s="1"/>
  <c r="E15" i="147"/>
  <c r="C14" i="147"/>
  <c r="J15" i="147"/>
  <c r="K15" i="147" s="1"/>
  <c r="C13" i="130"/>
  <c r="E14" i="130"/>
  <c r="J14" i="130"/>
  <c r="K14" i="130" s="1"/>
  <c r="C13" i="118"/>
  <c r="E14" i="118"/>
  <c r="J14" i="118"/>
  <c r="K14" i="118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C13" i="64"/>
  <c r="E14" i="64"/>
  <c r="J14" i="64"/>
  <c r="K14" i="64" s="1"/>
  <c r="E16" i="49"/>
  <c r="C15" i="49"/>
  <c r="J16" i="49"/>
  <c r="K16" i="49" s="1"/>
  <c r="E9" i="98"/>
  <c r="C8" i="98"/>
  <c r="J9" i="98"/>
  <c r="K9" i="98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K53" i="173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E13" i="84"/>
  <c r="C12" i="84"/>
  <c r="J13" i="84"/>
  <c r="K13" i="84" s="1"/>
  <c r="BQ17" i="2"/>
  <c r="I54" i="116"/>
  <c r="J53" i="116"/>
  <c r="K54" i="128"/>
  <c r="I54" i="111"/>
  <c r="J53" i="111"/>
  <c r="J54" i="23"/>
  <c r="K53" i="23" s="1"/>
  <c r="I55" i="23"/>
  <c r="I55" i="173"/>
  <c r="J54" i="173"/>
  <c r="I54" i="151"/>
  <c r="J53" i="151"/>
  <c r="J52" i="34"/>
  <c r="I53" i="34"/>
  <c r="J55" i="48"/>
  <c r="I56" i="48"/>
  <c r="E14" i="68"/>
  <c r="C13" i="68"/>
  <c r="J14" i="68"/>
  <c r="K14" i="68" s="1"/>
  <c r="K55" i="42"/>
  <c r="C15" i="155"/>
  <c r="E16" i="155"/>
  <c r="J16" i="155"/>
  <c r="K16" i="155" s="1"/>
  <c r="J52" i="45"/>
  <c r="I53" i="45"/>
  <c r="C13" i="139"/>
  <c r="E14" i="139"/>
  <c r="J14" i="139"/>
  <c r="K14" i="139" s="1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K51" i="34"/>
  <c r="K54" i="48"/>
  <c r="J56" i="42"/>
  <c r="I57" i="42"/>
  <c r="K51" i="56"/>
  <c r="I57" i="24"/>
  <c r="J56" i="24"/>
  <c r="K55" i="24" s="1"/>
  <c r="I54" i="84"/>
  <c r="J53" i="84"/>
  <c r="K52" i="84" s="1"/>
  <c r="K53" i="92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I57" i="59"/>
  <c r="J56" i="59"/>
  <c r="K55" i="133"/>
  <c r="E13" i="61"/>
  <c r="C12" i="61"/>
  <c r="J13" i="61"/>
  <c r="K13" i="61" s="1"/>
  <c r="N16" i="2"/>
  <c r="K50" i="34"/>
  <c r="DI16" i="2"/>
  <c r="K52" i="113"/>
  <c r="FK16" i="2"/>
  <c r="C12" i="149"/>
  <c r="E13" i="149"/>
  <c r="J13" i="149"/>
  <c r="K13" i="149" s="1"/>
  <c r="I53" i="140"/>
  <c r="J52" i="140"/>
  <c r="I53" i="109"/>
  <c r="J52" i="109"/>
  <c r="I55" i="118"/>
  <c r="J54" i="118"/>
  <c r="K54" i="27"/>
  <c r="I55" i="92"/>
  <c r="J54" i="92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M15" i="2"/>
  <c r="J15" i="33"/>
  <c r="K15" i="33" s="1"/>
  <c r="IV16" i="2"/>
  <c r="K51" i="67"/>
  <c r="E15" i="88"/>
  <c r="C14" i="88"/>
  <c r="FK15" i="2"/>
  <c r="J15" i="88"/>
  <c r="K15" i="88" s="1"/>
  <c r="K51" i="140"/>
  <c r="E13" i="106"/>
  <c r="C12" i="106"/>
  <c r="J13" i="106"/>
  <c r="K13" i="106" s="1"/>
  <c r="C13" i="126"/>
  <c r="E14" i="126"/>
  <c r="J14" i="126"/>
  <c r="K14" i="126" s="1"/>
  <c r="I57" i="94"/>
  <c r="J56" i="94"/>
  <c r="K55" i="94" s="1"/>
  <c r="K53" i="4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E12" i="102"/>
  <c r="C11" i="102"/>
  <c r="J12" i="102"/>
  <c r="K12" i="102" s="1"/>
  <c r="E13" i="159"/>
  <c r="C12" i="159"/>
  <c r="J13" i="159"/>
  <c r="K13" i="159" s="1"/>
  <c r="C15" i="27"/>
  <c r="E16" i="27"/>
  <c r="J16" i="27"/>
  <c r="K16" i="27" s="1"/>
  <c r="K52" i="68"/>
  <c r="C14" i="133"/>
  <c r="E15" i="133"/>
  <c r="J15" i="133"/>
  <c r="K15" i="133" s="1"/>
  <c r="DH15" i="2"/>
  <c r="DT15" i="2"/>
  <c r="K51" i="69"/>
  <c r="I54" i="168"/>
  <c r="J53" i="168"/>
  <c r="K52" i="168" s="1"/>
  <c r="Y17" i="1"/>
  <c r="E14" i="67"/>
  <c r="C13" i="67"/>
  <c r="J14" i="67"/>
  <c r="K14" i="67" s="1"/>
  <c r="I55" i="41"/>
  <c r="J54" i="41"/>
  <c r="K51" i="55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C12" i="173"/>
  <c r="E13" i="173"/>
  <c r="J13" i="173"/>
  <c r="K13" i="173" s="1"/>
  <c r="E15" i="13"/>
  <c r="C14" i="13"/>
  <c r="J15" i="13"/>
  <c r="K15" i="13" s="1"/>
  <c r="J52" i="69"/>
  <c r="I53" i="69"/>
  <c r="K55" i="14"/>
  <c r="K51" i="21"/>
  <c r="K53" i="72"/>
  <c r="K52" i="153"/>
  <c r="I53" i="65"/>
  <c r="J52" i="65"/>
  <c r="J52" i="55"/>
  <c r="I53" i="55"/>
  <c r="K53" i="142"/>
  <c r="J54" i="129"/>
  <c r="I55" i="129"/>
  <c r="C15" i="90"/>
  <c r="E16" i="90"/>
  <c r="J16" i="90"/>
  <c r="K16" i="90" s="1"/>
  <c r="K51" i="125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C13" i="129"/>
  <c r="E14" i="129"/>
  <c r="J14" i="129"/>
  <c r="K14" i="129" s="1"/>
  <c r="DS14" i="2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J53" i="153"/>
  <c r="I54" i="153"/>
  <c r="K54" i="164"/>
  <c r="K56" i="15"/>
  <c r="E15" i="20"/>
  <c r="C14" i="20"/>
  <c r="J15" i="20"/>
  <c r="K15" i="20" s="1"/>
  <c r="I53" i="163"/>
  <c r="J52" i="163"/>
  <c r="E16" i="46"/>
  <c r="C15" i="46"/>
  <c r="J16" i="46"/>
  <c r="K16" i="46" s="1"/>
  <c r="K55" i="71"/>
  <c r="C10" i="156"/>
  <c r="E11" i="156"/>
  <c r="J11" i="156"/>
  <c r="K11" i="156" s="1"/>
  <c r="C14" i="36"/>
  <c r="E15" i="36"/>
  <c r="J15" i="36"/>
  <c r="K15" i="36" s="1"/>
  <c r="E12" i="111"/>
  <c r="C11" i="111"/>
  <c r="J12" i="111"/>
  <c r="K12" i="111" s="1"/>
  <c r="K55" i="59"/>
  <c r="K53" i="135"/>
  <c r="I56" i="98"/>
  <c r="J55" i="98"/>
  <c r="K51" i="130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I58" i="15"/>
  <c r="J57" i="15"/>
  <c r="K51" i="169"/>
  <c r="K52" i="10"/>
  <c r="E11" i="87"/>
  <c r="C10" i="87"/>
  <c r="J11" i="87"/>
  <c r="K11" i="87" s="1"/>
  <c r="K51" i="163"/>
  <c r="K50" i="163"/>
  <c r="I57" i="71"/>
  <c r="J56" i="71"/>
  <c r="AJ15" i="2" l="1"/>
  <c r="GS15" i="2"/>
  <c r="HZ15" i="2"/>
  <c r="BF15" i="2"/>
  <c r="I54" i="148"/>
  <c r="J53" i="148"/>
  <c r="I54" i="174"/>
  <c r="J53" i="174"/>
  <c r="J57" i="94"/>
  <c r="I58" i="94"/>
  <c r="E15" i="7"/>
  <c r="C14" i="7"/>
  <c r="AT15" i="1"/>
  <c r="J15" i="7"/>
  <c r="K15" i="7" s="1"/>
  <c r="E14" i="31"/>
  <c r="C13" i="31"/>
  <c r="J14" i="31"/>
  <c r="K14" i="31" s="1"/>
  <c r="C11" i="51"/>
  <c r="E12" i="51"/>
  <c r="J12" i="51"/>
  <c r="K12" i="5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J55" i="124"/>
  <c r="I56" i="124"/>
  <c r="J57" i="59"/>
  <c r="I58" i="59"/>
  <c r="E14" i="15"/>
  <c r="C13" i="15"/>
  <c r="J14" i="15"/>
  <c r="K14" i="15" s="1"/>
  <c r="I56" i="72"/>
  <c r="J55" i="72"/>
  <c r="I58" i="71"/>
  <c r="J57" i="7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1" i="85"/>
  <c r="E12" i="85"/>
  <c r="J12" i="85"/>
  <c r="K12" i="85" s="1"/>
  <c r="K52" i="105"/>
  <c r="E10" i="146"/>
  <c r="C9" i="146"/>
  <c r="J10" i="146"/>
  <c r="K10" i="146" s="1"/>
  <c r="C12" i="135"/>
  <c r="E13" i="135"/>
  <c r="J13" i="135"/>
  <c r="K13" i="135" s="1"/>
  <c r="E11" i="43"/>
  <c r="C10" i="43"/>
  <c r="J11" i="43"/>
  <c r="K11" i="43" s="1"/>
  <c r="E13" i="148"/>
  <c r="C12" i="148"/>
  <c r="J13" i="148"/>
  <c r="K13" i="148" s="1"/>
  <c r="J53" i="40"/>
  <c r="I54" i="40"/>
  <c r="E14" i="133"/>
  <c r="C13" i="133"/>
  <c r="J14" i="133"/>
  <c r="K14" i="133" s="1"/>
  <c r="DH14" i="2"/>
  <c r="I56" i="18"/>
  <c r="J55" i="18"/>
  <c r="K52" i="120"/>
  <c r="I55" i="5"/>
  <c r="J54" i="5"/>
  <c r="E15" i="152"/>
  <c r="C14" i="152"/>
  <c r="J15" i="152"/>
  <c r="K15" i="152" s="1"/>
  <c r="I55" i="54"/>
  <c r="J54" i="54"/>
  <c r="J53" i="105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I55" i="121"/>
  <c r="C11" i="106"/>
  <c r="E12" i="106"/>
  <c r="J12" i="106"/>
  <c r="K12" i="106" s="1"/>
  <c r="C12" i="139"/>
  <c r="E13" i="139"/>
  <c r="J13" i="139"/>
  <c r="K13" i="139" s="1"/>
  <c r="C14" i="136"/>
  <c r="E15" i="136"/>
  <c r="J15" i="136"/>
  <c r="K15" i="136" s="1"/>
  <c r="C12" i="113"/>
  <c r="E13" i="113"/>
  <c r="J13" i="113"/>
  <c r="K13" i="113" s="1"/>
  <c r="I54" i="120"/>
  <c r="J53" i="120"/>
  <c r="K53" i="50"/>
  <c r="E13" i="161"/>
  <c r="C12" i="161"/>
  <c r="J13" i="161"/>
  <c r="K13" i="161" s="1"/>
  <c r="K53" i="54"/>
  <c r="K54" i="157"/>
  <c r="C12" i="116"/>
  <c r="E13" i="116"/>
  <c r="J13" i="116"/>
  <c r="K13" i="116" s="1"/>
  <c r="I54" i="90"/>
  <c r="J53" i="90"/>
  <c r="I55" i="67"/>
  <c r="J54" i="67"/>
  <c r="K53" i="67" s="1"/>
  <c r="I54" i="45"/>
  <c r="J53" i="45"/>
  <c r="K52" i="45" s="1"/>
  <c r="E12" i="84"/>
  <c r="C11" i="84"/>
  <c r="J12" i="84"/>
  <c r="K12" i="84" s="1"/>
  <c r="J55" i="165"/>
  <c r="I56" i="165"/>
  <c r="I55" i="50"/>
  <c r="J54" i="50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90"/>
  <c r="K52" i="148"/>
  <c r="I56" i="92"/>
  <c r="J55" i="92"/>
  <c r="E13" i="64"/>
  <c r="C12" i="64"/>
  <c r="J13" i="64"/>
  <c r="K13" i="64" s="1"/>
  <c r="K53" i="18"/>
  <c r="E13" i="18"/>
  <c r="C12" i="18"/>
  <c r="J13" i="18"/>
  <c r="K13" i="18" s="1"/>
  <c r="I57" i="101"/>
  <c r="J56" i="101"/>
  <c r="K55" i="127"/>
  <c r="K54" i="159"/>
  <c r="E10" i="32"/>
  <c r="C9" i="32"/>
  <c r="J10" i="32"/>
  <c r="K10" i="32" s="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K53" i="121"/>
  <c r="C9" i="87"/>
  <c r="E10" i="87"/>
  <c r="J10" i="87"/>
  <c r="K10" i="87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E11" i="165"/>
  <c r="C10" i="165"/>
  <c r="J11" i="165"/>
  <c r="K11" i="165" s="1"/>
  <c r="I55" i="56"/>
  <c r="J54" i="56"/>
  <c r="E13" i="128"/>
  <c r="C12" i="128"/>
  <c r="J13" i="128"/>
  <c r="K13" i="128" s="1"/>
  <c r="J56" i="127"/>
  <c r="I57" i="127"/>
  <c r="I56" i="159"/>
  <c r="J55" i="159"/>
  <c r="C11" i="86"/>
  <c r="E12" i="86"/>
  <c r="J12" i="86"/>
  <c r="K12" i="86" s="1"/>
  <c r="CB16" i="1"/>
  <c r="K51" i="90"/>
  <c r="E13" i="130"/>
  <c r="C12" i="130"/>
  <c r="J13" i="130"/>
  <c r="K13" i="130" s="1"/>
  <c r="J55" i="129"/>
  <c r="I56" i="129"/>
  <c r="D54" i="1"/>
  <c r="CC54" i="1"/>
  <c r="Z54" i="1"/>
  <c r="AK54" i="1"/>
  <c r="AV54" i="1"/>
  <c r="BR54" i="1"/>
  <c r="O54" i="1"/>
  <c r="K54" i="118"/>
  <c r="K56" i="27"/>
  <c r="CL15" i="2"/>
  <c r="E13" i="4"/>
  <c r="C12" i="4"/>
  <c r="J13" i="4"/>
  <c r="K13" i="4" s="1"/>
  <c r="E13" i="25"/>
  <c r="C12" i="25"/>
  <c r="J13" i="25"/>
  <c r="K13" i="25" s="1"/>
  <c r="E13" i="137"/>
  <c r="C12" i="137"/>
  <c r="J13" i="137"/>
  <c r="K13" i="137" s="1"/>
  <c r="K51" i="146"/>
  <c r="E12" i="72"/>
  <c r="C11" i="72"/>
  <c r="J12" i="72"/>
  <c r="K12" i="72" s="1"/>
  <c r="I57" i="122"/>
  <c r="J56" i="122"/>
  <c r="K54" i="129"/>
  <c r="BG54" i="1"/>
  <c r="BF54" i="1"/>
  <c r="FL15" i="2"/>
  <c r="J55" i="118"/>
  <c r="I56" i="118"/>
  <c r="J57" i="27"/>
  <c r="I58" i="27"/>
  <c r="K53" i="70"/>
  <c r="E14" i="162"/>
  <c r="C13" i="162"/>
  <c r="J14" i="162"/>
  <c r="K14" i="162" s="1"/>
  <c r="I58" i="32"/>
  <c r="J57" i="32"/>
  <c r="E15" i="158"/>
  <c r="C14" i="158"/>
  <c r="J15" i="158"/>
  <c r="K15" i="158" s="1"/>
  <c r="C10" i="160"/>
  <c r="E11" i="160"/>
  <c r="J11" i="160"/>
  <c r="K11" i="160" s="1"/>
  <c r="K51" i="35"/>
  <c r="E14" i="41"/>
  <c r="C13" i="41"/>
  <c r="J14" i="41"/>
  <c r="K14" i="41" s="1"/>
  <c r="C7" i="82"/>
  <c r="E8" i="82"/>
  <c r="J8" i="82"/>
  <c r="K8" i="82" s="1"/>
  <c r="I54" i="146"/>
  <c r="J53" i="146"/>
  <c r="GI54" i="2"/>
  <c r="GH54" i="2"/>
  <c r="C11" i="159"/>
  <c r="E12" i="159"/>
  <c r="J12" i="159"/>
  <c r="K12" i="159" s="1"/>
  <c r="K55" i="77"/>
  <c r="J53" i="35"/>
  <c r="I54" i="35"/>
  <c r="I57" i="51"/>
  <c r="J56" i="51"/>
  <c r="C12" i="103"/>
  <c r="E13" i="103"/>
  <c r="J13" i="103"/>
  <c r="K13" i="103" s="1"/>
  <c r="I56" i="68"/>
  <c r="J55" i="68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I55" i="70"/>
  <c r="E15" i="172"/>
  <c r="C14" i="172"/>
  <c r="J15" i="172"/>
  <c r="K15" i="172" s="1"/>
  <c r="I54" i="109"/>
  <c r="J53" i="109"/>
  <c r="J56" i="77"/>
  <c r="I57" i="77"/>
  <c r="I56" i="28"/>
  <c r="J55" i="28"/>
  <c r="K52" i="96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K54" i="149"/>
  <c r="K54" i="68"/>
  <c r="I54" i="55"/>
  <c r="J53" i="55"/>
  <c r="E53" i="24"/>
  <c r="C52" i="24"/>
  <c r="GG53" i="2"/>
  <c r="BE53" i="1"/>
  <c r="C53" i="1"/>
  <c r="C53" i="2"/>
  <c r="J53" i="24"/>
  <c r="K53" i="24" s="1"/>
  <c r="K51" i="148"/>
  <c r="J56" i="164"/>
  <c r="I57" i="164"/>
  <c r="K52" i="55"/>
  <c r="K52" i="140"/>
  <c r="E15" i="155"/>
  <c r="C14" i="155"/>
  <c r="CL14" i="2" s="1"/>
  <c r="J15" i="155"/>
  <c r="K15" i="155" s="1"/>
  <c r="E12" i="163"/>
  <c r="C11" i="163"/>
  <c r="J12" i="163"/>
  <c r="K12" i="163" s="1"/>
  <c r="K53" i="165"/>
  <c r="I56" i="30"/>
  <c r="J55" i="30"/>
  <c r="I54" i="96"/>
  <c r="J53" i="96"/>
  <c r="K57" i="7"/>
  <c r="K54" i="13"/>
  <c r="Y16" i="2"/>
  <c r="K54" i="26"/>
  <c r="J56" i="142"/>
  <c r="I57" i="142"/>
  <c r="I56" i="149"/>
  <c r="J55" i="149"/>
  <c r="E14" i="142"/>
  <c r="C13" i="142"/>
  <c r="J14" i="142"/>
  <c r="K14" i="142" s="1"/>
  <c r="C13" i="164"/>
  <c r="E14" i="164"/>
  <c r="J14" i="164"/>
  <c r="K14" i="164" s="1"/>
  <c r="C11" i="73"/>
  <c r="E12" i="73"/>
  <c r="J12" i="73"/>
  <c r="K12" i="73" s="1"/>
  <c r="E14" i="117"/>
  <c r="C13" i="117"/>
  <c r="J14" i="117"/>
  <c r="K14" i="117" s="1"/>
  <c r="C10" i="102"/>
  <c r="E11" i="102"/>
  <c r="J11" i="102"/>
  <c r="K11" i="102" s="1"/>
  <c r="K53" i="3"/>
  <c r="I54" i="64"/>
  <c r="J53" i="64"/>
  <c r="I54" i="95"/>
  <c r="J53" i="95"/>
  <c r="K54" i="30"/>
  <c r="K53" i="104"/>
  <c r="I59" i="7"/>
  <c r="J58" i="7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K55" i="142"/>
  <c r="I55" i="123"/>
  <c r="J54" i="123"/>
  <c r="E13" i="150"/>
  <c r="C12" i="150"/>
  <c r="J13" i="150"/>
  <c r="K13" i="150" s="1"/>
  <c r="K52" i="130"/>
  <c r="J53" i="140"/>
  <c r="I54" i="140"/>
  <c r="E10" i="157"/>
  <c r="C9" i="157"/>
  <c r="J10" i="157"/>
  <c r="K10" i="157" s="1"/>
  <c r="K57" i="145"/>
  <c r="I54" i="65"/>
  <c r="J53" i="65"/>
  <c r="C13" i="71"/>
  <c r="E14" i="71"/>
  <c r="J14" i="71"/>
  <c r="K14" i="71" s="1"/>
  <c r="J53" i="11"/>
  <c r="K52" i="11" s="1"/>
  <c r="I54" i="11"/>
  <c r="I55" i="3"/>
  <c r="J54" i="3"/>
  <c r="FA15" i="2"/>
  <c r="K52" i="64"/>
  <c r="K52" i="95"/>
  <c r="J54" i="104"/>
  <c r="I55" i="104"/>
  <c r="K52" i="38"/>
  <c r="K57" i="46"/>
  <c r="K53" i="19"/>
  <c r="J55" i="66"/>
  <c r="I56" i="66"/>
  <c r="K53" i="52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E13" i="68"/>
  <c r="C12" i="68"/>
  <c r="J13" i="68"/>
  <c r="K13" i="68" s="1"/>
  <c r="E13" i="144"/>
  <c r="C12" i="144"/>
  <c r="J13" i="144"/>
  <c r="K13" i="144" s="1"/>
  <c r="CB16" i="2"/>
  <c r="K54" i="37"/>
  <c r="I54" i="38"/>
  <c r="J53" i="38"/>
  <c r="E11" i="105"/>
  <c r="C10" i="105"/>
  <c r="J11" i="105"/>
  <c r="K11" i="105" s="1"/>
  <c r="I55" i="19"/>
  <c r="J54" i="19"/>
  <c r="K54" i="66"/>
  <c r="I55" i="52"/>
  <c r="J54" i="52"/>
  <c r="I55" i="20"/>
  <c r="J54" i="20"/>
  <c r="K53" i="20" s="1"/>
  <c r="E15" i="28"/>
  <c r="C14" i="28"/>
  <c r="J15" i="28"/>
  <c r="K15" i="28" s="1"/>
  <c r="C11" i="37"/>
  <c r="E12" i="37"/>
  <c r="J12" i="37"/>
  <c r="K12" i="37" s="1"/>
  <c r="K54" i="93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J55" i="37"/>
  <c r="I56" i="37"/>
  <c r="K53" i="28"/>
  <c r="K52" i="19"/>
  <c r="K52" i="102"/>
  <c r="K54" i="127"/>
  <c r="J53" i="166"/>
  <c r="I54" i="166"/>
  <c r="C11" i="26"/>
  <c r="E12" i="26"/>
  <c r="J12" i="26"/>
  <c r="K12" i="26" s="1"/>
  <c r="K51" i="171"/>
  <c r="K54" i="142"/>
  <c r="I56" i="93"/>
  <c r="J55" i="93"/>
  <c r="E13" i="11"/>
  <c r="C12" i="11"/>
  <c r="J13" i="11"/>
  <c r="K13" i="11" s="1"/>
  <c r="C13" i="36"/>
  <c r="E14" i="36"/>
  <c r="J14" i="36"/>
  <c r="K14" i="36" s="1"/>
  <c r="C9" i="156"/>
  <c r="E10" i="156"/>
  <c r="J10" i="156"/>
  <c r="K10" i="156" s="1"/>
  <c r="FL16" i="2"/>
  <c r="I57" i="48"/>
  <c r="J56" i="48"/>
  <c r="K55" i="48" s="1"/>
  <c r="C10" i="131"/>
  <c r="E11" i="131"/>
  <c r="J11" i="131"/>
  <c r="K11" i="131" s="1"/>
  <c r="K55" i="107"/>
  <c r="K53" i="49"/>
  <c r="C12" i="22"/>
  <c r="E13" i="22"/>
  <c r="J13" i="22"/>
  <c r="K13" i="22" s="1"/>
  <c r="K54" i="60"/>
  <c r="I54" i="102"/>
  <c r="J53" i="102"/>
  <c r="J55" i="139"/>
  <c r="I56" i="139"/>
  <c r="K52" i="166"/>
  <c r="J55" i="25"/>
  <c r="I56" i="25"/>
  <c r="J58" i="134"/>
  <c r="I59" i="134"/>
  <c r="IJ15" i="2"/>
  <c r="I54" i="47"/>
  <c r="J53" i="47"/>
  <c r="K52" i="67"/>
  <c r="K54" i="158"/>
  <c r="K52" i="40"/>
  <c r="E12" i="127"/>
  <c r="C11" i="127"/>
  <c r="J12" i="127"/>
  <c r="K12" i="127" s="1"/>
  <c r="K57" i="15"/>
  <c r="E12" i="149"/>
  <c r="C11" i="149"/>
  <c r="J12" i="149"/>
  <c r="K12" i="149" s="1"/>
  <c r="J54" i="80"/>
  <c r="I55" i="80"/>
  <c r="E15" i="3"/>
  <c r="C14" i="3"/>
  <c r="J15" i="3"/>
  <c r="K15" i="3" s="1"/>
  <c r="J56" i="107"/>
  <c r="I57" i="107"/>
  <c r="K53" i="57"/>
  <c r="K52" i="57"/>
  <c r="J54" i="39"/>
  <c r="I55" i="39"/>
  <c r="K52" i="104"/>
  <c r="J53" i="36"/>
  <c r="I54" i="36"/>
  <c r="I56" i="60"/>
  <c r="J55" i="60"/>
  <c r="K53" i="60"/>
  <c r="K54" i="139"/>
  <c r="K57" i="134"/>
  <c r="E15" i="174"/>
  <c r="C14" i="174"/>
  <c r="J15" i="174"/>
  <c r="K15" i="174" s="1"/>
  <c r="J54" i="108"/>
  <c r="I55" i="108"/>
  <c r="K56" i="79"/>
  <c r="E13" i="129"/>
  <c r="C12" i="129"/>
  <c r="J13" i="129"/>
  <c r="K13" i="129" s="1"/>
  <c r="DS13" i="2"/>
  <c r="I54" i="69"/>
  <c r="J53" i="69"/>
  <c r="K52" i="69" s="1"/>
  <c r="J58" i="12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39"/>
  <c r="E15" i="53"/>
  <c r="C14" i="53"/>
  <c r="J15" i="53"/>
  <c r="K15" i="53" s="1"/>
  <c r="I54" i="17"/>
  <c r="J53" i="17"/>
  <c r="K52" i="17" s="1"/>
  <c r="E11" i="59"/>
  <c r="C10" i="59"/>
  <c r="J11" i="59"/>
  <c r="K11" i="59" s="1"/>
  <c r="C13" i="154"/>
  <c r="E14" i="154"/>
  <c r="J14" i="154"/>
  <c r="K14" i="154" s="1"/>
  <c r="IJ14" i="2"/>
  <c r="C11" i="120"/>
  <c r="E12" i="120"/>
  <c r="J12" i="120"/>
  <c r="K12" i="120" s="1"/>
  <c r="C13" i="76"/>
  <c r="E14" i="76"/>
  <c r="J14" i="76"/>
  <c r="K14" i="76" s="1"/>
  <c r="K53" i="86"/>
  <c r="I58" i="79"/>
  <c r="J57" i="79"/>
  <c r="K52" i="65"/>
  <c r="J54" i="126"/>
  <c r="K53" i="126" s="1"/>
  <c r="I55" i="126"/>
  <c r="N15" i="2"/>
  <c r="K51" i="65"/>
  <c r="CW14" i="2"/>
  <c r="K57" i="12"/>
  <c r="K55" i="128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I54" i="160"/>
  <c r="E10" i="166"/>
  <c r="C9" i="166"/>
  <c r="J10" i="166"/>
  <c r="K10" i="166" s="1"/>
  <c r="I55" i="86"/>
  <c r="J54" i="86"/>
  <c r="C13" i="20"/>
  <c r="E14" i="20"/>
  <c r="J14" i="20"/>
  <c r="K14" i="20" s="1"/>
  <c r="E11" i="111"/>
  <c r="C10" i="111"/>
  <c r="J11" i="111"/>
  <c r="K11" i="111" s="1"/>
  <c r="J58" i="15"/>
  <c r="I59" i="15"/>
  <c r="DT14" i="2"/>
  <c r="K53" i="80"/>
  <c r="E14" i="33"/>
  <c r="C13" i="33"/>
  <c r="M14" i="2"/>
  <c r="J14" i="33"/>
  <c r="K14" i="33" s="1"/>
  <c r="E15" i="46"/>
  <c r="C14" i="46"/>
  <c r="J15" i="46"/>
  <c r="K15" i="46" s="1"/>
  <c r="C12" i="112"/>
  <c r="E13" i="112"/>
  <c r="CW13" i="2"/>
  <c r="J13" i="112"/>
  <c r="K13" i="112" s="1"/>
  <c r="K52" i="163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E15" i="121"/>
  <c r="C14" i="121"/>
  <c r="J15" i="121"/>
  <c r="K15" i="121" s="1"/>
  <c r="K53" i="161"/>
  <c r="K51" i="120"/>
  <c r="E15" i="143"/>
  <c r="C14" i="143"/>
  <c r="J15" i="143"/>
  <c r="K15" i="143" s="1"/>
  <c r="I54" i="112"/>
  <c r="J53" i="112"/>
  <c r="I59" i="74"/>
  <c r="J58" i="74"/>
  <c r="J56" i="135"/>
  <c r="I57" i="135"/>
  <c r="C11" i="69"/>
  <c r="E12" i="69"/>
  <c r="J12" i="69"/>
  <c r="K12" i="69" s="1"/>
  <c r="FW16" i="2"/>
  <c r="K53" i="97"/>
  <c r="K52" i="160"/>
  <c r="J56" i="136"/>
  <c r="I57" i="136"/>
  <c r="E14" i="44"/>
  <c r="C13" i="44"/>
  <c r="J14" i="44"/>
  <c r="K14" i="44" s="1"/>
  <c r="I55" i="154"/>
  <c r="J54" i="154"/>
  <c r="I55" i="151"/>
  <c r="J54" i="151"/>
  <c r="K53" i="151" s="1"/>
  <c r="J54" i="161"/>
  <c r="I55" i="161"/>
  <c r="E14" i="79"/>
  <c r="C13" i="79"/>
  <c r="J14" i="79"/>
  <c r="K14" i="79" s="1"/>
  <c r="K51" i="64"/>
  <c r="K55" i="135"/>
  <c r="E12" i="62"/>
  <c r="C11" i="62"/>
  <c r="J12" i="62"/>
  <c r="K12" i="62" s="1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I56" i="158"/>
  <c r="J55" i="158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K53" i="154"/>
  <c r="C12" i="118"/>
  <c r="E13" i="118"/>
  <c r="J13" i="118"/>
  <c r="K13" i="118" s="1"/>
  <c r="E14" i="108"/>
  <c r="C13" i="108"/>
  <c r="J14" i="108"/>
  <c r="K14" i="108" s="1"/>
  <c r="K52" i="121"/>
  <c r="EE16" i="2"/>
  <c r="C10" i="45"/>
  <c r="E11" i="45"/>
  <c r="J11" i="45"/>
  <c r="K11" i="45" s="1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5" i="89"/>
  <c r="K53" i="170"/>
  <c r="K52" i="100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J54" i="170"/>
  <c r="I55" i="170"/>
  <c r="I55" i="87"/>
  <c r="J54" i="87"/>
  <c r="K53" i="87" s="1"/>
  <c r="I54" i="100"/>
  <c r="J53" i="100"/>
  <c r="J54" i="73"/>
  <c r="K53" i="73" s="1"/>
  <c r="I55" i="73"/>
  <c r="BQ16" i="1"/>
  <c r="K53" i="21"/>
  <c r="K52" i="21"/>
  <c r="C14" i="14"/>
  <c r="E15" i="14"/>
  <c r="J15" i="14"/>
  <c r="K15" i="14" s="1"/>
  <c r="I57" i="29"/>
  <c r="J56" i="29"/>
  <c r="J58" i="75"/>
  <c r="I59" i="75"/>
  <c r="I57" i="172"/>
  <c r="J56" i="172"/>
  <c r="J56" i="152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I55" i="21"/>
  <c r="K54" i="62"/>
  <c r="I57" i="117"/>
  <c r="J56" i="117"/>
  <c r="K55" i="117" s="1"/>
  <c r="E13" i="74"/>
  <c r="C12" i="74"/>
  <c r="J13" i="74"/>
  <c r="K13" i="74" s="1"/>
  <c r="E14" i="140"/>
  <c r="C13" i="140"/>
  <c r="AI14" i="2"/>
  <c r="J14" i="140"/>
  <c r="K14" i="140" s="1"/>
  <c r="K53" i="76"/>
  <c r="K53" i="169"/>
  <c r="K53" i="111"/>
  <c r="K57" i="75"/>
  <c r="J53" i="147"/>
  <c r="I54" i="147"/>
  <c r="E15" i="91"/>
  <c r="C14" i="91"/>
  <c r="J15" i="91"/>
  <c r="K15" i="91" s="1"/>
  <c r="J54" i="119"/>
  <c r="I55" i="119"/>
  <c r="K55" i="152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K54" i="83"/>
  <c r="I55" i="76"/>
  <c r="J54" i="76"/>
  <c r="J54" i="168"/>
  <c r="I55" i="168"/>
  <c r="J54" i="169"/>
  <c r="I55" i="169"/>
  <c r="I55" i="111"/>
  <c r="J54" i="111"/>
  <c r="C13" i="147"/>
  <c r="E14" i="147"/>
  <c r="J14" i="147"/>
  <c r="K14" i="147" s="1"/>
  <c r="K52" i="147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J54" i="155"/>
  <c r="K53" i="155" s="1"/>
  <c r="I55" i="155"/>
  <c r="K53" i="168"/>
  <c r="C11" i="173"/>
  <c r="E12" i="173"/>
  <c r="J12" i="173"/>
  <c r="K12" i="173" s="1"/>
  <c r="K54" i="124"/>
  <c r="K52" i="174"/>
  <c r="K51" i="174"/>
  <c r="K56" i="94"/>
  <c r="C13" i="132"/>
  <c r="E14" i="132"/>
  <c r="J14" i="132"/>
  <c r="K14" i="132" s="1"/>
  <c r="K56" i="59"/>
  <c r="K51" i="11"/>
  <c r="C7" i="98"/>
  <c r="E8" i="98"/>
  <c r="J8" i="98"/>
  <c r="K8" i="98" s="1"/>
  <c r="E12" i="168"/>
  <c r="C11" i="168"/>
  <c r="J12" i="168"/>
  <c r="K12" i="168" s="1"/>
  <c r="K51" i="43"/>
  <c r="C14" i="92"/>
  <c r="E15" i="92"/>
  <c r="J15" i="92"/>
  <c r="K15" i="92" s="1"/>
  <c r="I56" i="113"/>
  <c r="J55" i="113"/>
  <c r="I57" i="9"/>
  <c r="J56" i="9"/>
  <c r="K53" i="99"/>
  <c r="E15" i="93"/>
  <c r="C14" i="93"/>
  <c r="J15" i="93"/>
  <c r="K15" i="93" s="1"/>
  <c r="I55" i="31"/>
  <c r="J54" i="31"/>
  <c r="K53" i="53"/>
  <c r="K53" i="114"/>
  <c r="K52" i="114"/>
  <c r="K54" i="113"/>
  <c r="K52" i="141"/>
  <c r="K55" i="79"/>
  <c r="I55" i="4"/>
  <c r="J54" i="4"/>
  <c r="E12" i="61"/>
  <c r="C11" i="61"/>
  <c r="J12" i="61"/>
  <c r="K12" i="61" s="1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3" i="60"/>
  <c r="C12" i="60"/>
  <c r="J13" i="60"/>
  <c r="K13" i="60" s="1"/>
  <c r="E14" i="38"/>
  <c r="C13" i="38"/>
  <c r="J14" i="38"/>
  <c r="K14" i="38" s="1"/>
  <c r="K52" i="87"/>
  <c r="K55" i="156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5" i="22"/>
  <c r="K53" i="68"/>
  <c r="J53" i="141"/>
  <c r="I54" i="141"/>
  <c r="K53" i="4"/>
  <c r="I55" i="153"/>
  <c r="J54" i="153"/>
  <c r="AU16" i="1"/>
  <c r="K56" i="71"/>
  <c r="DI15" i="2"/>
  <c r="K56" i="12"/>
  <c r="J53" i="125"/>
  <c r="I54" i="125"/>
  <c r="E15" i="52"/>
  <c r="C14" i="52"/>
  <c r="BP15" i="2"/>
  <c r="J15" i="52"/>
  <c r="K15" i="52" s="1"/>
  <c r="K52" i="154"/>
  <c r="K52" i="116"/>
  <c r="C9" i="138"/>
  <c r="E10" i="138"/>
  <c r="J10" i="138"/>
  <c r="K10" i="138" s="1"/>
  <c r="J56" i="156"/>
  <c r="I57" i="156"/>
  <c r="E15" i="58"/>
  <c r="C14" i="58"/>
  <c r="CA14" i="2" s="1"/>
  <c r="J15" i="58"/>
  <c r="K15" i="58" s="1"/>
  <c r="I57" i="132"/>
  <c r="J56" i="132"/>
  <c r="K53" i="144"/>
  <c r="K51" i="160"/>
  <c r="I56" i="63"/>
  <c r="J55" i="63"/>
  <c r="I55" i="88"/>
  <c r="J54" i="88"/>
  <c r="J58" i="61"/>
  <c r="I59" i="61"/>
  <c r="K53" i="115"/>
  <c r="CM14" i="2" l="1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E10" i="105"/>
  <c r="C9" i="105"/>
  <c r="J10" i="105"/>
  <c r="K10" i="105" s="1"/>
  <c r="C13" i="12"/>
  <c r="E14" i="12"/>
  <c r="X14" i="2"/>
  <c r="M14" i="1"/>
  <c r="J14" i="12"/>
  <c r="K14" i="12" s="1"/>
  <c r="C11" i="150"/>
  <c r="E12" i="150"/>
  <c r="J12" i="150"/>
  <c r="K12" i="150" s="1"/>
  <c r="E12" i="4"/>
  <c r="C11" i="4"/>
  <c r="J12" i="4"/>
  <c r="K12" i="4" s="1"/>
  <c r="K54" i="106"/>
  <c r="E13" i="132"/>
  <c r="C12" i="132"/>
  <c r="J13" i="132"/>
  <c r="K13" i="132" s="1"/>
  <c r="C12" i="77"/>
  <c r="E13" i="77"/>
  <c r="J13" i="77"/>
  <c r="K13" i="77" s="1"/>
  <c r="E12" i="118"/>
  <c r="C11" i="118"/>
  <c r="J12" i="118"/>
  <c r="K12" i="118" s="1"/>
  <c r="I58" i="135"/>
  <c r="J57" i="135"/>
  <c r="K53" i="58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C8" i="32"/>
  <c r="E9" i="32"/>
  <c r="J9" i="32"/>
  <c r="K9" i="32" s="1"/>
  <c r="J55" i="106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E13" i="154"/>
  <c r="C12" i="154"/>
  <c r="J13" i="154"/>
  <c r="K13" i="154" s="1"/>
  <c r="E9" i="156"/>
  <c r="C8" i="156"/>
  <c r="J9" i="156"/>
  <c r="K9" i="156" s="1"/>
  <c r="K53" i="38"/>
  <c r="E11" i="73"/>
  <c r="C10" i="73"/>
  <c r="J11" i="73"/>
  <c r="K11" i="73" s="1"/>
  <c r="C11" i="103"/>
  <c r="E12" i="103"/>
  <c r="J12" i="103"/>
  <c r="K12" i="103" s="1"/>
  <c r="I56" i="56"/>
  <c r="J55" i="56"/>
  <c r="K54" i="56" s="1"/>
  <c r="K53" i="17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J54" i="38"/>
  <c r="I55" i="38"/>
  <c r="J55" i="123"/>
  <c r="K54" i="123" s="1"/>
  <c r="I56" i="123"/>
  <c r="J57" i="164"/>
  <c r="I58" i="164"/>
  <c r="K56" i="51"/>
  <c r="K56" i="32"/>
  <c r="J54" i="17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K54" i="137"/>
  <c r="J56" i="66"/>
  <c r="I57" i="66"/>
  <c r="I58" i="51"/>
  <c r="J57" i="51"/>
  <c r="I59" i="32"/>
  <c r="J58" i="32"/>
  <c r="K57" i="32" s="1"/>
  <c r="CM15" i="2"/>
  <c r="C9" i="165"/>
  <c r="E10" i="165"/>
  <c r="J10" i="165"/>
  <c r="K10" i="165" s="1"/>
  <c r="J55" i="103"/>
  <c r="I56" i="103"/>
  <c r="E10" i="43"/>
  <c r="C9" i="43"/>
  <c r="J10" i="43"/>
  <c r="K10" i="43" s="1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K55" i="66"/>
  <c r="E13" i="164"/>
  <c r="C12" i="164"/>
  <c r="J13" i="164"/>
  <c r="K13" i="164" s="1"/>
  <c r="I57" i="28"/>
  <c r="J56" i="28"/>
  <c r="J54" i="35"/>
  <c r="I55" i="35"/>
  <c r="E14" i="90"/>
  <c r="C13" i="90"/>
  <c r="J14" i="90"/>
  <c r="K14" i="90" s="1"/>
  <c r="K54" i="103"/>
  <c r="I56" i="33"/>
  <c r="J55" i="33"/>
  <c r="E11" i="51"/>
  <c r="C10" i="51"/>
  <c r="J11" i="51"/>
  <c r="K11" i="51" s="1"/>
  <c r="I56" i="4"/>
  <c r="J55" i="4"/>
  <c r="I55" i="112"/>
  <c r="J54" i="112"/>
  <c r="K53" i="112" s="1"/>
  <c r="N14" i="2"/>
  <c r="J56" i="167"/>
  <c r="I57" i="167"/>
  <c r="E10" i="59"/>
  <c r="C9" i="59"/>
  <c r="J10" i="59"/>
  <c r="K10" i="59" s="1"/>
  <c r="J59" i="145"/>
  <c r="I60" i="145"/>
  <c r="I58" i="77"/>
  <c r="J57" i="77"/>
  <c r="K53" i="35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1" i="62"/>
  <c r="C10" i="62"/>
  <c r="J11" i="62"/>
  <c r="K11" i="62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E12" i="161"/>
  <c r="C11" i="161"/>
  <c r="J12" i="161"/>
  <c r="K12" i="161" s="1"/>
  <c r="J54" i="43"/>
  <c r="I55" i="43"/>
  <c r="D53" i="1"/>
  <c r="O53" i="1"/>
  <c r="AV53" i="1"/>
  <c r="Z53" i="1"/>
  <c r="BR53" i="1"/>
  <c r="AK53" i="1"/>
  <c r="CC53" i="1"/>
  <c r="K53" i="109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C11" i="60"/>
  <c r="E12" i="60"/>
  <c r="J12" i="60"/>
  <c r="K12" i="60" s="1"/>
  <c r="E13" i="89"/>
  <c r="C12" i="89"/>
  <c r="J13" i="89"/>
  <c r="K13" i="89" s="1"/>
  <c r="I60" i="75"/>
  <c r="J59" i="75"/>
  <c r="I55" i="17"/>
  <c r="J54" i="17"/>
  <c r="K55" i="60"/>
  <c r="I60" i="134"/>
  <c r="J59" i="134"/>
  <c r="K52" i="47"/>
  <c r="J58" i="14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I59" i="27"/>
  <c r="J58" i="27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C10" i="173"/>
  <c r="E11" i="173"/>
  <c r="J11" i="173"/>
  <c r="K11" i="173" s="1"/>
  <c r="K54" i="111"/>
  <c r="K58" i="75"/>
  <c r="K56" i="42"/>
  <c r="E12" i="67"/>
  <c r="C11" i="67"/>
  <c r="J12" i="67"/>
  <c r="K12" i="67" s="1"/>
  <c r="K57" i="74"/>
  <c r="J56" i="60"/>
  <c r="I57" i="60"/>
  <c r="K54" i="104"/>
  <c r="K55" i="149"/>
  <c r="GI53" i="2"/>
  <c r="GH53" i="2"/>
  <c r="K55" i="164"/>
  <c r="K57" i="27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C12" i="48"/>
  <c r="E13" i="48"/>
  <c r="J13" i="48"/>
  <c r="K13" i="48" s="1"/>
  <c r="IV14" i="2"/>
  <c r="E14" i="53"/>
  <c r="C13" i="53"/>
  <c r="J14" i="53"/>
  <c r="K14" i="53" s="1"/>
  <c r="I55" i="36"/>
  <c r="J54" i="36"/>
  <c r="I57" i="25"/>
  <c r="J56" i="25"/>
  <c r="J56" i="93"/>
  <c r="I57" i="93"/>
  <c r="E13" i="97"/>
  <c r="C12" i="97"/>
  <c r="EO13" i="2"/>
  <c r="J13" i="97"/>
  <c r="K13" i="97" s="1"/>
  <c r="I57" i="149"/>
  <c r="J56" i="149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K55" i="157"/>
  <c r="C8" i="146"/>
  <c r="E9" i="146"/>
  <c r="J9" i="146"/>
  <c r="K9" i="146" s="1"/>
  <c r="I60" i="15"/>
  <c r="J59" i="15"/>
  <c r="K58" i="15" s="1"/>
  <c r="K53" i="36"/>
  <c r="K55" i="25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1" i="159"/>
  <c r="C10" i="159"/>
  <c r="J11" i="159"/>
  <c r="K11" i="159" s="1"/>
  <c r="E14" i="27"/>
  <c r="C13" i="27"/>
  <c r="J14" i="27"/>
  <c r="K14" i="27" s="1"/>
  <c r="I58" i="98"/>
  <c r="J57" i="98"/>
  <c r="K56" i="98" s="1"/>
  <c r="K53" i="56"/>
  <c r="J56" i="157"/>
  <c r="I57" i="157"/>
  <c r="AU15" i="1"/>
  <c r="E14" i="52"/>
  <c r="C13" i="52"/>
  <c r="BP14" i="2"/>
  <c r="J14" i="52"/>
  <c r="K14" i="52" s="1"/>
  <c r="K52" i="125"/>
  <c r="C10" i="61"/>
  <c r="E11" i="61"/>
  <c r="J11" i="61"/>
  <c r="K11" i="61" s="1"/>
  <c r="K53" i="119"/>
  <c r="E12" i="81"/>
  <c r="C11" i="81"/>
  <c r="J12" i="81"/>
  <c r="K12" i="81" s="1"/>
  <c r="E14" i="143"/>
  <c r="C13" i="143"/>
  <c r="J14" i="143"/>
  <c r="K14" i="143" s="1"/>
  <c r="K53" i="17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I55" i="105"/>
  <c r="K52" i="43"/>
  <c r="K57" i="71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K54" i="85"/>
  <c r="CX14" i="2"/>
  <c r="I56" i="39"/>
  <c r="J55" i="39"/>
  <c r="J56" i="139"/>
  <c r="I57" i="139"/>
  <c r="J54" i="55"/>
  <c r="I55" i="55"/>
  <c r="I56" i="70"/>
  <c r="J55" i="70"/>
  <c r="I57" i="129"/>
  <c r="J56" i="129"/>
  <c r="C11" i="113"/>
  <c r="E12" i="113"/>
  <c r="J12" i="113"/>
  <c r="K12" i="113" s="1"/>
  <c r="K53" i="105"/>
  <c r="K55" i="13"/>
  <c r="I59" i="71"/>
  <c r="J58" i="71"/>
  <c r="I56" i="73"/>
  <c r="J55" i="73"/>
  <c r="I60" i="61"/>
  <c r="J59" i="61"/>
  <c r="J57" i="89"/>
  <c r="I58" i="89"/>
  <c r="I56" i="88"/>
  <c r="J55" i="88"/>
  <c r="K55" i="113"/>
  <c r="K55" i="83"/>
  <c r="K54" i="168"/>
  <c r="I56" i="85"/>
  <c r="J55" i="85"/>
  <c r="I56" i="161"/>
  <c r="J55" i="161"/>
  <c r="E10" i="111"/>
  <c r="C9" i="111"/>
  <c r="J10" i="111"/>
  <c r="K10" i="111" s="1"/>
  <c r="I56" i="57"/>
  <c r="J55" i="57"/>
  <c r="K55" i="10"/>
  <c r="K54" i="3"/>
  <c r="K58" i="46"/>
  <c r="K55" i="26"/>
  <c r="K54" i="70"/>
  <c r="K55" i="129"/>
  <c r="E9" i="87"/>
  <c r="C8" i="87"/>
  <c r="J9" i="87"/>
  <c r="K9" i="87" s="1"/>
  <c r="E12" i="64"/>
  <c r="C11" i="64"/>
  <c r="J12" i="64"/>
  <c r="K12" i="64" s="1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I57" i="83"/>
  <c r="J56" i="83"/>
  <c r="K54" i="76"/>
  <c r="C11" i="74"/>
  <c r="E12" i="74"/>
  <c r="J12" i="74"/>
  <c r="K12" i="74" s="1"/>
  <c r="C13" i="14"/>
  <c r="E14" i="14"/>
  <c r="J14" i="14"/>
  <c r="K14" i="14" s="1"/>
  <c r="K55" i="158"/>
  <c r="K54" i="161"/>
  <c r="E11" i="26"/>
  <c r="C10" i="26"/>
  <c r="J11" i="26"/>
  <c r="K11" i="26" s="1"/>
  <c r="I57" i="10"/>
  <c r="J56" i="10"/>
  <c r="J54" i="130"/>
  <c r="I55" i="130"/>
  <c r="J55" i="3"/>
  <c r="I56" i="3"/>
  <c r="I60" i="46"/>
  <c r="J59" i="46"/>
  <c r="J55" i="50"/>
  <c r="I56" i="50"/>
  <c r="I56" i="54"/>
  <c r="J55" i="54"/>
  <c r="J56" i="72"/>
  <c r="I57" i="72"/>
  <c r="K57" i="94"/>
  <c r="K57" i="14"/>
  <c r="J55" i="76"/>
  <c r="I56" i="76"/>
  <c r="FW15" i="2"/>
  <c r="I58" i="78"/>
  <c r="J57" i="78"/>
  <c r="K56" i="78" s="1"/>
  <c r="I57" i="158"/>
  <c r="J56" i="158"/>
  <c r="J57" i="128"/>
  <c r="K56" i="128" s="1"/>
  <c r="I58" i="128"/>
  <c r="I55" i="102"/>
  <c r="J54" i="102"/>
  <c r="K54" i="25"/>
  <c r="I55" i="11"/>
  <c r="J54" i="11"/>
  <c r="K58" i="7"/>
  <c r="K56" i="62"/>
  <c r="E12" i="130"/>
  <c r="C11" i="130"/>
  <c r="J12" i="130"/>
  <c r="K12" i="130" s="1"/>
  <c r="I57" i="165"/>
  <c r="J56" i="165"/>
  <c r="E14" i="136"/>
  <c r="C13" i="136"/>
  <c r="J14" i="136"/>
  <c r="K14" i="136" s="1"/>
  <c r="K53" i="174"/>
  <c r="I58" i="132"/>
  <c r="J57" i="132"/>
  <c r="C8" i="138"/>
  <c r="E9" i="138"/>
  <c r="J9" i="138"/>
  <c r="K9" i="138" s="1"/>
  <c r="J55" i="151"/>
  <c r="K54" i="151" s="1"/>
  <c r="I56" i="151"/>
  <c r="J59" i="7"/>
  <c r="I60" i="7"/>
  <c r="I58" i="62"/>
  <c r="J57" i="62"/>
  <c r="I55" i="146"/>
  <c r="J54" i="146"/>
  <c r="K53" i="146" s="1"/>
  <c r="K56" i="122"/>
  <c r="E13" i="114"/>
  <c r="C12" i="114"/>
  <c r="J13" i="114"/>
  <c r="K13" i="114" s="1"/>
  <c r="K55" i="165"/>
  <c r="K54" i="165"/>
  <c r="E11" i="85"/>
  <c r="C10" i="85"/>
  <c r="J11" i="85"/>
  <c r="K11" i="85" s="1"/>
  <c r="E13" i="15"/>
  <c r="C12" i="15"/>
  <c r="J13" i="15"/>
  <c r="K13" i="15" s="1"/>
  <c r="I55" i="174"/>
  <c r="J54" i="174"/>
  <c r="K54" i="87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67"/>
  <c r="K52" i="36"/>
  <c r="K54" i="10"/>
  <c r="K52" i="110"/>
  <c r="E13" i="63"/>
  <c r="C12" i="63"/>
  <c r="J13" i="63"/>
  <c r="K13" i="63" s="1"/>
  <c r="J57" i="122"/>
  <c r="I58" i="122"/>
  <c r="J56" i="92"/>
  <c r="I57" i="92"/>
  <c r="C13" i="152"/>
  <c r="E14" i="152"/>
  <c r="J14" i="152"/>
  <c r="K14" i="152" s="1"/>
  <c r="J55" i="131"/>
  <c r="I56" i="131"/>
  <c r="K54" i="72"/>
  <c r="K54" i="116"/>
  <c r="K52" i="81"/>
  <c r="E12" i="110"/>
  <c r="C11" i="110"/>
  <c r="J12" i="110"/>
  <c r="K12" i="110" s="1"/>
  <c r="I56" i="154"/>
  <c r="J55" i="154"/>
  <c r="K54" i="126"/>
  <c r="K53" i="34"/>
  <c r="C10" i="37"/>
  <c r="E11" i="37"/>
  <c r="J11" i="37"/>
  <c r="K11" i="37" s="1"/>
  <c r="K58" i="133"/>
  <c r="K52" i="109"/>
  <c r="E11" i="84"/>
  <c r="C10" i="84"/>
  <c r="J11" i="84"/>
  <c r="K11" i="84" s="1"/>
  <c r="K54" i="131"/>
  <c r="I59" i="59"/>
  <c r="J58" i="59"/>
  <c r="K53" i="148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I56" i="86"/>
  <c r="J55" i="86"/>
  <c r="I55" i="34"/>
  <c r="J54" i="34"/>
  <c r="C13" i="3"/>
  <c r="E14" i="3"/>
  <c r="J14" i="3"/>
  <c r="K14" i="3" s="1"/>
  <c r="I60" i="133"/>
  <c r="J59" i="133"/>
  <c r="C12" i="71"/>
  <c r="E13" i="71"/>
  <c r="J13" i="71"/>
  <c r="K13" i="71" s="1"/>
  <c r="E10" i="34"/>
  <c r="C9" i="34"/>
  <c r="J10" i="34"/>
  <c r="K10" i="34" s="1"/>
  <c r="E7" i="82"/>
  <c r="C6" i="82"/>
  <c r="J7" i="82"/>
  <c r="K7" i="82" s="1"/>
  <c r="E11" i="72"/>
  <c r="C10" i="72"/>
  <c r="J11" i="72"/>
  <c r="K11" i="72" s="1"/>
  <c r="E9" i="30"/>
  <c r="C8" i="30"/>
  <c r="J9" i="30"/>
  <c r="K9" i="30" s="1"/>
  <c r="E12" i="139"/>
  <c r="C11" i="139"/>
  <c r="J12" i="139"/>
  <c r="K12" i="139" s="1"/>
  <c r="K53" i="5"/>
  <c r="K57" i="59"/>
  <c r="J54" i="148"/>
  <c r="I55" i="148"/>
  <c r="I56" i="119"/>
  <c r="J55" i="119"/>
  <c r="K54" i="119" s="1"/>
  <c r="BQ15" i="2"/>
  <c r="AU15" i="2"/>
  <c r="K54" i="21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AI13" i="2" s="1"/>
  <c r="J14" i="28"/>
  <c r="K14" i="28" s="1"/>
  <c r="J54" i="95"/>
  <c r="K53" i="95" s="1"/>
  <c r="I55" i="95"/>
  <c r="J54" i="96"/>
  <c r="K53" i="96" s="1"/>
  <c r="I55" i="96"/>
  <c r="K55" i="51"/>
  <c r="FK14" i="2"/>
  <c r="K53" i="45"/>
  <c r="K54" i="92"/>
  <c r="I56" i="5"/>
  <c r="J55" i="5"/>
  <c r="K53" i="143"/>
  <c r="J56" i="124"/>
  <c r="I57" i="124"/>
  <c r="I57" i="41"/>
  <c r="J56" i="4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K53" i="64"/>
  <c r="K55" i="30"/>
  <c r="BE14" i="2"/>
  <c r="I55" i="45"/>
  <c r="J54" i="45"/>
  <c r="J54" i="143"/>
  <c r="I55" i="143"/>
  <c r="E13" i="125"/>
  <c r="C12" i="125"/>
  <c r="J13" i="125"/>
  <c r="K13" i="125" s="1"/>
  <c r="K54" i="73"/>
  <c r="E10" i="45"/>
  <c r="C9" i="45"/>
  <c r="J10" i="45"/>
  <c r="K10" i="45" s="1"/>
  <c r="I58" i="136"/>
  <c r="J57" i="136"/>
  <c r="K56" i="136" s="1"/>
  <c r="K55" i="41"/>
  <c r="I60" i="12"/>
  <c r="J59" i="12"/>
  <c r="I57" i="37"/>
  <c r="J56" i="37"/>
  <c r="K55" i="37" s="1"/>
  <c r="K54" i="20"/>
  <c r="J54" i="64"/>
  <c r="I55" i="64"/>
  <c r="J56" i="30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K53" i="100"/>
  <c r="J54" i="160"/>
  <c r="K53" i="160" s="1"/>
  <c r="I55" i="160"/>
  <c r="K58" i="12"/>
  <c r="J55" i="80"/>
  <c r="I56" i="80"/>
  <c r="I56" i="20"/>
  <c r="J55" i="20"/>
  <c r="EP15" i="2"/>
  <c r="I57" i="115"/>
  <c r="J56" i="115"/>
  <c r="K55" i="115" s="1"/>
  <c r="K55" i="159"/>
  <c r="E11" i="171"/>
  <c r="C10" i="171"/>
  <c r="J11" i="171"/>
  <c r="K11" i="171" s="1"/>
  <c r="I56" i="67"/>
  <c r="J55" i="67"/>
  <c r="E11" i="106"/>
  <c r="C10" i="106"/>
  <c r="J11" i="106"/>
  <c r="K11" i="106" s="1"/>
  <c r="I57" i="18"/>
  <c r="J56" i="18"/>
  <c r="K55" i="18" s="1"/>
  <c r="BQ15" i="1"/>
  <c r="C11" i="83"/>
  <c r="E12" i="83"/>
  <c r="J12" i="83"/>
  <c r="K12" i="83" s="1"/>
  <c r="I55" i="100"/>
  <c r="J54" i="100"/>
  <c r="E13" i="119"/>
  <c r="C12" i="119"/>
  <c r="J13" i="119"/>
  <c r="K13" i="119" s="1"/>
  <c r="E14" i="107"/>
  <c r="C13" i="107"/>
  <c r="BE13" i="2" s="1"/>
  <c r="J14" i="107"/>
  <c r="K14" i="107" s="1"/>
  <c r="K53" i="69"/>
  <c r="K54" i="80"/>
  <c r="K54" i="52"/>
  <c r="E9" i="157"/>
  <c r="C8" i="157"/>
  <c r="J9" i="157"/>
  <c r="K9" i="157" s="1"/>
  <c r="C11" i="137"/>
  <c r="E12" i="137"/>
  <c r="J12" i="137"/>
  <c r="K12" i="137" s="1"/>
  <c r="I57" i="159"/>
  <c r="J56" i="159"/>
  <c r="E13" i="169"/>
  <c r="C12" i="169"/>
  <c r="HY13" i="2"/>
  <c r="J13" i="169"/>
  <c r="K13" i="169" s="1"/>
  <c r="I56" i="121"/>
  <c r="J55" i="121"/>
  <c r="DI14" i="2"/>
  <c r="I56" i="144"/>
  <c r="J55" i="144"/>
  <c r="C10" i="168"/>
  <c r="E11" i="168"/>
  <c r="J11" i="168"/>
  <c r="K11" i="168" s="1"/>
  <c r="C12" i="76"/>
  <c r="E13" i="76"/>
  <c r="J13" i="76"/>
  <c r="K13" i="76" s="1"/>
  <c r="J54" i="69"/>
  <c r="I55" i="69"/>
  <c r="E10" i="131"/>
  <c r="C9" i="131"/>
  <c r="J10" i="131"/>
  <c r="K10" i="131" s="1"/>
  <c r="J55" i="49"/>
  <c r="K54" i="49" s="1"/>
  <c r="I56" i="49"/>
  <c r="I56" i="52"/>
  <c r="J55" i="52"/>
  <c r="C10" i="163"/>
  <c r="E11" i="163"/>
  <c r="J11" i="163"/>
  <c r="K11" i="163" s="1"/>
  <c r="E12" i="75"/>
  <c r="C11" i="75"/>
  <c r="J12" i="75"/>
  <c r="K12" i="75" s="1"/>
  <c r="I57" i="99"/>
  <c r="J56" i="99"/>
  <c r="K52" i="35"/>
  <c r="I58" i="127"/>
  <c r="J57" i="127"/>
  <c r="K57" i="22"/>
  <c r="I55" i="90"/>
  <c r="J54" i="90"/>
  <c r="K53" i="90" s="1"/>
  <c r="K54" i="121"/>
  <c r="E14" i="49"/>
  <c r="C13" i="49"/>
  <c r="J14" i="49"/>
  <c r="K14" i="49" s="1"/>
  <c r="C10" i="149"/>
  <c r="E11" i="149"/>
  <c r="J11" i="149"/>
  <c r="K11" i="149" s="1"/>
  <c r="E11" i="40"/>
  <c r="C10" i="40"/>
  <c r="J11" i="40"/>
  <c r="K11" i="40" s="1"/>
  <c r="E10" i="102"/>
  <c r="C9" i="102"/>
  <c r="J10" i="102"/>
  <c r="K10" i="102" s="1"/>
  <c r="K55" i="99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E7" i="98"/>
  <c r="C6" i="98"/>
  <c r="J7" i="98"/>
  <c r="K7" i="98" s="1"/>
  <c r="HD15" i="2"/>
  <c r="I55" i="81"/>
  <c r="J54" i="81"/>
  <c r="I56" i="87"/>
  <c r="J55" i="87"/>
  <c r="E13" i="10"/>
  <c r="C12" i="10"/>
  <c r="J13" i="10"/>
  <c r="K13" i="10" s="1"/>
  <c r="K54" i="97"/>
  <c r="X13" i="1"/>
  <c r="DT13" i="2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K54" i="19"/>
  <c r="C11" i="25"/>
  <c r="E12" i="25"/>
  <c r="J12" i="25"/>
  <c r="K12" i="25" s="1"/>
  <c r="AI14" i="1"/>
  <c r="C13" i="6"/>
  <c r="E14" i="6"/>
  <c r="CA14" i="1"/>
  <c r="K53" i="33"/>
  <c r="K54" i="23"/>
  <c r="CX13" i="2"/>
  <c r="E12" i="5"/>
  <c r="C11" i="5"/>
  <c r="J12" i="5"/>
  <c r="K12" i="5" s="1"/>
  <c r="E11" i="120"/>
  <c r="C10" i="120"/>
  <c r="J11" i="120"/>
  <c r="K11" i="120" s="1"/>
  <c r="C11" i="129"/>
  <c r="E12" i="129"/>
  <c r="J12" i="129"/>
  <c r="K12" i="129" s="1"/>
  <c r="DS12" i="2"/>
  <c r="E12" i="65"/>
  <c r="C11" i="65"/>
  <c r="J12" i="65"/>
  <c r="K12" i="65" s="1"/>
  <c r="J55" i="19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C9" i="160"/>
  <c r="E10" i="160"/>
  <c r="J10" i="160"/>
  <c r="K10" i="160" s="1"/>
  <c r="E12" i="128"/>
  <c r="C11" i="128"/>
  <c r="J12" i="128"/>
  <c r="K12" i="128" s="1"/>
  <c r="CB15" i="1"/>
  <c r="E13" i="95"/>
  <c r="C12" i="95"/>
  <c r="J13" i="95"/>
  <c r="K13" i="95" s="1"/>
  <c r="K53" i="40"/>
  <c r="E12" i="99"/>
  <c r="C11" i="99"/>
  <c r="J12" i="99"/>
  <c r="K12" i="99" s="1"/>
  <c r="CB13" i="2" l="1"/>
  <c r="AJ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0" i="72"/>
  <c r="C9" i="72"/>
  <c r="J10" i="72"/>
  <c r="K10" i="72" s="1"/>
  <c r="E11" i="110"/>
  <c r="C10" i="110"/>
  <c r="J11" i="110"/>
  <c r="K11" i="110" s="1"/>
  <c r="K57" i="132"/>
  <c r="K55" i="57"/>
  <c r="I57" i="70"/>
  <c r="J56" i="70"/>
  <c r="AU14" i="1"/>
  <c r="I57" i="111"/>
  <c r="J56" i="111"/>
  <c r="E12" i="78"/>
  <c r="C11" i="78"/>
  <c r="J12" i="78"/>
  <c r="K12" i="78" s="1"/>
  <c r="C11" i="36"/>
  <c r="E12" i="36"/>
  <c r="J12" i="36"/>
  <c r="K12" i="36" s="1"/>
  <c r="C7" i="32"/>
  <c r="E8" i="32"/>
  <c r="J8" i="32"/>
  <c r="K8" i="32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J57" i="72"/>
  <c r="I58" i="72"/>
  <c r="J57" i="113"/>
  <c r="I58" i="113"/>
  <c r="I57" i="57"/>
  <c r="J56" i="57"/>
  <c r="I56" i="55"/>
  <c r="J55" i="55"/>
  <c r="E13" i="7"/>
  <c r="C12" i="7"/>
  <c r="AT13" i="1"/>
  <c r="J13" i="7"/>
  <c r="K13" i="7" s="1"/>
  <c r="K57" i="98"/>
  <c r="E11" i="67"/>
  <c r="C10" i="67"/>
  <c r="J11" i="67"/>
  <c r="K11" i="67" s="1"/>
  <c r="J56" i="104"/>
  <c r="I57" i="104"/>
  <c r="E10" i="62"/>
  <c r="C9" i="62"/>
  <c r="J10" i="62"/>
  <c r="K10" i="62" s="1"/>
  <c r="E9" i="59"/>
  <c r="C8" i="59"/>
  <c r="J9" i="59"/>
  <c r="K9" i="59" s="1"/>
  <c r="C12" i="46"/>
  <c r="E13" i="46"/>
  <c r="J13" i="46"/>
  <c r="K13" i="46" s="1"/>
  <c r="K56" i="72"/>
  <c r="K54" i="55"/>
  <c r="I59" i="98"/>
  <c r="J58" i="98"/>
  <c r="I58" i="118"/>
  <c r="J57" i="118"/>
  <c r="J59" i="42"/>
  <c r="I60" i="42"/>
  <c r="C5" i="82"/>
  <c r="E6" i="82"/>
  <c r="J6" i="82"/>
  <c r="K6" i="82" s="1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K55" i="31"/>
  <c r="C10" i="144"/>
  <c r="E11" i="144"/>
  <c r="J11" i="144"/>
  <c r="K11" i="144" s="1"/>
  <c r="J57" i="167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I57" i="31"/>
  <c r="C11" i="101"/>
  <c r="E12" i="101"/>
  <c r="J12" i="101"/>
  <c r="K12" i="101" s="1"/>
  <c r="K56" i="167"/>
  <c r="EE14" i="2"/>
  <c r="C12" i="158"/>
  <c r="E13" i="158"/>
  <c r="J13" i="158"/>
  <c r="K13" i="158" s="1"/>
  <c r="E11" i="150"/>
  <c r="C10" i="150"/>
  <c r="J11" i="150"/>
  <c r="K11" i="150" s="1"/>
  <c r="I58" i="115"/>
  <c r="J57" i="115"/>
  <c r="J55" i="65"/>
  <c r="I56" i="65"/>
  <c r="E13" i="42"/>
  <c r="C12" i="42"/>
  <c r="J13" i="42"/>
  <c r="K13" i="42" s="1"/>
  <c r="FV13" i="2"/>
  <c r="FK13" i="2"/>
  <c r="I57" i="84"/>
  <c r="J56" i="84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D52" i="1"/>
  <c r="CC52" i="1"/>
  <c r="O52" i="1"/>
  <c r="AK52" i="1"/>
  <c r="AV52" i="1"/>
  <c r="BR52" i="1"/>
  <c r="Z52" i="1"/>
  <c r="I60" i="14"/>
  <c r="J59" i="14"/>
  <c r="K59" i="74"/>
  <c r="E13" i="109"/>
  <c r="C12" i="109"/>
  <c r="ED13" i="2"/>
  <c r="J13" i="109"/>
  <c r="K13" i="109" s="1"/>
  <c r="C10" i="167"/>
  <c r="E11" i="167"/>
  <c r="J11" i="167"/>
  <c r="K11" i="167" s="1"/>
  <c r="E8" i="157"/>
  <c r="C7" i="157"/>
  <c r="J8" i="157"/>
  <c r="K8" i="157" s="1"/>
  <c r="I56" i="174"/>
  <c r="J55" i="174"/>
  <c r="E11" i="9"/>
  <c r="C10" i="9"/>
  <c r="J11" i="9"/>
  <c r="K11" i="9" s="1"/>
  <c r="C8" i="34"/>
  <c r="E9" i="34"/>
  <c r="J9" i="34"/>
  <c r="K9" i="34" s="1"/>
  <c r="K56" i="63"/>
  <c r="K55" i="131"/>
  <c r="K57" i="117"/>
  <c r="E12" i="15"/>
  <c r="C11" i="15"/>
  <c r="J12" i="15"/>
  <c r="K12" i="15" s="1"/>
  <c r="K55" i="50"/>
  <c r="I57" i="161"/>
  <c r="J56" i="161"/>
  <c r="K55" i="161" s="1"/>
  <c r="I57" i="39"/>
  <c r="J56" i="39"/>
  <c r="K55" i="39" s="1"/>
  <c r="K57" i="29"/>
  <c r="K55" i="118"/>
  <c r="BG52" i="1"/>
  <c r="BF52" i="1"/>
  <c r="K58" i="14"/>
  <c r="I61" i="74"/>
  <c r="J60" i="74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I59" i="117"/>
  <c r="J58" i="117"/>
  <c r="I58" i="165"/>
  <c r="J57" i="165"/>
  <c r="K59" i="46"/>
  <c r="K54" i="53"/>
  <c r="K55" i="85"/>
  <c r="K54" i="57"/>
  <c r="GH52" i="2"/>
  <c r="GI52" i="2"/>
  <c r="E10" i="115"/>
  <c r="C9" i="115"/>
  <c r="J10" i="115"/>
  <c r="K10" i="115" s="1"/>
  <c r="C12" i="55"/>
  <c r="E13" i="55"/>
  <c r="J13" i="55"/>
  <c r="K13" i="55" s="1"/>
  <c r="K56" i="23"/>
  <c r="K57" i="13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3" i="55"/>
  <c r="J55" i="112"/>
  <c r="K54" i="112" s="1"/>
  <c r="I56" i="112"/>
  <c r="I58" i="23"/>
  <c r="J57" i="23"/>
  <c r="C12" i="56"/>
  <c r="E13" i="56"/>
  <c r="J13" i="56"/>
  <c r="K13" i="56" s="1"/>
  <c r="I59" i="13"/>
  <c r="J58" i="13"/>
  <c r="I58" i="173"/>
  <c r="J57" i="173"/>
  <c r="FA13" i="2"/>
  <c r="I57" i="54"/>
  <c r="J56" i="54"/>
  <c r="C12" i="155"/>
  <c r="E13" i="155"/>
  <c r="J13" i="155"/>
  <c r="K13" i="155" s="1"/>
  <c r="C8" i="160"/>
  <c r="E9" i="160"/>
  <c r="J9" i="160"/>
  <c r="K9" i="160" s="1"/>
  <c r="C8" i="102"/>
  <c r="E9" i="102"/>
  <c r="J9" i="102"/>
  <c r="K9" i="102" s="1"/>
  <c r="E9" i="131"/>
  <c r="C8" i="131"/>
  <c r="J9" i="131"/>
  <c r="K9" i="131" s="1"/>
  <c r="E12" i="10"/>
  <c r="C11" i="10"/>
  <c r="J12" i="10"/>
  <c r="K12" i="10" s="1"/>
  <c r="C10" i="25"/>
  <c r="E11" i="25"/>
  <c r="J11" i="25"/>
  <c r="K11" i="25" s="1"/>
  <c r="I58" i="30"/>
  <c r="J57" i="30"/>
  <c r="K56" i="30" s="1"/>
  <c r="E11" i="17"/>
  <c r="C10" i="17"/>
  <c r="J11" i="17"/>
  <c r="K11" i="17" s="1"/>
  <c r="K55" i="87"/>
  <c r="K58" i="79"/>
  <c r="K57" i="152"/>
  <c r="E13" i="152"/>
  <c r="C12" i="152"/>
  <c r="J13" i="152"/>
  <c r="K13" i="152" s="1"/>
  <c r="E13" i="92"/>
  <c r="C12" i="92"/>
  <c r="J13" i="92"/>
  <c r="K13" i="92" s="1"/>
  <c r="E10" i="85"/>
  <c r="C9" i="85"/>
  <c r="J10" i="85"/>
  <c r="K10" i="85" s="1"/>
  <c r="E11" i="130"/>
  <c r="C10" i="130"/>
  <c r="J11" i="130"/>
  <c r="K11" i="130" s="1"/>
  <c r="J56" i="3"/>
  <c r="I57" i="3"/>
  <c r="I57" i="169"/>
  <c r="J56" i="169"/>
  <c r="E10" i="159"/>
  <c r="C9" i="159"/>
  <c r="J10" i="159"/>
  <c r="K10" i="159" s="1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C9" i="173"/>
  <c r="E10" i="173"/>
  <c r="J10" i="173"/>
  <c r="K10" i="173" s="1"/>
  <c r="J60" i="134"/>
  <c r="I61" i="134"/>
  <c r="J58" i="172"/>
  <c r="I59" i="172"/>
  <c r="K55" i="23"/>
  <c r="I56" i="147"/>
  <c r="J55" i="147"/>
  <c r="K56" i="173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I56" i="64"/>
  <c r="J55" i="64"/>
  <c r="I60" i="79"/>
  <c r="J59" i="79"/>
  <c r="I59" i="152"/>
  <c r="J58" i="152"/>
  <c r="I58" i="92"/>
  <c r="J57" i="92"/>
  <c r="K55" i="114"/>
  <c r="K54" i="114"/>
  <c r="I56" i="43"/>
  <c r="J55" i="43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3" i="140"/>
  <c r="K55" i="80"/>
  <c r="I57" i="116"/>
  <c r="J56" i="116"/>
  <c r="J55" i="130"/>
  <c r="I56" i="130"/>
  <c r="I57" i="114"/>
  <c r="J56" i="114"/>
  <c r="K56" i="44"/>
  <c r="C11" i="153"/>
  <c r="E12" i="153"/>
  <c r="J12" i="153"/>
  <c r="K12" i="153" s="1"/>
  <c r="I58" i="149"/>
  <c r="J57" i="149"/>
  <c r="K56" i="149" s="1"/>
  <c r="K54" i="43"/>
  <c r="K55" i="4"/>
  <c r="K56" i="152"/>
  <c r="K55" i="108"/>
  <c r="C8" i="105"/>
  <c r="E9" i="105"/>
  <c r="J9" i="105"/>
  <c r="K9" i="105" s="1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I60" i="94"/>
  <c r="J57" i="44"/>
  <c r="I58" i="44"/>
  <c r="J55" i="17"/>
  <c r="K54" i="17" s="1"/>
  <c r="I56" i="17"/>
  <c r="J56" i="4"/>
  <c r="I57" i="4"/>
  <c r="K54" i="31"/>
  <c r="K53" i="81"/>
  <c r="K55" i="56"/>
  <c r="I57" i="153"/>
  <c r="J56" i="153"/>
  <c r="I57" i="108"/>
  <c r="J56" i="108"/>
  <c r="K55" i="19"/>
  <c r="J58" i="48"/>
  <c r="I59" i="48"/>
  <c r="C11" i="119"/>
  <c r="E12" i="119"/>
  <c r="J12" i="119"/>
  <c r="K12" i="119" s="1"/>
  <c r="I56" i="160"/>
  <c r="J55" i="160"/>
  <c r="K54" i="160" s="1"/>
  <c r="K56" i="37"/>
  <c r="E8" i="166"/>
  <c r="C7" i="166"/>
  <c r="J8" i="166"/>
  <c r="K8" i="166" s="1"/>
  <c r="E12" i="23"/>
  <c r="C11" i="23"/>
  <c r="J12" i="23"/>
  <c r="K12" i="23" s="1"/>
  <c r="K55" i="92"/>
  <c r="K56" i="10"/>
  <c r="K58" i="94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K59" i="75"/>
  <c r="I57" i="56"/>
  <c r="J56" i="56"/>
  <c r="J55" i="81"/>
  <c r="K54" i="81" s="1"/>
  <c r="I56" i="81"/>
  <c r="K57" i="48"/>
  <c r="C9" i="149"/>
  <c r="E10" i="149"/>
  <c r="J10" i="149"/>
  <c r="K10" i="149" s="1"/>
  <c r="I58" i="37"/>
  <c r="J57" i="37"/>
  <c r="CL13" i="2"/>
  <c r="I58" i="10"/>
  <c r="J57" i="10"/>
  <c r="K55" i="72"/>
  <c r="K55" i="88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E11" i="161"/>
  <c r="C10" i="161"/>
  <c r="J11" i="161"/>
  <c r="K11" i="161" s="1"/>
  <c r="C9" i="51"/>
  <c r="E10" i="51"/>
  <c r="J10" i="51"/>
  <c r="K10" i="51" s="1"/>
  <c r="E9" i="43"/>
  <c r="C8" i="43"/>
  <c r="J9" i="43"/>
  <c r="K9" i="43" s="1"/>
  <c r="C10" i="126"/>
  <c r="E11" i="126"/>
  <c r="J11" i="126"/>
  <c r="K11" i="126" s="1"/>
  <c r="K54" i="88"/>
  <c r="K57" i="135"/>
  <c r="J60" i="133"/>
  <c r="I61" i="133"/>
  <c r="J56" i="162"/>
  <c r="I57" i="162"/>
  <c r="E11" i="65"/>
  <c r="C10" i="65"/>
  <c r="J11" i="65"/>
  <c r="K11" i="65" s="1"/>
  <c r="K55" i="97"/>
  <c r="E10" i="168"/>
  <c r="C9" i="168"/>
  <c r="J10" i="168"/>
  <c r="K10" i="168" s="1"/>
  <c r="K59" i="12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6" i="115"/>
  <c r="C12" i="6"/>
  <c r="E13" i="6"/>
  <c r="CA13" i="1"/>
  <c r="K55" i="84"/>
  <c r="I57" i="19"/>
  <c r="J56" i="19"/>
  <c r="K55" i="162"/>
  <c r="I57" i="97"/>
  <c r="J56" i="97"/>
  <c r="E6" i="98"/>
  <c r="C5" i="98"/>
  <c r="J6" i="98"/>
  <c r="K6" i="98" s="1"/>
  <c r="E13" i="49"/>
  <c r="C12" i="49"/>
  <c r="J13" i="49"/>
  <c r="K13" i="49" s="1"/>
  <c r="J55" i="100"/>
  <c r="K54" i="100" s="1"/>
  <c r="I56" i="100"/>
  <c r="I61" i="12"/>
  <c r="J60" i="12"/>
  <c r="I58" i="124"/>
  <c r="J57" i="124"/>
  <c r="I60" i="59"/>
  <c r="J59" i="59"/>
  <c r="E12" i="63"/>
  <c r="C11" i="63"/>
  <c r="J12" i="63"/>
  <c r="K12" i="63" s="1"/>
  <c r="K58" i="82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J58" i="101"/>
  <c r="I59" i="101"/>
  <c r="K54" i="33"/>
  <c r="I59" i="16"/>
  <c r="J58" i="16"/>
  <c r="E11" i="103"/>
  <c r="C10" i="103"/>
  <c r="J11" i="103"/>
  <c r="K11" i="103" s="1"/>
  <c r="I56" i="8"/>
  <c r="J55" i="8"/>
  <c r="C9" i="127"/>
  <c r="E10" i="127"/>
  <c r="J10" i="127"/>
  <c r="K10" i="127" s="1"/>
  <c r="DT12" i="2"/>
  <c r="C10" i="68"/>
  <c r="E11" i="68"/>
  <c r="J11" i="68"/>
  <c r="K11" i="68" s="1"/>
  <c r="K56" i="93"/>
  <c r="C11" i="89"/>
  <c r="E12" i="89"/>
  <c r="J12" i="89"/>
  <c r="K12" i="89" s="1"/>
  <c r="HN12" i="2"/>
  <c r="K57" i="101"/>
  <c r="J56" i="33"/>
  <c r="I57" i="33"/>
  <c r="I57" i="103"/>
  <c r="J56" i="103"/>
  <c r="C10" i="118"/>
  <c r="E11" i="118"/>
  <c r="J11" i="118"/>
  <c r="K11" i="118" s="1"/>
  <c r="I60" i="82"/>
  <c r="J59" i="82"/>
  <c r="J56" i="138"/>
  <c r="I57" i="138"/>
  <c r="E11" i="94"/>
  <c r="C10" i="94"/>
  <c r="J11" i="94"/>
  <c r="K11" i="94" s="1"/>
  <c r="I56" i="166"/>
  <c r="J55" i="166"/>
  <c r="K54" i="166" s="1"/>
  <c r="K54" i="102"/>
  <c r="K53" i="102"/>
  <c r="C10" i="64"/>
  <c r="E11" i="64"/>
  <c r="J11" i="64"/>
  <c r="K11" i="64" s="1"/>
  <c r="K59" i="61"/>
  <c r="K56" i="25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K55" i="103"/>
  <c r="I56" i="171"/>
  <c r="J55" i="171"/>
  <c r="E10" i="73"/>
  <c r="C9" i="73"/>
  <c r="J10" i="73"/>
  <c r="K10" i="73" s="1"/>
  <c r="K56" i="13"/>
  <c r="K54" i="162"/>
  <c r="Y13" i="1"/>
  <c r="K55" i="5"/>
  <c r="C9" i="84"/>
  <c r="E10" i="84"/>
  <c r="J10" i="84"/>
  <c r="K10" i="84" s="1"/>
  <c r="J55" i="146"/>
  <c r="I56" i="146"/>
  <c r="J55" i="102"/>
  <c r="I56" i="102"/>
  <c r="J60" i="61"/>
  <c r="I61" i="61"/>
  <c r="E13" i="170"/>
  <c r="C12" i="170"/>
  <c r="J13" i="170"/>
  <c r="K13" i="170" s="1"/>
  <c r="E13" i="121"/>
  <c r="C12" i="121"/>
  <c r="J13" i="121"/>
  <c r="K13" i="121" s="1"/>
  <c r="J57" i="25"/>
  <c r="I58" i="25"/>
  <c r="K55" i="63"/>
  <c r="K57" i="26"/>
  <c r="K55" i="173"/>
  <c r="E13" i="3"/>
  <c r="C12" i="3"/>
  <c r="J13" i="3"/>
  <c r="K13" i="3" s="1"/>
  <c r="E11" i="57"/>
  <c r="C10" i="57"/>
  <c r="J11" i="57"/>
  <c r="K11" i="57" s="1"/>
  <c r="E11" i="129"/>
  <c r="C10" i="129"/>
  <c r="J11" i="129"/>
  <c r="K11" i="129" s="1"/>
  <c r="DS11" i="2"/>
  <c r="C11" i="38"/>
  <c r="E12" i="38"/>
  <c r="J12" i="38"/>
  <c r="K12" i="38" s="1"/>
  <c r="J55" i="90"/>
  <c r="I56" i="90"/>
  <c r="E11" i="83"/>
  <c r="C10" i="83"/>
  <c r="J11" i="83"/>
  <c r="K11" i="83" s="1"/>
  <c r="I57" i="5"/>
  <c r="J56" i="5"/>
  <c r="I56" i="148"/>
  <c r="J55" i="148"/>
  <c r="K54" i="34"/>
  <c r="K53" i="166"/>
  <c r="I59" i="107"/>
  <c r="J58" i="107"/>
  <c r="K57" i="62"/>
  <c r="I59" i="128"/>
  <c r="J58" i="128"/>
  <c r="K54" i="36"/>
  <c r="J58" i="26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C8" i="45"/>
  <c r="E9" i="45"/>
  <c r="J9" i="45"/>
  <c r="K9" i="45" s="1"/>
  <c r="K54" i="148"/>
  <c r="I56" i="34"/>
  <c r="J55" i="34"/>
  <c r="J58" i="62"/>
  <c r="I59" i="62"/>
  <c r="K57" i="128"/>
  <c r="C7" i="87"/>
  <c r="E8" i="87"/>
  <c r="J8" i="87"/>
  <c r="K8" i="87" s="1"/>
  <c r="I57" i="73"/>
  <c r="J56" i="73"/>
  <c r="K55" i="73" s="1"/>
  <c r="E12" i="79"/>
  <c r="C11" i="79"/>
  <c r="J12" i="79"/>
  <c r="K12" i="79" s="1"/>
  <c r="K59" i="15"/>
  <c r="J55" i="36"/>
  <c r="I56" i="36"/>
  <c r="C12" i="29"/>
  <c r="E13" i="29"/>
  <c r="J13" i="29"/>
  <c r="K13" i="29" s="1"/>
  <c r="E10" i="124"/>
  <c r="C9" i="124"/>
  <c r="J10" i="124"/>
  <c r="K10" i="124" s="1"/>
  <c r="K56" i="101"/>
  <c r="E9" i="165"/>
  <c r="C8" i="165"/>
  <c r="J9" i="165"/>
  <c r="K9" i="165" s="1"/>
  <c r="I57" i="49"/>
  <c r="J56" i="49"/>
  <c r="Y14" i="1"/>
  <c r="K55" i="86"/>
  <c r="K56" i="107"/>
  <c r="J60" i="7"/>
  <c r="I61" i="7"/>
  <c r="K57" i="156"/>
  <c r="E10" i="61"/>
  <c r="C9" i="61"/>
  <c r="J10" i="61"/>
  <c r="K10" i="61" s="1"/>
  <c r="J60" i="15"/>
  <c r="I61" i="15"/>
  <c r="E11" i="60"/>
  <c r="C10" i="60"/>
  <c r="J11" i="60"/>
  <c r="K11" i="60" s="1"/>
  <c r="I56" i="35"/>
  <c r="J55" i="35"/>
  <c r="K54" i="35" s="1"/>
  <c r="C11" i="77"/>
  <c r="E12" i="77"/>
  <c r="J12" i="77"/>
  <c r="K12" i="77" s="1"/>
  <c r="E11" i="112"/>
  <c r="C10" i="112"/>
  <c r="CW11" i="2"/>
  <c r="J11" i="112"/>
  <c r="K11" i="112" s="1"/>
  <c r="K54" i="90"/>
  <c r="I59" i="136"/>
  <c r="J58" i="136"/>
  <c r="K57" i="127"/>
  <c r="BQ14" i="1"/>
  <c r="E12" i="70"/>
  <c r="C11" i="70"/>
  <c r="J12" i="70"/>
  <c r="K12" i="70" s="1"/>
  <c r="I59" i="127"/>
  <c r="J58" i="127"/>
  <c r="K54" i="144"/>
  <c r="FL14" i="2"/>
  <c r="J56" i="86"/>
  <c r="I57" i="86"/>
  <c r="E10" i="47"/>
  <c r="C9" i="47"/>
  <c r="J10" i="47"/>
  <c r="K10" i="47" s="1"/>
  <c r="K59" i="7"/>
  <c r="J59" i="71"/>
  <c r="I60" i="71"/>
  <c r="I59" i="156"/>
  <c r="J58" i="156"/>
  <c r="IU13" i="2"/>
  <c r="C12" i="53"/>
  <c r="BE12" i="2" s="1"/>
  <c r="E13" i="53"/>
  <c r="J13" i="53"/>
  <c r="K13" i="53" s="1"/>
  <c r="K58" i="27"/>
  <c r="E11" i="11"/>
  <c r="C10" i="11"/>
  <c r="J11" i="11"/>
  <c r="K11" i="11" s="1"/>
  <c r="E12" i="162"/>
  <c r="C11" i="162"/>
  <c r="J12" i="162"/>
  <c r="K12" i="162" s="1"/>
  <c r="I59" i="164"/>
  <c r="J58" i="164"/>
  <c r="C7" i="156"/>
  <c r="E8" i="156"/>
  <c r="J8" i="156"/>
  <c r="K8" i="156" s="1"/>
  <c r="E11" i="148"/>
  <c r="C10" i="148"/>
  <c r="J11" i="148"/>
  <c r="K11" i="148" s="1"/>
  <c r="K54" i="5"/>
  <c r="K53" i="11"/>
  <c r="I58" i="158"/>
  <c r="J57" i="158"/>
  <c r="K56" i="158" s="1"/>
  <c r="I60" i="27"/>
  <c r="J59" i="27"/>
  <c r="AU14" i="2"/>
  <c r="K56" i="28"/>
  <c r="K57" i="164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K57" i="78"/>
  <c r="C12" i="14"/>
  <c r="E13" i="14"/>
  <c r="J13" i="14"/>
  <c r="K13" i="14" s="1"/>
  <c r="GR13" i="2"/>
  <c r="C11" i="13"/>
  <c r="E12" i="13"/>
  <c r="J12" i="13"/>
  <c r="K12" i="13" s="1"/>
  <c r="BQ14" i="2"/>
  <c r="C7" i="146"/>
  <c r="E8" i="146"/>
  <c r="J8" i="146"/>
  <c r="K8" i="146" s="1"/>
  <c r="E13" i="50"/>
  <c r="C12" i="50"/>
  <c r="AT13" i="2"/>
  <c r="J13" i="50"/>
  <c r="K13" i="50" s="1"/>
  <c r="I56" i="47"/>
  <c r="J55" i="47"/>
  <c r="J57" i="28"/>
  <c r="I58" i="28"/>
  <c r="I60" i="32"/>
  <c r="J59" i="32"/>
  <c r="I57" i="123"/>
  <c r="J56" i="123"/>
  <c r="K54" i="108"/>
  <c r="DI13" i="2"/>
  <c r="I56" i="91"/>
  <c r="J55" i="91"/>
  <c r="K54" i="91" s="1"/>
  <c r="I59" i="78"/>
  <c r="J58" i="78"/>
  <c r="I57" i="155"/>
  <c r="J56" i="155"/>
  <c r="C12" i="52"/>
  <c r="E13" i="52"/>
  <c r="BP13" i="2"/>
  <c r="J13" i="52"/>
  <c r="K13" i="52" s="1"/>
  <c r="J55" i="109"/>
  <c r="K54" i="109" s="1"/>
  <c r="I56" i="109"/>
  <c r="K54" i="47"/>
  <c r="K57" i="51"/>
  <c r="K55" i="123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I56" i="38"/>
  <c r="J55" i="38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E12" i="125"/>
  <c r="C11" i="125"/>
  <c r="J12" i="125"/>
  <c r="K12" i="125" s="1"/>
  <c r="I56" i="96"/>
  <c r="J55" i="96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K54" i="40"/>
  <c r="C10" i="75"/>
  <c r="E11" i="75"/>
  <c r="J11" i="75"/>
  <c r="K11" i="75" s="1"/>
  <c r="J57" i="159"/>
  <c r="I58" i="159"/>
  <c r="I56" i="143"/>
  <c r="J55" i="143"/>
  <c r="K54" i="95"/>
  <c r="K54" i="86"/>
  <c r="C10" i="74"/>
  <c r="E11" i="74"/>
  <c r="J11" i="74"/>
  <c r="K11" i="74" s="1"/>
  <c r="K53" i="130"/>
  <c r="E11" i="113"/>
  <c r="C10" i="113"/>
  <c r="J11" i="113"/>
  <c r="K11" i="113" s="1"/>
  <c r="J55" i="120"/>
  <c r="I56" i="120"/>
  <c r="K58" i="134"/>
  <c r="K56" i="26"/>
  <c r="K55" i="28"/>
  <c r="K54" i="3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6" i="159"/>
  <c r="K53" i="65"/>
  <c r="E8" i="30"/>
  <c r="C7" i="30"/>
  <c r="J8" i="30"/>
  <c r="K8" i="30" s="1"/>
  <c r="K55" i="154"/>
  <c r="K57" i="24"/>
  <c r="C11" i="35"/>
  <c r="E12" i="35"/>
  <c r="J12" i="35"/>
  <c r="K12" i="35" s="1"/>
  <c r="J56" i="76"/>
  <c r="I57" i="76"/>
  <c r="E13" i="58"/>
  <c r="C12" i="58"/>
  <c r="J13" i="58"/>
  <c r="K13" i="58" s="1"/>
  <c r="E12" i="48"/>
  <c r="C11" i="48"/>
  <c r="J12" i="48"/>
  <c r="K12" i="48" s="1"/>
  <c r="I58" i="60"/>
  <c r="J57" i="60"/>
  <c r="E12" i="31"/>
  <c r="C11" i="31"/>
  <c r="CA12" i="2"/>
  <c r="J12" i="31"/>
  <c r="K12" i="31" s="1"/>
  <c r="M13" i="2"/>
  <c r="I61" i="145"/>
  <c r="J60" i="145"/>
  <c r="K56" i="164"/>
  <c r="K55" i="137"/>
  <c r="I57" i="121"/>
  <c r="J56" i="121"/>
  <c r="K55" i="121" s="1"/>
  <c r="K56" i="18"/>
  <c r="E10" i="106"/>
  <c r="C9" i="106"/>
  <c r="J10" i="106"/>
  <c r="K10" i="106" s="1"/>
  <c r="HZ14" i="2"/>
  <c r="K55" i="124"/>
  <c r="J55" i="40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4" i="154"/>
  <c r="K55" i="76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K56" i="60"/>
  <c r="E12" i="33"/>
  <c r="C11" i="33"/>
  <c r="M12" i="2"/>
  <c r="J12" i="33"/>
  <c r="K12" i="33" s="1"/>
  <c r="K58" i="145"/>
  <c r="I58" i="66"/>
  <c r="J57" i="66"/>
  <c r="I57" i="137"/>
  <c r="J56" i="137"/>
  <c r="AI12" i="1"/>
  <c r="AI13" i="1"/>
  <c r="E10" i="120"/>
  <c r="C9" i="120"/>
  <c r="J10" i="120"/>
  <c r="K10" i="120" s="1"/>
  <c r="C11" i="169"/>
  <c r="E12" i="169"/>
  <c r="HY12" i="2"/>
  <c r="J12" i="169"/>
  <c r="K12" i="169" s="1"/>
  <c r="K54" i="96"/>
  <c r="E11" i="139"/>
  <c r="C10" i="139"/>
  <c r="J11" i="139"/>
  <c r="K11" i="139" s="1"/>
  <c r="E11" i="104"/>
  <c r="C10" i="104"/>
  <c r="J11" i="104"/>
  <c r="K11" i="104" s="1"/>
  <c r="K54" i="143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AI12" i="2" s="1"/>
  <c r="E13" i="28"/>
  <c r="J13" i="28"/>
  <c r="K13" i="28" s="1"/>
  <c r="I56" i="163"/>
  <c r="J55" i="163"/>
  <c r="K54" i="163" s="1"/>
  <c r="E8" i="138"/>
  <c r="C7" i="138"/>
  <c r="J8" i="138"/>
  <c r="K8" i="138" s="1"/>
  <c r="I58" i="83"/>
  <c r="J57" i="83"/>
  <c r="K56" i="83" s="1"/>
  <c r="K54" i="39"/>
  <c r="K55" i="70"/>
  <c r="K55" i="111"/>
  <c r="K53" i="47"/>
  <c r="K56" i="66"/>
  <c r="J55" i="58"/>
  <c r="I56" i="58"/>
  <c r="E11" i="4"/>
  <c r="C10" i="4"/>
  <c r="J11" i="4"/>
  <c r="K11" i="4" s="1"/>
  <c r="BF12" i="2" l="1"/>
  <c r="AJ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C8" i="106"/>
  <c r="E9" i="106"/>
  <c r="J9" i="106"/>
  <c r="K9" i="106" s="1"/>
  <c r="E7" i="30"/>
  <c r="C6" i="30"/>
  <c r="J7" i="30"/>
  <c r="K7" i="30" s="1"/>
  <c r="E10" i="74"/>
  <c r="C9" i="74"/>
  <c r="J10" i="74"/>
  <c r="K10" i="74" s="1"/>
  <c r="HD13" i="2"/>
  <c r="E7" i="156"/>
  <c r="C6" i="156"/>
  <c r="J7" i="156"/>
  <c r="K7" i="156" s="1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K56" i="33"/>
  <c r="I59" i="41"/>
  <c r="J58" i="4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I58" i="123"/>
  <c r="J57" i="123"/>
  <c r="C8" i="37"/>
  <c r="E9" i="37"/>
  <c r="J9" i="37"/>
  <c r="K9" i="37" s="1"/>
  <c r="J59" i="9"/>
  <c r="I60" i="9"/>
  <c r="K56" i="19"/>
  <c r="E11" i="147"/>
  <c r="C10" i="147"/>
  <c r="J11" i="147"/>
  <c r="K11" i="147" s="1"/>
  <c r="J57" i="108"/>
  <c r="K56" i="108" s="1"/>
  <c r="I58" i="108"/>
  <c r="I57" i="43"/>
  <c r="J56" i="43"/>
  <c r="K55" i="43" s="1"/>
  <c r="C9" i="130"/>
  <c r="E10" i="130"/>
  <c r="J10" i="130"/>
  <c r="K10" i="130" s="1"/>
  <c r="C7" i="102"/>
  <c r="E8" i="102"/>
  <c r="J8" i="102"/>
  <c r="K8" i="102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J57" i="70"/>
  <c r="I58" i="70"/>
  <c r="BQ13" i="1"/>
  <c r="I59" i="99"/>
  <c r="J58" i="99"/>
  <c r="J59" i="164"/>
  <c r="I60" i="164"/>
  <c r="K56" i="49"/>
  <c r="C7" i="45"/>
  <c r="E8" i="45"/>
  <c r="J8" i="45"/>
  <c r="K8" i="45" s="1"/>
  <c r="I62" i="61"/>
  <c r="J61" i="61"/>
  <c r="E10" i="18"/>
  <c r="C9" i="18"/>
  <c r="J10" i="18"/>
  <c r="K10" i="18" s="1"/>
  <c r="HO12" i="2"/>
  <c r="K58" i="9"/>
  <c r="I58" i="19"/>
  <c r="J57" i="19"/>
  <c r="E11" i="88"/>
  <c r="C10" i="88"/>
  <c r="J11" i="88"/>
  <c r="K11" i="88" s="1"/>
  <c r="K57" i="72"/>
  <c r="I58" i="97"/>
  <c r="J57" i="97"/>
  <c r="K57" i="41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I57" i="125"/>
  <c r="J56" i="125"/>
  <c r="I57" i="90"/>
  <c r="J56" i="90"/>
  <c r="I60" i="89"/>
  <c r="J59" i="89"/>
  <c r="EP12" i="2"/>
  <c r="I58" i="153"/>
  <c r="J57" i="153"/>
  <c r="I58" i="20"/>
  <c r="J57" i="20"/>
  <c r="I57" i="105"/>
  <c r="J56" i="105"/>
  <c r="I60" i="98"/>
  <c r="J59" i="98"/>
  <c r="K56" i="113"/>
  <c r="K55" i="58"/>
  <c r="C9" i="139"/>
  <c r="E10" i="139"/>
  <c r="J10" i="139"/>
  <c r="K10" i="139" s="1"/>
  <c r="J57" i="121"/>
  <c r="I58" i="121"/>
  <c r="I57" i="143"/>
  <c r="J56" i="143"/>
  <c r="J57" i="144"/>
  <c r="I58" i="144"/>
  <c r="I59" i="28"/>
  <c r="J58" i="28"/>
  <c r="K55" i="125"/>
  <c r="K55" i="90"/>
  <c r="J56" i="102"/>
  <c r="I57" i="102"/>
  <c r="K58" i="89"/>
  <c r="CB13" i="1"/>
  <c r="C8" i="168"/>
  <c r="E9" i="168"/>
  <c r="J9" i="168"/>
  <c r="K9" i="168" s="1"/>
  <c r="K57" i="149"/>
  <c r="I57" i="147"/>
  <c r="J56" i="147"/>
  <c r="E9" i="85"/>
  <c r="C8" i="85"/>
  <c r="J9" i="85"/>
  <c r="K9" i="85" s="1"/>
  <c r="K55" i="20"/>
  <c r="I60" i="132"/>
  <c r="J59" i="132"/>
  <c r="I57" i="58"/>
  <c r="J56" i="58"/>
  <c r="DI12" i="2"/>
  <c r="K57" i="129"/>
  <c r="I59" i="159"/>
  <c r="J58" i="159"/>
  <c r="K57" i="159" s="1"/>
  <c r="K57" i="68"/>
  <c r="K57" i="28"/>
  <c r="C10" i="162"/>
  <c r="E11" i="162"/>
  <c r="J11" i="162"/>
  <c r="K11" i="162" s="1"/>
  <c r="E8" i="165"/>
  <c r="C7" i="165"/>
  <c r="J8" i="165"/>
  <c r="K8" i="165" s="1"/>
  <c r="K55" i="102"/>
  <c r="E11" i="89"/>
  <c r="C10" i="89"/>
  <c r="J11" i="89"/>
  <c r="K11" i="89" s="1"/>
  <c r="C10" i="97"/>
  <c r="E11" i="97"/>
  <c r="J11" i="97"/>
  <c r="K11" i="97" s="1"/>
  <c r="I59" i="149"/>
  <c r="J58" i="149"/>
  <c r="K55" i="3"/>
  <c r="C7" i="160"/>
  <c r="E8" i="160"/>
  <c r="J8" i="160"/>
  <c r="K8" i="160" s="1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I59" i="68"/>
  <c r="J58" i="68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K57" i="92"/>
  <c r="I60" i="172"/>
  <c r="J59" i="172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I59" i="92"/>
  <c r="K58" i="17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I58" i="31"/>
  <c r="I59" i="167"/>
  <c r="J58" i="167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C9" i="64"/>
  <c r="E10" i="64"/>
  <c r="J10" i="64"/>
  <c r="K10" i="64" s="1"/>
  <c r="E10" i="65"/>
  <c r="C9" i="65"/>
  <c r="J10" i="65"/>
  <c r="K10" i="65" s="1"/>
  <c r="E11" i="153"/>
  <c r="C10" i="153"/>
  <c r="J11" i="153"/>
  <c r="K11" i="153" s="1"/>
  <c r="I62" i="134"/>
  <c r="J61" i="134"/>
  <c r="E12" i="155"/>
  <c r="C11" i="155"/>
  <c r="J12" i="155"/>
  <c r="K12" i="155" s="1"/>
  <c r="C11" i="136"/>
  <c r="E12" i="136"/>
  <c r="J12" i="136"/>
  <c r="K12" i="136" s="1"/>
  <c r="K56" i="31"/>
  <c r="K57" i="167"/>
  <c r="E12" i="46"/>
  <c r="C11" i="46"/>
  <c r="J12" i="46"/>
  <c r="K12" i="46" s="1"/>
  <c r="AU13" i="2"/>
  <c r="E9" i="69"/>
  <c r="C8" i="69"/>
  <c r="J9" i="69"/>
  <c r="K9" i="69" s="1"/>
  <c r="CX11" i="2"/>
  <c r="E9" i="124"/>
  <c r="C8" i="124"/>
  <c r="J9" i="124"/>
  <c r="K9" i="124" s="1"/>
  <c r="C9" i="54"/>
  <c r="E10" i="54"/>
  <c r="J10" i="54"/>
  <c r="K10" i="54" s="1"/>
  <c r="DT11" i="2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I60" i="152"/>
  <c r="J59" i="152"/>
  <c r="K60" i="134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5" i="17"/>
  <c r="K59" i="79"/>
  <c r="E12" i="152"/>
  <c r="C11" i="152"/>
  <c r="J12" i="152"/>
  <c r="K12" i="152" s="1"/>
  <c r="J57" i="54"/>
  <c r="K56" i="54" s="1"/>
  <c r="I58" i="54"/>
  <c r="I57" i="174"/>
  <c r="J56" i="174"/>
  <c r="K55" i="174" s="1"/>
  <c r="C8" i="72"/>
  <c r="E9" i="72"/>
  <c r="J9" i="72"/>
  <c r="K9" i="72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E9" i="120"/>
  <c r="C8" i="120"/>
  <c r="J9" i="120"/>
  <c r="K9" i="120" s="1"/>
  <c r="C11" i="90"/>
  <c r="E12" i="90"/>
  <c r="J12" i="90"/>
  <c r="K12" i="90" s="1"/>
  <c r="E10" i="129"/>
  <c r="C9" i="129"/>
  <c r="J10" i="129"/>
  <c r="K10" i="129" s="1"/>
  <c r="DS10" i="2"/>
  <c r="E9" i="84"/>
  <c r="C8" i="84"/>
  <c r="J9" i="84"/>
  <c r="K9" i="84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C7" i="59"/>
  <c r="E8" i="59"/>
  <c r="J8" i="59"/>
  <c r="K8" i="59" s="1"/>
  <c r="E11" i="132"/>
  <c r="C10" i="132"/>
  <c r="J11" i="132"/>
  <c r="K11" i="132" s="1"/>
  <c r="I62" i="133"/>
  <c r="J61" i="133"/>
  <c r="I57" i="130"/>
  <c r="J56" i="130"/>
  <c r="E7" i="157"/>
  <c r="C6" i="157"/>
  <c r="J7" i="157"/>
  <c r="K7" i="157" s="1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I57" i="64"/>
  <c r="J56" i="64"/>
  <c r="K55" i="64" s="1"/>
  <c r="E9" i="173"/>
  <c r="C8" i="173"/>
  <c r="J9" i="173"/>
  <c r="K9" i="173" s="1"/>
  <c r="K57" i="173"/>
  <c r="I57" i="110"/>
  <c r="J56" i="110"/>
  <c r="J57" i="131"/>
  <c r="K56" i="131" s="1"/>
  <c r="I58" i="131"/>
  <c r="I57" i="36"/>
  <c r="J56" i="36"/>
  <c r="I60" i="26"/>
  <c r="J59" i="26"/>
  <c r="C9" i="57"/>
  <c r="E10" i="57"/>
  <c r="J10" i="57"/>
  <c r="K10" i="57" s="1"/>
  <c r="K59" i="94"/>
  <c r="K56" i="116"/>
  <c r="K56" i="80"/>
  <c r="I59" i="173"/>
  <c r="J58" i="173"/>
  <c r="K54" i="110"/>
  <c r="C8" i="62"/>
  <c r="E9" i="62"/>
  <c r="J9" i="62"/>
  <c r="K9" i="62" s="1"/>
  <c r="E10" i="19"/>
  <c r="C9" i="19"/>
  <c r="J10" i="19"/>
  <c r="K10" i="19" s="1"/>
  <c r="K57" i="157"/>
  <c r="HZ12" i="2"/>
  <c r="E11" i="133"/>
  <c r="C10" i="133"/>
  <c r="J11" i="133"/>
  <c r="K11" i="133" s="1"/>
  <c r="DH11" i="2"/>
  <c r="K55" i="109"/>
  <c r="K54" i="58"/>
  <c r="C10" i="20"/>
  <c r="E11" i="20"/>
  <c r="J11" i="20"/>
  <c r="K11" i="20" s="1"/>
  <c r="C9" i="116"/>
  <c r="E10" i="116"/>
  <c r="J10" i="116"/>
  <c r="K10" i="116" s="1"/>
  <c r="E7" i="146"/>
  <c r="C6" i="146"/>
  <c r="J7" i="146"/>
  <c r="K7" i="146" s="1"/>
  <c r="K58" i="32"/>
  <c r="K58" i="156"/>
  <c r="K55" i="36"/>
  <c r="K57" i="136"/>
  <c r="E11" i="96"/>
  <c r="C10" i="96"/>
  <c r="J11" i="96"/>
  <c r="K11" i="96" s="1"/>
  <c r="J58" i="10"/>
  <c r="K57" i="10" s="1"/>
  <c r="I59" i="10"/>
  <c r="K54" i="130"/>
  <c r="I58" i="116"/>
  <c r="J57" i="116"/>
  <c r="I58" i="80"/>
  <c r="J57" i="80"/>
  <c r="I62" i="74"/>
  <c r="J61" i="74"/>
  <c r="J56" i="141"/>
  <c r="I57" i="141"/>
  <c r="E11" i="80"/>
  <c r="C10" i="80"/>
  <c r="J11" i="80"/>
  <c r="K11" i="80" s="1"/>
  <c r="I57" i="109"/>
  <c r="J56" i="109"/>
  <c r="AJ12" i="1"/>
  <c r="I58" i="106"/>
  <c r="J57" i="106"/>
  <c r="K56" i="137"/>
  <c r="J59" i="156"/>
  <c r="I60" i="156"/>
  <c r="I57" i="35"/>
  <c r="J56" i="35"/>
  <c r="E9" i="127"/>
  <c r="C8" i="127"/>
  <c r="J9" i="127"/>
  <c r="K9" i="127" s="1"/>
  <c r="I61" i="59"/>
  <c r="J60" i="59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C9" i="128"/>
  <c r="E10" i="128"/>
  <c r="J10" i="128"/>
  <c r="K10" i="128" s="1"/>
  <c r="C8" i="171"/>
  <c r="E9" i="171"/>
  <c r="J9" i="171"/>
  <c r="K9" i="171" s="1"/>
  <c r="I58" i="119"/>
  <c r="J57" i="119"/>
  <c r="E7" i="138"/>
  <c r="C6" i="138"/>
  <c r="J7" i="138"/>
  <c r="K7" i="138" s="1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K56" i="104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0" i="60"/>
  <c r="C9" i="60"/>
  <c r="J10" i="60"/>
  <c r="K10" i="60" s="1"/>
  <c r="E11" i="79"/>
  <c r="C10" i="79"/>
  <c r="J11" i="79"/>
  <c r="K11" i="79" s="1"/>
  <c r="E12" i="3"/>
  <c r="C11" i="3"/>
  <c r="J12" i="3"/>
  <c r="K12" i="3" s="1"/>
  <c r="C8" i="73"/>
  <c r="E9" i="73"/>
  <c r="J9" i="73"/>
  <c r="K9" i="73" s="1"/>
  <c r="I57" i="8"/>
  <c r="J56" i="8"/>
  <c r="J58" i="124"/>
  <c r="I59" i="124"/>
  <c r="J59" i="142"/>
  <c r="I60" i="142"/>
  <c r="E10" i="126"/>
  <c r="C9" i="126"/>
  <c r="J10" i="126"/>
  <c r="K10" i="126" s="1"/>
  <c r="K56" i="41"/>
  <c r="K58" i="122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K59" i="27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I62" i="15"/>
  <c r="J61" i="15"/>
  <c r="K56" i="73"/>
  <c r="K55" i="171"/>
  <c r="C9" i="103"/>
  <c r="E10" i="103"/>
  <c r="J10" i="103"/>
  <c r="K10" i="103" s="1"/>
  <c r="I62" i="12"/>
  <c r="J61" i="12"/>
  <c r="J57" i="88"/>
  <c r="K56" i="88" s="1"/>
  <c r="I58" i="88"/>
  <c r="E8" i="43"/>
  <c r="C7" i="43"/>
  <c r="J8" i="43"/>
  <c r="K8" i="43" s="1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E7" i="32"/>
  <c r="C6" i="32"/>
  <c r="J7" i="32"/>
  <c r="K7" i="32" s="1"/>
  <c r="J56" i="45"/>
  <c r="I57" i="45"/>
  <c r="K59" i="145"/>
  <c r="I61" i="22"/>
  <c r="J60" i="22"/>
  <c r="E12" i="58"/>
  <c r="C11" i="58"/>
  <c r="J12" i="58"/>
  <c r="K12" i="58" s="1"/>
  <c r="K58" i="78"/>
  <c r="GS13" i="2"/>
  <c r="K57" i="158"/>
  <c r="K60" i="15"/>
  <c r="I58" i="73"/>
  <c r="J57" i="73"/>
  <c r="K55" i="138"/>
  <c r="J56" i="171"/>
  <c r="I57" i="171"/>
  <c r="K59" i="82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J58" i="158"/>
  <c r="I59" i="158"/>
  <c r="C8" i="47"/>
  <c r="E9" i="47"/>
  <c r="J9" i="47"/>
  <c r="K9" i="47" s="1"/>
  <c r="J59" i="107"/>
  <c r="I60" i="107"/>
  <c r="J60" i="82"/>
  <c r="I61" i="82"/>
  <c r="K58" i="16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AI11" i="2" s="1"/>
  <c r="J12" i="28"/>
  <c r="K12" i="28" s="1"/>
  <c r="C9" i="137"/>
  <c r="E10" i="137"/>
  <c r="J10" i="137"/>
  <c r="K10" i="137" s="1"/>
  <c r="N12" i="2"/>
  <c r="K56" i="129"/>
  <c r="K55" i="96"/>
  <c r="E11" i="164"/>
  <c r="C10" i="164"/>
  <c r="J11" i="164"/>
  <c r="K11" i="164" s="1"/>
  <c r="K54" i="171"/>
  <c r="K56" i="124"/>
  <c r="I60" i="16"/>
  <c r="J59" i="16"/>
  <c r="K55" i="144"/>
  <c r="J56" i="11"/>
  <c r="I57" i="11"/>
  <c r="C10" i="44"/>
  <c r="E11" i="44"/>
  <c r="J11" i="44"/>
  <c r="K11" i="44" s="1"/>
  <c r="K55" i="69"/>
  <c r="I58" i="39"/>
  <c r="J57" i="39"/>
  <c r="K56" i="39" s="1"/>
  <c r="I57" i="65"/>
  <c r="J56" i="65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I57" i="96"/>
  <c r="J56" i="96"/>
  <c r="C11" i="14"/>
  <c r="E12" i="14"/>
  <c r="J12" i="14"/>
  <c r="K12" i="14" s="1"/>
  <c r="GR12" i="2"/>
  <c r="K55" i="126"/>
  <c r="I58" i="86"/>
  <c r="J57" i="86"/>
  <c r="E9" i="61"/>
  <c r="C8" i="61"/>
  <c r="J9" i="61"/>
  <c r="K9" i="61" s="1"/>
  <c r="E7" i="87"/>
  <c r="C6" i="87"/>
  <c r="J7" i="87"/>
  <c r="K7" i="87" s="1"/>
  <c r="C9" i="16"/>
  <c r="E10" i="16"/>
  <c r="J10" i="16"/>
  <c r="K10" i="16" s="1"/>
  <c r="E9" i="51"/>
  <c r="C8" i="51"/>
  <c r="J9" i="51"/>
  <c r="K9" i="51" s="1"/>
  <c r="E9" i="149"/>
  <c r="C8" i="149"/>
  <c r="J9" i="149"/>
  <c r="K9" i="149" s="1"/>
  <c r="K55" i="160"/>
  <c r="E11" i="117"/>
  <c r="C10" i="117"/>
  <c r="J11" i="117"/>
  <c r="K11" i="117" s="1"/>
  <c r="J56" i="69"/>
  <c r="I57" i="69"/>
  <c r="E10" i="25"/>
  <c r="C9" i="25"/>
  <c r="J10" i="25"/>
  <c r="K10" i="25" s="1"/>
  <c r="K59" i="134"/>
  <c r="K56" i="161"/>
  <c r="I61" i="14"/>
  <c r="J60" i="14"/>
  <c r="K59" i="14" s="1"/>
  <c r="K55" i="65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J56" i="91"/>
  <c r="K55" i="91" s="1"/>
  <c r="I57" i="91"/>
  <c r="K56" i="151"/>
  <c r="I60" i="62"/>
  <c r="J59" i="62"/>
  <c r="K58" i="62" s="1"/>
  <c r="I57" i="148"/>
  <c r="J56" i="148"/>
  <c r="I59" i="25"/>
  <c r="J58" i="25"/>
  <c r="E10" i="118"/>
  <c r="C9" i="118"/>
  <c r="J10" i="118"/>
  <c r="K10" i="118" s="1"/>
  <c r="I60" i="101"/>
  <c r="J59" i="101"/>
  <c r="K58" i="101" s="1"/>
  <c r="I57" i="81"/>
  <c r="J56" i="81"/>
  <c r="C10" i="76"/>
  <c r="E11" i="76"/>
  <c r="J11" i="76"/>
  <c r="K11" i="76" s="1"/>
  <c r="K56" i="52"/>
  <c r="N13" i="1"/>
  <c r="C8" i="159"/>
  <c r="E9" i="159"/>
  <c r="J9" i="159"/>
  <c r="K9" i="159" s="1"/>
  <c r="E11" i="10"/>
  <c r="C10" i="10"/>
  <c r="J11" i="10"/>
  <c r="K11" i="10" s="1"/>
  <c r="K56" i="85"/>
  <c r="K55" i="53"/>
  <c r="I59" i="115"/>
  <c r="J58" i="115"/>
  <c r="K57" i="115" s="1"/>
  <c r="K55" i="45"/>
  <c r="E11" i="33"/>
  <c r="C10" i="33"/>
  <c r="M11" i="2"/>
  <c r="J11" i="33"/>
  <c r="K11" i="33" s="1"/>
  <c r="K55" i="120"/>
  <c r="J57" i="151"/>
  <c r="I58" i="151"/>
  <c r="K58" i="71"/>
  <c r="K56" i="5"/>
  <c r="K57" i="25"/>
  <c r="K54" i="8"/>
  <c r="E10" i="161"/>
  <c r="C9" i="161"/>
  <c r="J10" i="161"/>
  <c r="K10" i="161" s="1"/>
  <c r="K55" i="81"/>
  <c r="I58" i="52"/>
  <c r="J57" i="52"/>
  <c r="Y13" i="2"/>
  <c r="I58" i="85"/>
  <c r="J57" i="85"/>
  <c r="J58" i="165"/>
  <c r="I59" i="165"/>
  <c r="K55" i="55"/>
  <c r="K55" i="104"/>
  <c r="E11" i="95"/>
  <c r="C10" i="95"/>
  <c r="J11" i="95"/>
  <c r="K11" i="95" s="1"/>
  <c r="K55" i="40"/>
  <c r="E11" i="35"/>
  <c r="C10" i="35"/>
  <c r="J11" i="35"/>
  <c r="K11" i="35" s="1"/>
  <c r="K54" i="120"/>
  <c r="C9" i="148"/>
  <c r="E10" i="148"/>
  <c r="J10" i="148"/>
  <c r="K10" i="148" s="1"/>
  <c r="J61" i="7"/>
  <c r="I62" i="7"/>
  <c r="K57" i="107"/>
  <c r="J57" i="5"/>
  <c r="I58" i="5"/>
  <c r="E11" i="142"/>
  <c r="C10" i="142"/>
  <c r="J11" i="142"/>
  <c r="K11" i="142" s="1"/>
  <c r="K57" i="16"/>
  <c r="K57" i="93"/>
  <c r="C4" i="98"/>
  <c r="E5" i="98"/>
  <c r="J5" i="98"/>
  <c r="K5" i="98" s="1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E10" i="150"/>
  <c r="C9" i="150"/>
  <c r="J10" i="150"/>
  <c r="K10" i="150" s="1"/>
  <c r="C4" i="82"/>
  <c r="E5" i="82"/>
  <c r="J5" i="82"/>
  <c r="K5" i="82" s="1"/>
  <c r="I57" i="55"/>
  <c r="J56" i="55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60" i="7"/>
  <c r="K55" i="34"/>
  <c r="K54" i="125"/>
  <c r="E12" i="121"/>
  <c r="C11" i="121"/>
  <c r="J12" i="121"/>
  <c r="K12" i="121" s="1"/>
  <c r="K56" i="103"/>
  <c r="I59" i="93"/>
  <c r="J58" i="93"/>
  <c r="J59" i="48"/>
  <c r="I60" i="48"/>
  <c r="K54" i="147"/>
  <c r="I58" i="169"/>
  <c r="J57" i="169"/>
  <c r="C7" i="131"/>
  <c r="E8" i="131"/>
  <c r="J8" i="131"/>
  <c r="K8" i="131" s="1"/>
  <c r="J59" i="117"/>
  <c r="I60" i="117"/>
  <c r="K54" i="65"/>
  <c r="K56" i="57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97"/>
  <c r="K58" i="59"/>
  <c r="J61" i="75"/>
  <c r="I62" i="75"/>
  <c r="I58" i="56"/>
  <c r="J57" i="56"/>
  <c r="K58" i="48"/>
  <c r="C7" i="105"/>
  <c r="E8" i="105"/>
  <c r="J8" i="105"/>
  <c r="K8" i="105" s="1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I58" i="57"/>
  <c r="AJ11" i="2" l="1"/>
  <c r="E11" i="52"/>
  <c r="C10" i="52"/>
  <c r="BP11" i="2"/>
  <c r="J11" i="52"/>
  <c r="K11" i="52" s="1"/>
  <c r="C5" i="138"/>
  <c r="E6" i="138"/>
  <c r="J6" i="138"/>
  <c r="K6" i="138" s="1"/>
  <c r="I60" i="173"/>
  <c r="J59" i="173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C8" i="16"/>
  <c r="E9" i="16"/>
  <c r="J9" i="16"/>
  <c r="K9" i="16" s="1"/>
  <c r="J58" i="88"/>
  <c r="I59" i="88"/>
  <c r="J57" i="38"/>
  <c r="I58" i="38"/>
  <c r="E6" i="146"/>
  <c r="C5" i="146"/>
  <c r="J6" i="146"/>
  <c r="K6" i="146" s="1"/>
  <c r="I59" i="114"/>
  <c r="J58" i="114"/>
  <c r="E11" i="50"/>
  <c r="C10" i="50"/>
  <c r="AT11" i="2"/>
  <c r="J11" i="50"/>
  <c r="K11" i="50" s="1"/>
  <c r="K56" i="47"/>
  <c r="K58" i="129"/>
  <c r="J59" i="28"/>
  <c r="I60" i="28"/>
  <c r="E11" i="158"/>
  <c r="C10" i="158"/>
  <c r="J11" i="158"/>
  <c r="K11" i="158" s="1"/>
  <c r="E9" i="74"/>
  <c r="C8" i="74"/>
  <c r="J9" i="74"/>
  <c r="K9" i="74" s="1"/>
  <c r="K57" i="119"/>
  <c r="I59" i="106"/>
  <c r="J58" i="106"/>
  <c r="I58" i="166"/>
  <c r="J57" i="166"/>
  <c r="I58" i="47"/>
  <c r="J57" i="47"/>
  <c r="I60" i="129"/>
  <c r="J59" i="129"/>
  <c r="C9" i="162"/>
  <c r="E10" i="162"/>
  <c r="J10" i="162"/>
  <c r="K10" i="162" s="1"/>
  <c r="I59" i="144"/>
  <c r="J58" i="144"/>
  <c r="J58" i="49"/>
  <c r="K57" i="49" s="1"/>
  <c r="I59" i="49"/>
  <c r="I58" i="91"/>
  <c r="J57" i="91"/>
  <c r="J60" i="77"/>
  <c r="I61" i="77"/>
  <c r="C5" i="87"/>
  <c r="E6" i="87"/>
  <c r="J6" i="87"/>
  <c r="K6" i="87" s="1"/>
  <c r="C8" i="5"/>
  <c r="E9" i="5"/>
  <c r="J9" i="5"/>
  <c r="K9" i="5" s="1"/>
  <c r="C10" i="56"/>
  <c r="E11" i="56"/>
  <c r="J11" i="56"/>
  <c r="K11" i="56" s="1"/>
  <c r="K56" i="95"/>
  <c r="J58" i="119"/>
  <c r="I59" i="119"/>
  <c r="Y12" i="1"/>
  <c r="J58" i="170"/>
  <c r="I59" i="170"/>
  <c r="I59" i="21"/>
  <c r="J58" i="2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K56" i="91"/>
  <c r="I63" i="12"/>
  <c r="J62" i="12"/>
  <c r="J57" i="95"/>
  <c r="I58" i="95"/>
  <c r="J59" i="44"/>
  <c r="I60" i="44"/>
  <c r="I59" i="50"/>
  <c r="J58" i="50"/>
  <c r="E11" i="46"/>
  <c r="C10" i="46"/>
  <c r="AI10" i="1" s="1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K57" i="21"/>
  <c r="C5" i="30"/>
  <c r="E6" i="30"/>
  <c r="J6" i="30"/>
  <c r="K6" i="30" s="1"/>
  <c r="K56" i="38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E7" i="105"/>
  <c r="C6" i="105"/>
  <c r="J7" i="105"/>
  <c r="K7" i="105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K57" i="168"/>
  <c r="J59" i="83"/>
  <c r="I60" i="83"/>
  <c r="J59" i="159"/>
  <c r="I60" i="159"/>
  <c r="J58" i="121"/>
  <c r="I59" i="121"/>
  <c r="I62" i="32"/>
  <c r="J61" i="32"/>
  <c r="C6" i="102"/>
  <c r="E7" i="102"/>
  <c r="J7" i="102"/>
  <c r="K7" i="102" s="1"/>
  <c r="K59" i="77"/>
  <c r="K56" i="119"/>
  <c r="C10" i="58"/>
  <c r="E11" i="58"/>
  <c r="J11" i="58"/>
  <c r="K11" i="58" s="1"/>
  <c r="C8" i="103"/>
  <c r="E9" i="103"/>
  <c r="J9" i="103"/>
  <c r="K9" i="103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K58" i="83"/>
  <c r="C8" i="110"/>
  <c r="E9" i="110"/>
  <c r="J9" i="110"/>
  <c r="K9" i="110" s="1"/>
  <c r="C9" i="101"/>
  <c r="E10" i="101"/>
  <c r="J10" i="101"/>
  <c r="K10" i="101" s="1"/>
  <c r="K57" i="121"/>
  <c r="K56" i="144"/>
  <c r="E10" i="134"/>
  <c r="C9" i="134"/>
  <c r="EZ10" i="2"/>
  <c r="J10" i="134"/>
  <c r="K10" i="134" s="1"/>
  <c r="E9" i="113"/>
  <c r="C8" i="113"/>
  <c r="J9" i="113"/>
  <c r="K9" i="113" s="1"/>
  <c r="J58" i="39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E8" i="106"/>
  <c r="C7" i="106"/>
  <c r="J8" i="106"/>
  <c r="K8" i="106" s="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E9" i="130"/>
  <c r="C8" i="130"/>
  <c r="J9" i="130"/>
  <c r="K9" i="130" s="1"/>
  <c r="K58" i="157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36"/>
  <c r="E10" i="151"/>
  <c r="C9" i="151"/>
  <c r="J10" i="151"/>
  <c r="K10" i="151" s="1"/>
  <c r="J59" i="167"/>
  <c r="I60" i="167"/>
  <c r="K59" i="172"/>
  <c r="E9" i="22"/>
  <c r="C8" i="22"/>
  <c r="J9" i="22"/>
  <c r="K9" i="22" s="1"/>
  <c r="K56" i="58"/>
  <c r="BP11" i="1"/>
  <c r="E11" i="8"/>
  <c r="C10" i="8"/>
  <c r="HC11" i="2"/>
  <c r="J11" i="8"/>
  <c r="K11" i="8" s="1"/>
  <c r="I60" i="157"/>
  <c r="J59" i="157"/>
  <c r="I59" i="73"/>
  <c r="J58" i="73"/>
  <c r="I63" i="75"/>
  <c r="J62" i="75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K56" i="8"/>
  <c r="I59" i="104"/>
  <c r="J58" i="104"/>
  <c r="K56" i="141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J57" i="58"/>
  <c r="I58" i="58"/>
  <c r="C8" i="139"/>
  <c r="E9" i="139"/>
  <c r="J9" i="139"/>
  <c r="K9" i="139" s="1"/>
  <c r="BQ12" i="1"/>
  <c r="E7" i="45"/>
  <c r="C6" i="45"/>
  <c r="J7" i="45"/>
  <c r="K7" i="45" s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I58" i="8"/>
  <c r="J58" i="137"/>
  <c r="I59" i="137"/>
  <c r="K58" i="142"/>
  <c r="I59" i="131"/>
  <c r="J58" i="131"/>
  <c r="C5" i="157"/>
  <c r="E6" i="157"/>
  <c r="J6" i="157"/>
  <c r="K6" i="157" s="1"/>
  <c r="CM12" i="2"/>
  <c r="E8" i="72"/>
  <c r="C7" i="72"/>
  <c r="J8" i="72"/>
  <c r="K8" i="72" s="1"/>
  <c r="K57" i="31"/>
  <c r="I59" i="108"/>
  <c r="J58" i="108"/>
  <c r="J58" i="3"/>
  <c r="I59" i="3"/>
  <c r="E8" i="61"/>
  <c r="C7" i="61"/>
  <c r="J8" i="61"/>
  <c r="K8" i="61" s="1"/>
  <c r="GS12" i="2"/>
  <c r="BG50" i="1"/>
  <c r="BF50" i="1"/>
  <c r="I60" i="30"/>
  <c r="J59" i="30"/>
  <c r="E10" i="44"/>
  <c r="C9" i="44"/>
  <c r="J10" i="44"/>
  <c r="K10" i="44" s="1"/>
  <c r="GI50" i="2"/>
  <c r="GH50" i="2"/>
  <c r="K60" i="27"/>
  <c r="I63" i="74"/>
  <c r="J62" i="74"/>
  <c r="K57" i="131"/>
  <c r="C10" i="155"/>
  <c r="CL10" i="2" s="1"/>
  <c r="E11" i="155"/>
  <c r="J11" i="155"/>
  <c r="K11" i="155" s="1"/>
  <c r="K57" i="53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7" i="103"/>
  <c r="K57" i="111"/>
  <c r="I60" i="18"/>
  <c r="J59" i="18"/>
  <c r="AU12" i="1"/>
  <c r="I62" i="14"/>
  <c r="J61" i="14"/>
  <c r="K56" i="45"/>
  <c r="I59" i="103"/>
  <c r="J58" i="103"/>
  <c r="I59" i="111"/>
  <c r="J58" i="111"/>
  <c r="C3" i="98"/>
  <c r="E4" i="98"/>
  <c r="J4" i="98"/>
  <c r="K4" i="98" s="1"/>
  <c r="E8" i="159"/>
  <c r="C7" i="159"/>
  <c r="J8" i="159"/>
  <c r="K8" i="159" s="1"/>
  <c r="C10" i="7"/>
  <c r="E11" i="7"/>
  <c r="AT11" i="1"/>
  <c r="J11" i="7"/>
  <c r="K11" i="7" s="1"/>
  <c r="I58" i="11"/>
  <c r="J57" i="11"/>
  <c r="C48" i="24"/>
  <c r="E49" i="24"/>
  <c r="GG49" i="2"/>
  <c r="BE49" i="1"/>
  <c r="C49" i="2"/>
  <c r="C49" i="1"/>
  <c r="J49" i="24"/>
  <c r="K49" i="24" s="1"/>
  <c r="J61" i="27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K57" i="39"/>
  <c r="I60" i="165"/>
  <c r="J59" i="165"/>
  <c r="I62" i="24"/>
  <c r="J61" i="24"/>
  <c r="K60" i="24" s="1"/>
  <c r="E11" i="14"/>
  <c r="C10" i="14"/>
  <c r="J11" i="14"/>
  <c r="K11" i="14" s="1"/>
  <c r="GR11" i="2"/>
  <c r="K56" i="11"/>
  <c r="E6" i="32"/>
  <c r="C5" i="32"/>
  <c r="J6" i="32"/>
  <c r="K6" i="32" s="1"/>
  <c r="IV11" i="2"/>
  <c r="K60" i="12"/>
  <c r="E8" i="73"/>
  <c r="C7" i="73"/>
  <c r="J8" i="73"/>
  <c r="K8" i="73" s="1"/>
  <c r="K58" i="60"/>
  <c r="DI11" i="2"/>
  <c r="I58" i="110"/>
  <c r="J57" i="110"/>
  <c r="K56" i="110" s="1"/>
  <c r="J58" i="54"/>
  <c r="K57" i="54" s="1"/>
  <c r="I59" i="54"/>
  <c r="K59" i="135"/>
  <c r="C6" i="160"/>
  <c r="E7" i="160"/>
  <c r="J7" i="160"/>
  <c r="K7" i="160" s="1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I59" i="56"/>
  <c r="K61" i="75"/>
  <c r="C9" i="145"/>
  <c r="E10" i="145"/>
  <c r="J10" i="145"/>
  <c r="K10" i="145" s="1"/>
  <c r="K58" i="77"/>
  <c r="I60" i="60"/>
  <c r="J59" i="60"/>
  <c r="E11" i="55"/>
  <c r="C10" i="55"/>
  <c r="J11" i="55"/>
  <c r="K11" i="55" s="1"/>
  <c r="I59" i="80"/>
  <c r="J58" i="80"/>
  <c r="K56" i="130"/>
  <c r="E8" i="84"/>
  <c r="C7" i="84"/>
  <c r="J8" i="84"/>
  <c r="K8" i="84" s="1"/>
  <c r="I61" i="135"/>
  <c r="J60" i="135"/>
  <c r="J62" i="134"/>
  <c r="I63" i="134"/>
  <c r="IV12" i="2"/>
  <c r="E8" i="85"/>
  <c r="C7" i="85"/>
  <c r="J8" i="85"/>
  <c r="K8" i="85" s="1"/>
  <c r="J60" i="98"/>
  <c r="I61" i="98"/>
  <c r="E11" i="107"/>
  <c r="C10" i="107"/>
  <c r="J11" i="107"/>
  <c r="K11" i="107" s="1"/>
  <c r="K57" i="165"/>
  <c r="C9" i="125"/>
  <c r="E10" i="125"/>
  <c r="J10" i="125"/>
  <c r="K10" i="125" s="1"/>
  <c r="C8" i="25"/>
  <c r="E9" i="25"/>
  <c r="J9" i="25"/>
  <c r="K9" i="25" s="1"/>
  <c r="K56" i="96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DH10" i="2"/>
  <c r="I58" i="130"/>
  <c r="J57" i="130"/>
  <c r="K58" i="152"/>
  <c r="C8" i="9"/>
  <c r="E9" i="9"/>
  <c r="J9" i="9"/>
  <c r="K9" i="9" s="1"/>
  <c r="CB12" i="1"/>
  <c r="K56" i="105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K59" i="128"/>
  <c r="C7" i="86"/>
  <c r="E8" i="86"/>
  <c r="J8" i="86"/>
  <c r="K8" i="86" s="1"/>
  <c r="J58" i="116"/>
  <c r="K57" i="116" s="1"/>
  <c r="I59" i="116"/>
  <c r="K57" i="44"/>
  <c r="DT10" i="2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I61" i="9"/>
  <c r="J60" i="9"/>
  <c r="C10" i="170"/>
  <c r="E11" i="170"/>
  <c r="J11" i="170"/>
  <c r="K11" i="170" s="1"/>
  <c r="E9" i="135"/>
  <c r="C8" i="135"/>
  <c r="J9" i="135"/>
  <c r="K9" i="135" s="1"/>
  <c r="J60" i="117"/>
  <c r="I61" i="117"/>
  <c r="I58" i="34"/>
  <c r="J57" i="34"/>
  <c r="K56" i="34" s="1"/>
  <c r="K59" i="117"/>
  <c r="J58" i="161"/>
  <c r="K57" i="161" s="1"/>
  <c r="I59" i="161"/>
  <c r="J57" i="96"/>
  <c r="I58" i="96"/>
  <c r="K55" i="11"/>
  <c r="EE12" i="2"/>
  <c r="K56" i="111"/>
  <c r="C8" i="161"/>
  <c r="E9" i="161"/>
  <c r="J9" i="161"/>
  <c r="K9" i="161" s="1"/>
  <c r="I58" i="69"/>
  <c r="J57" i="69"/>
  <c r="K56" i="69" s="1"/>
  <c r="C10" i="109"/>
  <c r="E11" i="109"/>
  <c r="ED11" i="2"/>
  <c r="J11" i="109"/>
  <c r="K11" i="109" s="1"/>
  <c r="I61" i="128"/>
  <c r="J60" i="128"/>
  <c r="C10" i="3"/>
  <c r="E11" i="3"/>
  <c r="J11" i="3"/>
  <c r="K11" i="3" s="1"/>
  <c r="I62" i="71"/>
  <c r="J61" i="71"/>
  <c r="E8" i="173"/>
  <c r="C7" i="173"/>
  <c r="J8" i="173"/>
  <c r="K8" i="173" s="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7" i="97"/>
  <c r="K59" i="9"/>
  <c r="K57" i="88"/>
  <c r="J58" i="5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C8" i="129"/>
  <c r="E9" i="129"/>
  <c r="J9" i="129"/>
  <c r="K9" i="129" s="1"/>
  <c r="DS9" i="2"/>
  <c r="K56" i="146"/>
  <c r="EO11" i="2"/>
  <c r="J58" i="20"/>
  <c r="K57" i="20" s="1"/>
  <c r="I59" i="20"/>
  <c r="J58" i="97"/>
  <c r="I59" i="97"/>
  <c r="I59" i="70"/>
  <c r="J58" i="70"/>
  <c r="K58" i="164"/>
  <c r="GR10" i="2"/>
  <c r="J59" i="63"/>
  <c r="I60" i="63"/>
  <c r="I58" i="55"/>
  <c r="J57" i="55"/>
  <c r="K57" i="5"/>
  <c r="K56" i="81"/>
  <c r="I62" i="82"/>
  <c r="J61" i="82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5" i="147"/>
  <c r="K57" i="70"/>
  <c r="C8" i="83"/>
  <c r="E9" i="83"/>
  <c r="J9" i="83"/>
  <c r="K9" i="83" s="1"/>
  <c r="I61" i="127"/>
  <c r="J60" i="127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60" i="82"/>
  <c r="K57" i="30"/>
  <c r="K58" i="51"/>
  <c r="J57" i="64"/>
  <c r="I58" i="64"/>
  <c r="I60" i="92"/>
  <c r="J59" i="92"/>
  <c r="K58" i="92" s="1"/>
  <c r="C9" i="97"/>
  <c r="E10" i="97"/>
  <c r="EO10" i="2"/>
  <c r="J10" i="97"/>
  <c r="K10" i="97" s="1"/>
  <c r="K57" i="153"/>
  <c r="K58" i="98"/>
  <c r="J57" i="140"/>
  <c r="I58" i="140"/>
  <c r="E10" i="10"/>
  <c r="C9" i="10"/>
  <c r="J10" i="10"/>
  <c r="K10" i="10" s="1"/>
  <c r="C7" i="39"/>
  <c r="E8" i="39"/>
  <c r="J8" i="39"/>
  <c r="K8" i="39" s="1"/>
  <c r="K59" i="101"/>
  <c r="E10" i="41"/>
  <c r="C9" i="41"/>
  <c r="BE10" i="2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K60" i="59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C7" i="168"/>
  <c r="E8" i="168"/>
  <c r="J8" i="168"/>
  <c r="K8" i="168" s="1"/>
  <c r="I59" i="153"/>
  <c r="J58" i="153"/>
  <c r="K55" i="105"/>
  <c r="J59" i="72"/>
  <c r="K58" i="72" s="1"/>
  <c r="I60" i="72"/>
  <c r="E8" i="37"/>
  <c r="C7" i="37"/>
  <c r="J8" i="37"/>
  <c r="K8" i="37" s="1"/>
  <c r="C9" i="36"/>
  <c r="CW9" i="2" s="1"/>
  <c r="E10" i="36"/>
  <c r="J10" i="36"/>
  <c r="K10" i="36" s="1"/>
  <c r="K58" i="115"/>
  <c r="I59" i="57"/>
  <c r="J58" i="57"/>
  <c r="I59" i="126"/>
  <c r="J58" i="126"/>
  <c r="K57" i="126" s="1"/>
  <c r="J60" i="101"/>
  <c r="I61" i="101"/>
  <c r="I58" i="100"/>
  <c r="J57" i="100"/>
  <c r="J61" i="59"/>
  <c r="I62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K58" i="118"/>
  <c r="K57" i="123"/>
  <c r="E9" i="81"/>
  <c r="C8" i="81"/>
  <c r="J9" i="81"/>
  <c r="K9" i="81" s="1"/>
  <c r="Y12" i="2"/>
  <c r="C9" i="114"/>
  <c r="E10" i="114"/>
  <c r="J10" i="114"/>
  <c r="K10" i="114" s="1"/>
  <c r="I59" i="154"/>
  <c r="J58" i="154"/>
  <c r="K56" i="100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I60" i="118"/>
  <c r="J58" i="123"/>
  <c r="I59" i="123"/>
  <c r="E10" i="70"/>
  <c r="C9" i="70"/>
  <c r="J10" i="70"/>
  <c r="K10" i="70" s="1"/>
  <c r="K56" i="126"/>
  <c r="K57" i="56"/>
  <c r="K61" i="7"/>
  <c r="I61" i="48"/>
  <c r="J60" i="48"/>
  <c r="C8" i="118"/>
  <c r="E9" i="118"/>
  <c r="J9" i="118"/>
  <c r="K9" i="118" s="1"/>
  <c r="E8" i="149"/>
  <c r="C7" i="149"/>
  <c r="J8" i="149"/>
  <c r="K8" i="149" s="1"/>
  <c r="K57" i="154"/>
  <c r="E9" i="67"/>
  <c r="C8" i="67"/>
  <c r="J9" i="67"/>
  <c r="K9" i="67" s="1"/>
  <c r="C8" i="60"/>
  <c r="E9" i="60"/>
  <c r="J9" i="60"/>
  <c r="K9" i="60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K61" i="46"/>
  <c r="J58" i="85"/>
  <c r="I59" i="85"/>
  <c r="K59" i="127"/>
  <c r="E9" i="150"/>
  <c r="C8" i="150"/>
  <c r="J9" i="150"/>
  <c r="K9" i="150" s="1"/>
  <c r="K59" i="48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E10" i="71"/>
  <c r="C9" i="71"/>
  <c r="J10" i="71"/>
  <c r="K10" i="71" s="1"/>
  <c r="K56" i="67"/>
  <c r="I60" i="139"/>
  <c r="J59" i="139"/>
  <c r="CA11" i="2"/>
  <c r="K58" i="26"/>
  <c r="C7" i="62"/>
  <c r="E8" i="62"/>
  <c r="J8" i="62"/>
  <c r="K8" i="62" s="1"/>
  <c r="C6" i="59"/>
  <c r="E7" i="59"/>
  <c r="J7" i="59"/>
  <c r="K7" i="59" s="1"/>
  <c r="K57" i="162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K57" i="33"/>
  <c r="C5" i="156"/>
  <c r="E6" i="156"/>
  <c r="J6" i="156"/>
  <c r="K6" i="156" s="1"/>
  <c r="I59" i="76"/>
  <c r="J58" i="76"/>
  <c r="K57" i="76" s="1"/>
  <c r="I63" i="7"/>
  <c r="J62" i="7"/>
  <c r="K57" i="57"/>
  <c r="I59" i="169"/>
  <c r="J58" i="169"/>
  <c r="K57" i="169" s="1"/>
  <c r="E4" i="82"/>
  <c r="C3" i="82"/>
  <c r="J4" i="82"/>
  <c r="K4" i="82" s="1"/>
  <c r="C9" i="15"/>
  <c r="E10" i="15"/>
  <c r="J10" i="15"/>
  <c r="K10" i="15" s="1"/>
  <c r="K58" i="25"/>
  <c r="I60" i="158"/>
  <c r="J59" i="158"/>
  <c r="K58" i="158" s="1"/>
  <c r="K56" i="171"/>
  <c r="K59" i="71"/>
  <c r="K57" i="84"/>
  <c r="K56" i="35"/>
  <c r="K55" i="141"/>
  <c r="C7" i="120"/>
  <c r="E8" i="120"/>
  <c r="J8" i="120"/>
  <c r="K8" i="120" s="1"/>
  <c r="I59" i="162"/>
  <c r="J58" i="162"/>
  <c r="C8" i="64"/>
  <c r="E9" i="64"/>
  <c r="J9" i="64"/>
  <c r="K9" i="64" s="1"/>
  <c r="E8" i="26"/>
  <c r="C7" i="26"/>
  <c r="J8" i="26"/>
  <c r="K8" i="26" s="1"/>
  <c r="K60" i="61"/>
  <c r="K56" i="20"/>
  <c r="J58" i="33"/>
  <c r="I59" i="33"/>
  <c r="E10" i="35"/>
  <c r="C9" i="35"/>
  <c r="J10" i="35"/>
  <c r="K10" i="35" s="1"/>
  <c r="E11" i="28"/>
  <c r="C10" i="28"/>
  <c r="J11" i="28"/>
  <c r="K11" i="28" s="1"/>
  <c r="K57" i="3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C9" i="31"/>
  <c r="E10" i="31"/>
  <c r="CA10" i="2"/>
  <c r="J10" i="31"/>
  <c r="K10" i="31" s="1"/>
  <c r="J57" i="35"/>
  <c r="I58" i="35"/>
  <c r="K55" i="35"/>
  <c r="CL11" i="2"/>
  <c r="E9" i="144"/>
  <c r="C8" i="144"/>
  <c r="J9" i="144"/>
  <c r="K9" i="144" s="1"/>
  <c r="K55" i="146"/>
  <c r="K55" i="47"/>
  <c r="E7" i="165"/>
  <c r="C6" i="165"/>
  <c r="J7" i="165"/>
  <c r="K7" i="165" s="1"/>
  <c r="K56" i="90"/>
  <c r="K56" i="153"/>
  <c r="J60" i="29"/>
  <c r="K59" i="29" s="1"/>
  <c r="I61" i="29"/>
  <c r="K56" i="70"/>
  <c r="K56" i="123"/>
  <c r="K59" i="62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I60" i="25"/>
  <c r="E8" i="51"/>
  <c r="C7" i="51"/>
  <c r="J8" i="51"/>
  <c r="K8" i="51" s="1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I61" i="156"/>
  <c r="K60" i="74"/>
  <c r="C8" i="11"/>
  <c r="E9" i="11"/>
  <c r="J9" i="11"/>
  <c r="K9" i="11" s="1"/>
  <c r="K58" i="68"/>
  <c r="J57" i="90"/>
  <c r="I58" i="90"/>
  <c r="K57" i="19"/>
  <c r="K57" i="113"/>
  <c r="J62" i="46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K57" i="73"/>
  <c r="C6" i="43"/>
  <c r="E7" i="43"/>
  <c r="J7" i="43"/>
  <c r="K7" i="43" s="1"/>
  <c r="E9" i="167"/>
  <c r="C8" i="167"/>
  <c r="J9" i="167"/>
  <c r="K9" i="167" s="1"/>
  <c r="K59" i="156"/>
  <c r="K58" i="173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I60" i="68"/>
  <c r="K58" i="136"/>
  <c r="K56" i="21"/>
  <c r="K56" i="125"/>
  <c r="J58" i="19"/>
  <c r="I59" i="19"/>
  <c r="K57" i="118"/>
  <c r="N10" i="2" l="1"/>
  <c r="CM10" i="2"/>
  <c r="AJ10" i="1"/>
  <c r="CX9" i="2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E9" i="20"/>
  <c r="C8" i="20"/>
  <c r="J9" i="20"/>
  <c r="K9" i="20" s="1"/>
  <c r="J59" i="50"/>
  <c r="I60" i="50"/>
  <c r="I60" i="119"/>
  <c r="J59" i="119"/>
  <c r="J58" i="166"/>
  <c r="I59" i="166"/>
  <c r="E8" i="16"/>
  <c r="C7" i="16"/>
  <c r="J8" i="16"/>
  <c r="K8" i="16" s="1"/>
  <c r="CB10" i="2"/>
  <c r="C4" i="156"/>
  <c r="E5" i="156"/>
  <c r="J5" i="156"/>
  <c r="K5" i="156" s="1"/>
  <c r="I64" i="46"/>
  <c r="J63" i="46"/>
  <c r="E9" i="31"/>
  <c r="C8" i="31"/>
  <c r="J9" i="31"/>
  <c r="K9" i="31" s="1"/>
  <c r="E8" i="64"/>
  <c r="C7" i="64"/>
  <c r="J8" i="64"/>
  <c r="K8" i="64" s="1"/>
  <c r="E10" i="49"/>
  <c r="C9" i="49"/>
  <c r="J10" i="49"/>
  <c r="K10" i="49" s="1"/>
  <c r="C9" i="143"/>
  <c r="E10" i="143"/>
  <c r="J10" i="143"/>
  <c r="K10" i="143" s="1"/>
  <c r="E7" i="168"/>
  <c r="C6" i="168"/>
  <c r="J7" i="168"/>
  <c r="K7" i="168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C4" i="32"/>
  <c r="E5" i="32"/>
  <c r="J5" i="32"/>
  <c r="K5" i="32" s="1"/>
  <c r="J62" i="14"/>
  <c r="I63" i="14"/>
  <c r="I59" i="8"/>
  <c r="J58" i="8"/>
  <c r="K57" i="36"/>
  <c r="I63" i="22"/>
  <c r="J62" i="22"/>
  <c r="J61" i="142"/>
  <c r="I62" i="142"/>
  <c r="E8" i="126"/>
  <c r="C7" i="126"/>
  <c r="J8" i="126"/>
  <c r="K8" i="126" s="1"/>
  <c r="I61" i="44"/>
  <c r="J60" i="44"/>
  <c r="K59" i="44" s="1"/>
  <c r="K58" i="119"/>
  <c r="K60" i="62"/>
  <c r="K62" i="46"/>
  <c r="K58" i="84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I59" i="81"/>
  <c r="I63" i="82"/>
  <c r="J62" i="82"/>
  <c r="K61" i="82" s="1"/>
  <c r="I62" i="98"/>
  <c r="J61" i="98"/>
  <c r="K60" i="98" s="1"/>
  <c r="K57" i="8"/>
  <c r="J63" i="75"/>
  <c r="I64" i="75"/>
  <c r="K61" i="22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I61" i="25"/>
  <c r="J60" i="25"/>
  <c r="K59" i="25" s="1"/>
  <c r="C7" i="60"/>
  <c r="E8" i="60"/>
  <c r="J8" i="60"/>
  <c r="K8" i="60" s="1"/>
  <c r="C6" i="69"/>
  <c r="E7" i="69"/>
  <c r="J7" i="69"/>
  <c r="K7" i="69" s="1"/>
  <c r="I60" i="84"/>
  <c r="J59" i="84"/>
  <c r="J59" i="162"/>
  <c r="K58" i="162" s="1"/>
  <c r="I60" i="162"/>
  <c r="K58" i="151"/>
  <c r="K57" i="81"/>
  <c r="K56" i="160"/>
  <c r="I62" i="128"/>
  <c r="J61" i="128"/>
  <c r="K57" i="130"/>
  <c r="E10" i="42"/>
  <c r="C9" i="42"/>
  <c r="J10" i="42"/>
  <c r="K10" i="42" s="1"/>
  <c r="FV10" i="2"/>
  <c r="J60" i="30"/>
  <c r="I61" i="30"/>
  <c r="I64" i="15"/>
  <c r="J63" i="15"/>
  <c r="K58" i="104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GS11" i="2"/>
  <c r="I63" i="27"/>
  <c r="J62" i="27"/>
  <c r="K59" i="18"/>
  <c r="K62" i="15"/>
  <c r="I60" i="104"/>
  <c r="J59" i="104"/>
  <c r="J59" i="73"/>
  <c r="K58" i="73" s="1"/>
  <c r="I60" i="73"/>
  <c r="E9" i="23"/>
  <c r="C8" i="23"/>
  <c r="J9" i="23"/>
  <c r="K9" i="23" s="1"/>
  <c r="I60" i="67"/>
  <c r="J59" i="67"/>
  <c r="E7" i="115"/>
  <c r="C6" i="115"/>
  <c r="J7" i="115"/>
  <c r="K7" i="115" s="1"/>
  <c r="C5" i="105"/>
  <c r="E6" i="105"/>
  <c r="J6" i="105"/>
  <c r="K6" i="105" s="1"/>
  <c r="I62" i="89"/>
  <c r="J61" i="89"/>
  <c r="E8" i="148"/>
  <c r="C7" i="148"/>
  <c r="J8" i="148"/>
  <c r="K8" i="148" s="1"/>
  <c r="E8" i="65"/>
  <c r="C7" i="65"/>
  <c r="J8" i="65"/>
  <c r="K8" i="65" s="1"/>
  <c r="K60" i="9"/>
  <c r="DI10" i="2"/>
  <c r="C6" i="85"/>
  <c r="E7" i="85"/>
  <c r="J7" i="85"/>
  <c r="K7" i="85" s="1"/>
  <c r="I59" i="40"/>
  <c r="J58" i="40"/>
  <c r="K57" i="40" s="1"/>
  <c r="K61" i="27"/>
  <c r="I61" i="18"/>
  <c r="J60" i="18"/>
  <c r="K57" i="137"/>
  <c r="K59" i="157"/>
  <c r="K58" i="67"/>
  <c r="E9" i="21"/>
  <c r="C8" i="21"/>
  <c r="J9" i="21"/>
  <c r="K9" i="21" s="1"/>
  <c r="K62" i="12"/>
  <c r="E10" i="56"/>
  <c r="C9" i="56"/>
  <c r="J10" i="56"/>
  <c r="K10" i="56" s="1"/>
  <c r="E8" i="74"/>
  <c r="C7" i="74"/>
  <c r="J8" i="74"/>
  <c r="K8" i="74" s="1"/>
  <c r="I59" i="102"/>
  <c r="J58" i="102"/>
  <c r="C6" i="149"/>
  <c r="E7" i="149"/>
  <c r="J7" i="149"/>
  <c r="K7" i="149" s="1"/>
  <c r="K57" i="163"/>
  <c r="J62" i="59"/>
  <c r="I63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I61" i="157"/>
  <c r="K57" i="67"/>
  <c r="K59" i="142"/>
  <c r="I64" i="12"/>
  <c r="J63" i="12"/>
  <c r="K61" i="12"/>
  <c r="J58" i="125"/>
  <c r="I59" i="125"/>
  <c r="J58" i="90"/>
  <c r="I59" i="90"/>
  <c r="K57" i="90"/>
  <c r="E8" i="75"/>
  <c r="C7" i="75"/>
  <c r="J8" i="75"/>
  <c r="K8" i="75" s="1"/>
  <c r="C6" i="120"/>
  <c r="E7" i="120"/>
  <c r="J7" i="120"/>
  <c r="K7" i="120" s="1"/>
  <c r="K57" i="102"/>
  <c r="I59" i="163"/>
  <c r="J58" i="163"/>
  <c r="I59" i="55"/>
  <c r="J58" i="55"/>
  <c r="I60" i="5"/>
  <c r="J59" i="5"/>
  <c r="K58" i="5" s="1"/>
  <c r="K57" i="105"/>
  <c r="D49" i="1"/>
  <c r="AK49" i="1"/>
  <c r="Z49" i="1"/>
  <c r="O49" i="1"/>
  <c r="CC49" i="1"/>
  <c r="BR49" i="1"/>
  <c r="AV49" i="1"/>
  <c r="K61" i="15"/>
  <c r="J60" i="124"/>
  <c r="I61" i="124"/>
  <c r="E8" i="103"/>
  <c r="C7" i="103"/>
  <c r="J8" i="103"/>
  <c r="K8" i="103" s="1"/>
  <c r="K57" i="65"/>
  <c r="K56" i="65"/>
  <c r="K61" i="59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60" i="127"/>
  <c r="K56" i="55"/>
  <c r="E10" i="109"/>
  <c r="C9" i="109"/>
  <c r="ED10" i="2"/>
  <c r="J10" i="109"/>
  <c r="K10" i="109" s="1"/>
  <c r="I59" i="105"/>
  <c r="J58" i="105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124"/>
  <c r="I60" i="39"/>
  <c r="J59" i="39"/>
  <c r="C6" i="163"/>
  <c r="E7" i="163"/>
  <c r="J7" i="163"/>
  <c r="K7" i="163" s="1"/>
  <c r="I59" i="65"/>
  <c r="J58" i="65"/>
  <c r="C9" i="158"/>
  <c r="E10" i="158"/>
  <c r="J10" i="158"/>
  <c r="K10" i="158" s="1"/>
  <c r="C7" i="150"/>
  <c r="E8" i="150"/>
  <c r="J8" i="150"/>
  <c r="K8" i="150" s="1"/>
  <c r="K57" i="100"/>
  <c r="K57" i="140"/>
  <c r="I62" i="127"/>
  <c r="J61" i="127"/>
  <c r="I61" i="63"/>
  <c r="J60" i="63"/>
  <c r="K56" i="120"/>
  <c r="I64" i="134"/>
  <c r="J63" i="134"/>
  <c r="C8" i="147"/>
  <c r="E9" i="147"/>
  <c r="J9" i="147"/>
  <c r="K9" i="147" s="1"/>
  <c r="I63" i="24"/>
  <c r="J62" i="24"/>
  <c r="K61" i="24" s="1"/>
  <c r="BF49" i="1"/>
  <c r="BG49" i="1"/>
  <c r="I59" i="45"/>
  <c r="J58" i="45"/>
  <c r="K59" i="23"/>
  <c r="HD11" i="2"/>
  <c r="K60" i="22"/>
  <c r="K58" i="39"/>
  <c r="K59" i="66"/>
  <c r="E8" i="99"/>
  <c r="C7" i="99"/>
  <c r="J8" i="99"/>
  <c r="K8" i="99" s="1"/>
  <c r="E8" i="118"/>
  <c r="C7" i="118"/>
  <c r="J8" i="118"/>
  <c r="K8" i="118" s="1"/>
  <c r="J58" i="100"/>
  <c r="I59" i="100"/>
  <c r="K59" i="63"/>
  <c r="K58" i="63"/>
  <c r="K57" i="69"/>
  <c r="K59" i="149"/>
  <c r="J61" i="13"/>
  <c r="I62" i="13"/>
  <c r="K62" i="134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I61" i="66"/>
  <c r="C7" i="5"/>
  <c r="E8" i="5"/>
  <c r="J8" i="5"/>
  <c r="K8" i="5" s="1"/>
  <c r="E8" i="112"/>
  <c r="C7" i="112"/>
  <c r="J8" i="112"/>
  <c r="K8" i="112" s="1"/>
  <c r="K60" i="48"/>
  <c r="E9" i="154"/>
  <c r="C8" i="154"/>
  <c r="J9" i="154"/>
  <c r="K9" i="154" s="1"/>
  <c r="IJ9" i="2"/>
  <c r="GS10" i="2"/>
  <c r="I59" i="69"/>
  <c r="J58" i="69"/>
  <c r="J60" i="149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E7" i="61"/>
  <c r="C6" i="61"/>
  <c r="J7" i="61"/>
  <c r="K7" i="61" s="1"/>
  <c r="K57" i="43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I60" i="85"/>
  <c r="J59" i="85"/>
  <c r="I62" i="48"/>
  <c r="J61" i="48"/>
  <c r="I62" i="101"/>
  <c r="J61" i="10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BQ11" i="1"/>
  <c r="I60" i="86"/>
  <c r="J59" i="86"/>
  <c r="K58" i="165"/>
  <c r="K59" i="28"/>
  <c r="K60" i="79"/>
  <c r="K58" i="85"/>
  <c r="K58" i="154"/>
  <c r="K60" i="101"/>
  <c r="E8" i="83"/>
  <c r="C7" i="83"/>
  <c r="J8" i="83"/>
  <c r="K8" i="83" s="1"/>
  <c r="C7" i="94"/>
  <c r="E8" i="94"/>
  <c r="J8" i="94"/>
  <c r="K8" i="94" s="1"/>
  <c r="K57" i="11"/>
  <c r="I60" i="3"/>
  <c r="J59" i="3"/>
  <c r="E5" i="87"/>
  <c r="C4" i="87"/>
  <c r="J5" i="87"/>
  <c r="K5" i="87" s="1"/>
  <c r="I63" i="94"/>
  <c r="J62" i="94"/>
  <c r="J59" i="154"/>
  <c r="I60" i="154"/>
  <c r="K58" i="126"/>
  <c r="EP10" i="2"/>
  <c r="I60" i="70"/>
  <c r="J59" i="70"/>
  <c r="K57" i="147"/>
  <c r="E10" i="6"/>
  <c r="C9" i="6"/>
  <c r="CA10" i="1"/>
  <c r="IU10" i="2"/>
  <c r="J59" i="52"/>
  <c r="I60" i="52"/>
  <c r="J58" i="11"/>
  <c r="I59" i="11"/>
  <c r="E6" i="45"/>
  <c r="C5" i="45"/>
  <c r="J6" i="45"/>
  <c r="K6" i="45" s="1"/>
  <c r="C6" i="106"/>
  <c r="E7" i="106"/>
  <c r="J7" i="106"/>
  <c r="K7" i="106" s="1"/>
  <c r="FA10" i="2"/>
  <c r="E9" i="95"/>
  <c r="C8" i="95"/>
  <c r="J9" i="95"/>
  <c r="K9" i="95" s="1"/>
  <c r="I62" i="77"/>
  <c r="J61" i="77"/>
  <c r="I62" i="29"/>
  <c r="J61" i="29"/>
  <c r="K60" i="29" s="1"/>
  <c r="K61" i="42"/>
  <c r="I60" i="126"/>
  <c r="J59" i="126"/>
  <c r="C8" i="96"/>
  <c r="E9" i="96"/>
  <c r="J9" i="96"/>
  <c r="K9" i="96" s="1"/>
  <c r="I60" i="97"/>
  <c r="J59" i="97"/>
  <c r="I59" i="147"/>
  <c r="J58" i="147"/>
  <c r="K58" i="138"/>
  <c r="E7" i="84"/>
  <c r="C6" i="84"/>
  <c r="J7" i="84"/>
  <c r="K7" i="84" s="1"/>
  <c r="E6" i="160"/>
  <c r="C5" i="160"/>
  <c r="J6" i="160"/>
  <c r="K6" i="160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6" i="102"/>
  <c r="C5" i="102"/>
  <c r="J6" i="102"/>
  <c r="K6" i="102" s="1"/>
  <c r="E5" i="30"/>
  <c r="C4" i="30"/>
  <c r="J5" i="30"/>
  <c r="K5" i="30" s="1"/>
  <c r="K60" i="77"/>
  <c r="I63" i="42"/>
  <c r="J62" i="42"/>
  <c r="E6" i="43"/>
  <c r="C5" i="43"/>
  <c r="J6" i="43"/>
  <c r="K6" i="43" s="1"/>
  <c r="K58" i="57"/>
  <c r="C8" i="97"/>
  <c r="E9" i="97"/>
  <c r="J9" i="97"/>
  <c r="K9" i="97" s="1"/>
  <c r="K58" i="97"/>
  <c r="C7" i="161"/>
  <c r="E8" i="161"/>
  <c r="J8" i="161"/>
  <c r="K8" i="161" s="1"/>
  <c r="J59" i="138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K61" i="32"/>
  <c r="N11" i="1"/>
  <c r="AU11" i="2"/>
  <c r="C8" i="63"/>
  <c r="E9" i="63"/>
  <c r="J9" i="63"/>
  <c r="K9" i="63" s="1"/>
  <c r="C7" i="66"/>
  <c r="E8" i="66"/>
  <c r="J8" i="66"/>
  <c r="K8" i="66" s="1"/>
  <c r="J59" i="57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K59" i="92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C8" i="33"/>
  <c r="E9" i="33"/>
  <c r="M9" i="2"/>
  <c r="J9" i="33"/>
  <c r="K9" i="33" s="1"/>
  <c r="I60" i="87"/>
  <c r="J59" i="87"/>
  <c r="K58" i="87" s="1"/>
  <c r="I60" i="54"/>
  <c r="J59" i="54"/>
  <c r="E10" i="7"/>
  <c r="C9" i="7"/>
  <c r="AT10" i="1"/>
  <c r="J10" i="7"/>
  <c r="K10" i="7" s="1"/>
  <c r="I61" i="167"/>
  <c r="J60" i="167"/>
  <c r="J58" i="112"/>
  <c r="I59" i="112"/>
  <c r="J59" i="121"/>
  <c r="I60" i="121"/>
  <c r="K60" i="32"/>
  <c r="I60" i="49"/>
  <c r="J59" i="49"/>
  <c r="I61" i="173"/>
  <c r="J60" i="173"/>
  <c r="C5" i="59"/>
  <c r="E6" i="59"/>
  <c r="J6" i="59"/>
  <c r="K6" i="59" s="1"/>
  <c r="E6" i="165"/>
  <c r="C5" i="165"/>
  <c r="J6" i="165"/>
  <c r="K6" i="165" s="1"/>
  <c r="C8" i="79"/>
  <c r="E9" i="79"/>
  <c r="J9" i="79"/>
  <c r="K9" i="79" s="1"/>
  <c r="EP11" i="2"/>
  <c r="I60" i="80"/>
  <c r="J59" i="80"/>
  <c r="K58" i="54"/>
  <c r="I61" i="41"/>
  <c r="J60" i="41"/>
  <c r="K58" i="121"/>
  <c r="C9" i="12"/>
  <c r="X10" i="2"/>
  <c r="E10" i="12"/>
  <c r="M10" i="1"/>
  <c r="J10" i="12"/>
  <c r="K10" i="12" s="1"/>
  <c r="K58" i="114"/>
  <c r="E8" i="4"/>
  <c r="C7" i="4"/>
  <c r="J8" i="4"/>
  <c r="K8" i="4" s="1"/>
  <c r="CB11" i="2"/>
  <c r="I59" i="64"/>
  <c r="J58" i="64"/>
  <c r="C2" i="82"/>
  <c r="J3" i="82"/>
  <c r="K3" i="82" s="1"/>
  <c r="E3" i="82"/>
  <c r="J59" i="123"/>
  <c r="I60" i="123"/>
  <c r="K56" i="64"/>
  <c r="C8" i="153"/>
  <c r="E9" i="153"/>
  <c r="J9" i="153"/>
  <c r="K9" i="153" s="1"/>
  <c r="J60" i="113"/>
  <c r="I61" i="113"/>
  <c r="K57" i="110"/>
  <c r="K59" i="164"/>
  <c r="C6" i="72"/>
  <c r="E7" i="72"/>
  <c r="J7" i="72"/>
  <c r="K7" i="72" s="1"/>
  <c r="E8" i="139"/>
  <c r="C7" i="139"/>
  <c r="J8" i="139"/>
  <c r="K8" i="139" s="1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E10" i="152"/>
  <c r="C9" i="152"/>
  <c r="J10" i="152"/>
  <c r="K10" i="152" s="1"/>
  <c r="K59" i="78"/>
  <c r="E9" i="35"/>
  <c r="C8" i="35"/>
  <c r="J9" i="35"/>
  <c r="K9" i="35" s="1"/>
  <c r="J60" i="139"/>
  <c r="I61" i="139"/>
  <c r="K58" i="123"/>
  <c r="DT9" i="2"/>
  <c r="I61" i="99"/>
  <c r="J60" i="99"/>
  <c r="C9" i="55"/>
  <c r="FK9" i="2" s="1"/>
  <c r="E10" i="55"/>
  <c r="J10" i="55"/>
  <c r="K10" i="55" s="1"/>
  <c r="I59" i="110"/>
  <c r="J58" i="110"/>
  <c r="E7" i="159"/>
  <c r="C6" i="159"/>
  <c r="J7" i="159"/>
  <c r="K7" i="159" s="1"/>
  <c r="I59" i="58"/>
  <c r="J58" i="58"/>
  <c r="C7" i="130"/>
  <c r="E8" i="130"/>
  <c r="J8" i="130"/>
  <c r="K8" i="130" s="1"/>
  <c r="K58" i="159"/>
  <c r="I60" i="144"/>
  <c r="J59" i="144"/>
  <c r="K58" i="144" s="1"/>
  <c r="K56" i="166"/>
  <c r="I61" i="37"/>
  <c r="J60" i="37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CW8" i="2" s="1"/>
  <c r="J9" i="36"/>
  <c r="K9" i="36" s="1"/>
  <c r="K59" i="51"/>
  <c r="I59" i="96"/>
  <c r="J58" i="96"/>
  <c r="K59" i="99"/>
  <c r="C9" i="155"/>
  <c r="E10" i="155"/>
  <c r="J10" i="155"/>
  <c r="K10" i="155" s="1"/>
  <c r="K57" i="58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E5" i="138"/>
  <c r="C4" i="138"/>
  <c r="J5" i="138"/>
  <c r="K5" i="138" s="1"/>
  <c r="J61" i="156"/>
  <c r="I62" i="156"/>
  <c r="I59" i="148"/>
  <c r="J58" i="148"/>
  <c r="I60" i="19"/>
  <c r="J59" i="19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C7" i="25"/>
  <c r="E8" i="25"/>
  <c r="J8" i="25"/>
  <c r="K8" i="25" s="1"/>
  <c r="K57" i="52"/>
  <c r="K60" i="172"/>
  <c r="K59" i="83"/>
  <c r="K58" i="21"/>
  <c r="E5" i="146"/>
  <c r="C4" i="146"/>
  <c r="J5" i="146"/>
  <c r="K5" i="146" s="1"/>
  <c r="K60" i="89"/>
  <c r="E7" i="62"/>
  <c r="C6" i="62"/>
  <c r="J7" i="62"/>
  <c r="K7" i="62" s="1"/>
  <c r="I62" i="78"/>
  <c r="J61" i="78"/>
  <c r="K58" i="19"/>
  <c r="E7" i="37"/>
  <c r="C6" i="37"/>
  <c r="J7" i="37"/>
  <c r="K7" i="37" s="1"/>
  <c r="C7" i="129"/>
  <c r="E8" i="129"/>
  <c r="J8" i="129"/>
  <c r="K8" i="129" s="1"/>
  <c r="DS8" i="2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I64" i="145"/>
  <c r="J63" i="145"/>
  <c r="C9" i="29"/>
  <c r="X9" i="1" s="1"/>
  <c r="E10" i="29"/>
  <c r="J10" i="29"/>
  <c r="K10" i="29" s="1"/>
  <c r="X10" i="1"/>
  <c r="J59" i="2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C6" i="173"/>
  <c r="E7" i="173"/>
  <c r="J7" i="173"/>
  <c r="K7" i="173" s="1"/>
  <c r="E9" i="140"/>
  <c r="C8" i="140"/>
  <c r="AI9" i="2"/>
  <c r="J9" i="140"/>
  <c r="K9" i="140" s="1"/>
  <c r="K62" i="74"/>
  <c r="K58" i="31"/>
  <c r="K58" i="167"/>
  <c r="K62" i="145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K62" i="7"/>
  <c r="J63" i="7"/>
  <c r="I64" i="7"/>
  <c r="K57" i="171"/>
  <c r="I61" i="72"/>
  <c r="J60" i="72"/>
  <c r="K59" i="13"/>
  <c r="K58" i="18"/>
  <c r="I60" i="53"/>
  <c r="J59" i="53"/>
  <c r="C2" i="98"/>
  <c r="E3" i="98"/>
  <c r="J3" i="98"/>
  <c r="K3" i="98" s="1"/>
  <c r="J63" i="74"/>
  <c r="I64" i="74"/>
  <c r="E5" i="157"/>
  <c r="C4" i="157"/>
  <c r="J5" i="157"/>
  <c r="K5" i="157" s="1"/>
  <c r="J59" i="31"/>
  <c r="I60" i="31"/>
  <c r="I59" i="141"/>
  <c r="J58" i="141"/>
  <c r="K60" i="152"/>
  <c r="K57" i="109"/>
  <c r="K57" i="50"/>
  <c r="I61" i="129"/>
  <c r="J60" i="129"/>
  <c r="K59" i="129" s="1"/>
  <c r="J58" i="38"/>
  <c r="I59" i="38"/>
  <c r="E10" i="90"/>
  <c r="C9" i="90"/>
  <c r="J10" i="90"/>
  <c r="K10" i="90" s="1"/>
  <c r="K59" i="37"/>
  <c r="K57" i="4"/>
  <c r="K60" i="71"/>
  <c r="E9" i="125"/>
  <c r="C8" i="125"/>
  <c r="J9" i="125"/>
  <c r="K9" i="125" s="1"/>
  <c r="C6" i="73"/>
  <c r="E7" i="73"/>
  <c r="J7" i="73"/>
  <c r="K7" i="73" s="1"/>
  <c r="K57" i="104"/>
  <c r="I62" i="152"/>
  <c r="J61" i="152"/>
  <c r="K58" i="168"/>
  <c r="AJ11" i="1"/>
  <c r="I60" i="170"/>
  <c r="J59" i="170"/>
  <c r="K57" i="47"/>
  <c r="K60" i="156"/>
  <c r="HO10" i="2"/>
  <c r="J60" i="93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BE9" i="2" s="1"/>
  <c r="J10" i="53"/>
  <c r="K10" i="53" s="1"/>
  <c r="I60" i="168"/>
  <c r="J59" i="168"/>
  <c r="E7" i="171"/>
  <c r="C6" i="171"/>
  <c r="J7" i="171"/>
  <c r="K7" i="171" s="1"/>
  <c r="C7" i="116"/>
  <c r="E8" i="116"/>
  <c r="J8" i="116"/>
  <c r="K8" i="116" s="1"/>
  <c r="I59" i="47"/>
  <c r="J58" i="47"/>
  <c r="J59" i="88"/>
  <c r="I60" i="88"/>
  <c r="C7" i="167"/>
  <c r="E8" i="167"/>
  <c r="J8" i="167"/>
  <c r="K8" i="167" s="1"/>
  <c r="FL11" i="2"/>
  <c r="K59" i="93"/>
  <c r="K56" i="102"/>
  <c r="K59" i="7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K58" i="88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51"/>
  <c r="C6" i="51"/>
  <c r="J7" i="51"/>
  <c r="K7" i="51" s="1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K60" i="117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BF9" i="2" l="1"/>
  <c r="Y9" i="1"/>
  <c r="CX8" i="2"/>
  <c r="FL9" i="2"/>
  <c r="E6" i="47"/>
  <c r="C5" i="47"/>
  <c r="J6" i="47"/>
  <c r="K6" i="47" s="1"/>
  <c r="I60" i="171"/>
  <c r="J59" i="171"/>
  <c r="E8" i="71"/>
  <c r="C7" i="71"/>
  <c r="J8" i="71"/>
  <c r="K8" i="71" s="1"/>
  <c r="E8" i="101"/>
  <c r="C7" i="101"/>
  <c r="J8" i="101"/>
  <c r="K8" i="101" s="1"/>
  <c r="I61" i="114"/>
  <c r="J60" i="114"/>
  <c r="C4" i="165"/>
  <c r="E5" i="165"/>
  <c r="J5" i="165"/>
  <c r="K5" i="165" s="1"/>
  <c r="K60" i="92"/>
  <c r="I60" i="11"/>
  <c r="J59" i="11"/>
  <c r="I61" i="85"/>
  <c r="J60" i="85"/>
  <c r="C7" i="147"/>
  <c r="E8" i="147"/>
  <c r="J8" i="147"/>
  <c r="K8" i="147" s="1"/>
  <c r="C8" i="14"/>
  <c r="E9" i="14"/>
  <c r="J9" i="14"/>
  <c r="K9" i="14" s="1"/>
  <c r="GR9" i="2"/>
  <c r="E5" i="105"/>
  <c r="C4" i="105"/>
  <c r="J5" i="105"/>
  <c r="K5" i="105" s="1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I62" i="93"/>
  <c r="K60" i="93"/>
  <c r="I60" i="38"/>
  <c r="J59" i="38"/>
  <c r="AJ10" i="2"/>
  <c r="C8" i="91"/>
  <c r="E9" i="91"/>
  <c r="J9" i="91"/>
  <c r="K9" i="91" s="1"/>
  <c r="E2" i="82"/>
  <c r="F67" i="82"/>
  <c r="J2" i="82"/>
  <c r="K2" i="82" s="1"/>
  <c r="I62" i="92"/>
  <c r="J61" i="92"/>
  <c r="E9" i="50"/>
  <c r="C8" i="50"/>
  <c r="AT9" i="2"/>
  <c r="J9" i="50"/>
  <c r="K9" i="50" s="1"/>
  <c r="E8" i="97"/>
  <c r="C7" i="97"/>
  <c r="J8" i="97"/>
  <c r="K8" i="97" s="1"/>
  <c r="C5" i="84"/>
  <c r="E6" i="84"/>
  <c r="J6" i="84"/>
  <c r="K6" i="84" s="1"/>
  <c r="K58" i="11"/>
  <c r="K60" i="28"/>
  <c r="I60" i="69"/>
  <c r="J59" i="69"/>
  <c r="K58" i="69" s="1"/>
  <c r="K59" i="5"/>
  <c r="E9" i="56"/>
  <c r="C8" i="56"/>
  <c r="J9" i="56"/>
  <c r="K9" i="56" s="1"/>
  <c r="I61" i="106"/>
  <c r="J60" i="106"/>
  <c r="E8" i="13"/>
  <c r="C7" i="13"/>
  <c r="J8" i="13"/>
  <c r="K8" i="13" s="1"/>
  <c r="IU8" i="2"/>
  <c r="I60" i="91"/>
  <c r="J59" i="91"/>
  <c r="E8" i="63"/>
  <c r="C7" i="63"/>
  <c r="J8" i="63"/>
  <c r="K8" i="63" s="1"/>
  <c r="I61" i="52"/>
  <c r="J60" i="52"/>
  <c r="J61" i="28"/>
  <c r="I62" i="28"/>
  <c r="J64" i="134"/>
  <c r="K63" i="134" s="1"/>
  <c r="I65" i="134"/>
  <c r="I61" i="5"/>
  <c r="J60" i="5"/>
  <c r="C5" i="115"/>
  <c r="E6" i="115"/>
  <c r="J6" i="115"/>
  <c r="K6" i="115" s="1"/>
  <c r="K59" i="106"/>
  <c r="E4" i="156"/>
  <c r="C3" i="156"/>
  <c r="J4" i="156"/>
  <c r="K4" i="156" s="1"/>
  <c r="J61" i="158"/>
  <c r="I62" i="158"/>
  <c r="K58" i="91"/>
  <c r="K59" i="52"/>
  <c r="K60" i="115"/>
  <c r="I63" i="13"/>
  <c r="J62" i="13"/>
  <c r="K58" i="55"/>
  <c r="K63" i="15"/>
  <c r="C6" i="57"/>
  <c r="E7" i="57"/>
  <c r="J7" i="57"/>
  <c r="K7" i="57" s="1"/>
  <c r="I61" i="116"/>
  <c r="J60" i="116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C6" i="130"/>
  <c r="E7" i="130"/>
  <c r="J7" i="130"/>
  <c r="K7" i="130" s="1"/>
  <c r="E9" i="174"/>
  <c r="C8" i="174"/>
  <c r="J9" i="174"/>
  <c r="K9" i="174" s="1"/>
  <c r="E5" i="59"/>
  <c r="C4" i="59"/>
  <c r="J5" i="59"/>
  <c r="K5" i="59" s="1"/>
  <c r="C7" i="70"/>
  <c r="E8" i="70"/>
  <c r="J8" i="70"/>
  <c r="K8" i="70" s="1"/>
  <c r="E5" i="43"/>
  <c r="C4" i="43"/>
  <c r="J5" i="43"/>
  <c r="K5" i="43" s="1"/>
  <c r="IV10" i="2"/>
  <c r="I62" i="115"/>
  <c r="J61" i="115"/>
  <c r="IK9" i="2"/>
  <c r="K61" i="13"/>
  <c r="K60" i="63"/>
  <c r="J59" i="140"/>
  <c r="K58" i="140" s="1"/>
  <c r="I60" i="140"/>
  <c r="J59" i="55"/>
  <c r="I60" i="55"/>
  <c r="E6" i="40"/>
  <c r="C5" i="40"/>
  <c r="J6" i="40"/>
  <c r="K6" i="40" s="1"/>
  <c r="K59" i="67"/>
  <c r="J64" i="15"/>
  <c r="I65" i="15"/>
  <c r="C5" i="173"/>
  <c r="E6" i="173"/>
  <c r="J6" i="173"/>
  <c r="K6" i="173" s="1"/>
  <c r="I61" i="169"/>
  <c r="J60" i="169"/>
  <c r="K60" i="173"/>
  <c r="K57" i="91"/>
  <c r="I60" i="147"/>
  <c r="J59" i="147"/>
  <c r="CB10" i="1"/>
  <c r="I62" i="63"/>
  <c r="J61" i="63"/>
  <c r="K58" i="163"/>
  <c r="E8" i="21"/>
  <c r="C7" i="21"/>
  <c r="J8" i="21"/>
  <c r="K8" i="21" s="1"/>
  <c r="J60" i="67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DT8" i="2"/>
  <c r="J59" i="58"/>
  <c r="K58" i="58" s="1"/>
  <c r="I60" i="58"/>
  <c r="I60" i="143"/>
  <c r="J59" i="143"/>
  <c r="J61" i="173"/>
  <c r="I62" i="173"/>
  <c r="E9" i="6"/>
  <c r="C8" i="6"/>
  <c r="CA9" i="1"/>
  <c r="E8" i="154"/>
  <c r="C7" i="154"/>
  <c r="J8" i="154"/>
  <c r="K8" i="154" s="1"/>
  <c r="K61" i="127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K59" i="49"/>
  <c r="J63" i="42"/>
  <c r="I64" i="42"/>
  <c r="I61" i="97"/>
  <c r="J60" i="97"/>
  <c r="K59" i="86"/>
  <c r="C8" i="100"/>
  <c r="E9" i="100"/>
  <c r="J9" i="100"/>
  <c r="K9" i="100" s="1"/>
  <c r="J62" i="127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K60" i="158"/>
  <c r="I62" i="159"/>
  <c r="J61" i="159"/>
  <c r="K60" i="159" s="1"/>
  <c r="I61" i="170"/>
  <c r="J60" i="170"/>
  <c r="E9" i="52"/>
  <c r="C8" i="52"/>
  <c r="BP9" i="2"/>
  <c r="J9" i="52"/>
  <c r="K9" i="52" s="1"/>
  <c r="E4" i="166"/>
  <c r="C3" i="166"/>
  <c r="J4" i="166"/>
  <c r="K4" i="166" s="1"/>
  <c r="E7" i="129"/>
  <c r="C6" i="129"/>
  <c r="J7" i="129"/>
  <c r="K7" i="129" s="1"/>
  <c r="DS7" i="2"/>
  <c r="K59" i="70"/>
  <c r="I60" i="100"/>
  <c r="J59" i="100"/>
  <c r="IK10" i="2"/>
  <c r="J60" i="73"/>
  <c r="I61" i="73"/>
  <c r="C8" i="42"/>
  <c r="E9" i="42"/>
  <c r="J9" i="42"/>
  <c r="K9" i="42" s="1"/>
  <c r="FV9" i="2"/>
  <c r="J60" i="31"/>
  <c r="I61" i="31"/>
  <c r="E7" i="137"/>
  <c r="C6" i="137"/>
  <c r="J7" i="137"/>
  <c r="K7" i="137" s="1"/>
  <c r="K58" i="96"/>
  <c r="I61" i="121"/>
  <c r="J60" i="121"/>
  <c r="K62" i="32"/>
  <c r="I65" i="61"/>
  <c r="J64" i="61"/>
  <c r="E4" i="30"/>
  <c r="C3" i="30"/>
  <c r="J4" i="30"/>
  <c r="K4" i="30" s="1"/>
  <c r="C7" i="96"/>
  <c r="E8" i="96"/>
  <c r="J8" i="96"/>
  <c r="K8" i="96" s="1"/>
  <c r="J60" i="70"/>
  <c r="I61" i="70"/>
  <c r="K58" i="10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C5" i="159"/>
  <c r="E6" i="159"/>
  <c r="J6" i="159"/>
  <c r="K6" i="159" s="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K59" i="31"/>
  <c r="C5" i="37"/>
  <c r="E6" i="37"/>
  <c r="J6" i="37"/>
  <c r="K6" i="37" s="1"/>
  <c r="K59" i="19"/>
  <c r="I60" i="96"/>
  <c r="J59" i="96"/>
  <c r="C4" i="34"/>
  <c r="E5" i="34"/>
  <c r="J5" i="34"/>
  <c r="K5" i="34" s="1"/>
  <c r="K58" i="49"/>
  <c r="K59" i="121"/>
  <c r="C7" i="15"/>
  <c r="E8" i="15"/>
  <c r="J8" i="15"/>
  <c r="K8" i="15" s="1"/>
  <c r="J63" i="32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C5" i="120"/>
  <c r="E6" i="120"/>
  <c r="J6" i="120"/>
  <c r="K6" i="120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I60" i="110"/>
  <c r="J59" i="110"/>
  <c r="J59" i="112"/>
  <c r="I60" i="112"/>
  <c r="I61" i="126"/>
  <c r="J60" i="126"/>
  <c r="J59" i="43"/>
  <c r="I60" i="43"/>
  <c r="C6" i="118"/>
  <c r="E7" i="118"/>
  <c r="J7" i="118"/>
  <c r="K7" i="118" s="1"/>
  <c r="C6" i="150"/>
  <c r="E7" i="150"/>
  <c r="J7" i="150"/>
  <c r="K7" i="150" s="1"/>
  <c r="J60" i="104"/>
  <c r="K59" i="104" s="1"/>
  <c r="I61" i="104"/>
  <c r="I63" i="142"/>
  <c r="J62" i="142"/>
  <c r="I61" i="50"/>
  <c r="J60" i="50"/>
  <c r="J59" i="174"/>
  <c r="I60" i="174"/>
  <c r="E4" i="157"/>
  <c r="C3" i="157"/>
  <c r="J4" i="157"/>
  <c r="K4" i="157" s="1"/>
  <c r="N10" i="1"/>
  <c r="K62" i="61"/>
  <c r="I61" i="108"/>
  <c r="J60" i="108"/>
  <c r="K59" i="108" s="1"/>
  <c r="K58" i="86"/>
  <c r="K62" i="79"/>
  <c r="E7" i="75"/>
  <c r="C6" i="75"/>
  <c r="J7" i="75"/>
  <c r="K7" i="75" s="1"/>
  <c r="K57" i="55"/>
  <c r="K61" i="128"/>
  <c r="E6" i="168"/>
  <c r="C5" i="168"/>
  <c r="J6" i="168"/>
  <c r="K6" i="168" s="1"/>
  <c r="K59" i="50"/>
  <c r="I61" i="56"/>
  <c r="J60" i="56"/>
  <c r="I60" i="34"/>
  <c r="J59" i="34"/>
  <c r="I63" i="152"/>
  <c r="J62" i="152"/>
  <c r="E8" i="162"/>
  <c r="C7" i="162"/>
  <c r="J8" i="162"/>
  <c r="K8" i="162" s="1"/>
  <c r="K61" i="78"/>
  <c r="I60" i="148"/>
  <c r="J59" i="148"/>
  <c r="E8" i="36"/>
  <c r="C7" i="36"/>
  <c r="J8" i="36"/>
  <c r="K8" i="36" s="1"/>
  <c r="E7" i="139"/>
  <c r="C6" i="139"/>
  <c r="J7" i="139"/>
  <c r="K7" i="139" s="1"/>
  <c r="C8" i="28"/>
  <c r="E9" i="28"/>
  <c r="J9" i="28"/>
  <c r="K9" i="28" s="1"/>
  <c r="K57" i="112"/>
  <c r="I63" i="164"/>
  <c r="J62" i="164"/>
  <c r="E5" i="102"/>
  <c r="C4" i="102"/>
  <c r="J5" i="102"/>
  <c r="K5" i="102" s="1"/>
  <c r="J60" i="154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I60" i="40"/>
  <c r="J59" i="40"/>
  <c r="I63" i="128"/>
  <c r="J62" i="128"/>
  <c r="K59" i="30"/>
  <c r="K60" i="142"/>
  <c r="K59" i="56"/>
  <c r="J62" i="78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K61" i="164"/>
  <c r="K59" i="154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I61" i="88"/>
  <c r="J63" i="7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K62" i="94"/>
  <c r="BG48" i="1"/>
  <c r="BF48" i="1"/>
  <c r="C6" i="5"/>
  <c r="E7" i="5"/>
  <c r="J7" i="5"/>
  <c r="K7" i="5" s="1"/>
  <c r="J59" i="90"/>
  <c r="I60" i="90"/>
  <c r="J63" i="27"/>
  <c r="I64" i="27"/>
  <c r="J62" i="98"/>
  <c r="I63" i="98"/>
  <c r="K62" i="75"/>
  <c r="C7" i="20"/>
  <c r="E8" i="20"/>
  <c r="J8" i="20"/>
  <c r="K8" i="20" s="1"/>
  <c r="K60" i="51"/>
  <c r="K59" i="131"/>
  <c r="E6" i="62"/>
  <c r="C5" i="62"/>
  <c r="J6" i="62"/>
  <c r="K6" i="62" s="1"/>
  <c r="C6" i="81"/>
  <c r="E7" i="81"/>
  <c r="J7" i="81"/>
  <c r="K7" i="81" s="1"/>
  <c r="I62" i="99"/>
  <c r="J61" i="99"/>
  <c r="K57" i="143"/>
  <c r="HY9" i="2"/>
  <c r="FA9" i="2"/>
  <c r="K59" i="158"/>
  <c r="I64" i="94"/>
  <c r="J63" i="94"/>
  <c r="GI48" i="2"/>
  <c r="GH48" i="2"/>
  <c r="E6" i="61"/>
  <c r="C5" i="61"/>
  <c r="J6" i="61"/>
  <c r="K6" i="61" s="1"/>
  <c r="K59" i="115"/>
  <c r="J59" i="65"/>
  <c r="I60" i="65"/>
  <c r="K58" i="90"/>
  <c r="C5" i="85"/>
  <c r="E6" i="85"/>
  <c r="J6" i="85"/>
  <c r="K6" i="85" s="1"/>
  <c r="K61" i="94"/>
  <c r="K60" i="128"/>
  <c r="E9" i="143"/>
  <c r="C8" i="143"/>
  <c r="J9" i="143"/>
  <c r="K9" i="143" s="1"/>
  <c r="Y10" i="1"/>
  <c r="E6" i="72"/>
  <c r="C5" i="72"/>
  <c r="J6" i="72"/>
  <c r="K6" i="72" s="1"/>
  <c r="AU10" i="1"/>
  <c r="E8" i="169"/>
  <c r="C7" i="169"/>
  <c r="HY8" i="2"/>
  <c r="J8" i="169"/>
  <c r="K8" i="169" s="1"/>
  <c r="C7" i="134"/>
  <c r="E8" i="134"/>
  <c r="EZ8" i="2"/>
  <c r="J8" i="134"/>
  <c r="K8" i="134" s="1"/>
  <c r="K61" i="77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7" i="120"/>
  <c r="K58" i="8"/>
  <c r="K59" i="170"/>
  <c r="I60" i="109"/>
  <c r="J59" i="109"/>
  <c r="J62" i="26"/>
  <c r="I63" i="26"/>
  <c r="E6" i="51"/>
  <c r="C5" i="51"/>
  <c r="J6" i="51"/>
  <c r="K6" i="51" s="1"/>
  <c r="I60" i="47"/>
  <c r="J59" i="47"/>
  <c r="K58" i="47" s="1"/>
  <c r="E2" i="98"/>
  <c r="F67" i="98"/>
  <c r="J2" i="98"/>
  <c r="K2" i="98" s="1"/>
  <c r="E4" i="138"/>
  <c r="C3" i="138"/>
  <c r="J4" i="138"/>
  <c r="K4" i="138" s="1"/>
  <c r="K59" i="167"/>
  <c r="E9" i="7"/>
  <c r="C8" i="7"/>
  <c r="AT9" i="1"/>
  <c r="J9" i="7"/>
  <c r="K9" i="7" s="1"/>
  <c r="C6" i="68"/>
  <c r="E7" i="68"/>
  <c r="J7" i="68"/>
  <c r="K7" i="68" s="1"/>
  <c r="J62" i="77"/>
  <c r="I63" i="77"/>
  <c r="C3" i="87"/>
  <c r="E4" i="87"/>
  <c r="J4" i="87"/>
  <c r="K4" i="87" s="1"/>
  <c r="C6" i="103"/>
  <c r="E7" i="103"/>
  <c r="J7" i="103"/>
  <c r="K7" i="103" s="1"/>
  <c r="K58" i="125"/>
  <c r="C7" i="10"/>
  <c r="E8" i="10"/>
  <c r="J8" i="10"/>
  <c r="K8" i="10" s="1"/>
  <c r="K58" i="130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E6" i="73"/>
  <c r="C5" i="73"/>
  <c r="J6" i="73"/>
  <c r="K6" i="73" s="1"/>
  <c r="C6" i="110"/>
  <c r="E7" i="110"/>
  <c r="J7" i="110"/>
  <c r="K7" i="110" s="1"/>
  <c r="I62" i="118"/>
  <c r="J61" i="118"/>
  <c r="K60" i="41"/>
  <c r="E8" i="119"/>
  <c r="C7" i="119"/>
  <c r="J8" i="119"/>
  <c r="K8" i="119" s="1"/>
  <c r="K61" i="135"/>
  <c r="E7" i="104"/>
  <c r="C6" i="104"/>
  <c r="J7" i="104"/>
  <c r="K7" i="104" s="1"/>
  <c r="E6" i="163"/>
  <c r="C5" i="163"/>
  <c r="J6" i="163"/>
  <c r="K6" i="163" s="1"/>
  <c r="DI9" i="2"/>
  <c r="I64" i="59"/>
  <c r="J63" i="59"/>
  <c r="J59" i="130"/>
  <c r="I60" i="130"/>
  <c r="I64" i="82"/>
  <c r="J63" i="82"/>
  <c r="I64" i="14"/>
  <c r="J63" i="14"/>
  <c r="E8" i="164"/>
  <c r="C7" i="164"/>
  <c r="J8" i="164"/>
  <c r="K8" i="164" s="1"/>
  <c r="J60" i="53"/>
  <c r="I61" i="53"/>
  <c r="E9" i="29"/>
  <c r="C8" i="29"/>
  <c r="J9" i="29"/>
  <c r="K9" i="29" s="1"/>
  <c r="C3" i="146"/>
  <c r="E4" i="146"/>
  <c r="J4" i="146"/>
  <c r="K4" i="146" s="1"/>
  <c r="I62" i="139"/>
  <c r="J61" i="139"/>
  <c r="I62" i="113"/>
  <c r="J61" i="113"/>
  <c r="J61" i="41"/>
  <c r="I62" i="41"/>
  <c r="K59" i="41"/>
  <c r="K59" i="20"/>
  <c r="E8" i="78"/>
  <c r="C7" i="78"/>
  <c r="J8" i="78"/>
  <c r="K8" i="78" s="1"/>
  <c r="E8" i="95"/>
  <c r="C7" i="95"/>
  <c r="J8" i="95"/>
  <c r="K8" i="95" s="1"/>
  <c r="K59" i="3"/>
  <c r="J62" i="135"/>
  <c r="I63" i="135"/>
  <c r="K59" i="39"/>
  <c r="I62" i="124"/>
  <c r="J61" i="124"/>
  <c r="K62" i="59"/>
  <c r="I60" i="81"/>
  <c r="J59" i="81"/>
  <c r="K62" i="14"/>
  <c r="J60" i="4"/>
  <c r="I61" i="4"/>
  <c r="I61" i="111"/>
  <c r="J60" i="111"/>
  <c r="C5" i="124"/>
  <c r="E6" i="124"/>
  <c r="J6" i="124"/>
  <c r="K6" i="124" s="1"/>
  <c r="J60" i="20"/>
  <c r="I61" i="20"/>
  <c r="I61" i="138"/>
  <c r="J60" i="138"/>
  <c r="J60" i="3"/>
  <c r="I61" i="3"/>
  <c r="I62" i="165"/>
  <c r="J61" i="165"/>
  <c r="E9" i="58"/>
  <c r="C8" i="58"/>
  <c r="CA8" i="2" s="1"/>
  <c r="J9" i="58"/>
  <c r="K9" i="58" s="1"/>
  <c r="J60" i="39"/>
  <c r="I61" i="39"/>
  <c r="K60" i="124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E7" i="64"/>
  <c r="C6" i="64"/>
  <c r="J7" i="64"/>
  <c r="K7" i="64" s="1"/>
  <c r="K59" i="4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K59" i="138"/>
  <c r="K60" i="165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61" i="172"/>
  <c r="K58" i="169"/>
  <c r="E8" i="35"/>
  <c r="C7" i="35"/>
  <c r="J8" i="35"/>
  <c r="K8" i="35" s="1"/>
  <c r="I61" i="80"/>
  <c r="J60" i="80"/>
  <c r="K58" i="80"/>
  <c r="J59" i="146"/>
  <c r="I60" i="146"/>
  <c r="C6" i="22"/>
  <c r="E7" i="22"/>
  <c r="J7" i="22"/>
  <c r="K7" i="22" s="1"/>
  <c r="BQ10" i="1"/>
  <c r="K58" i="45"/>
  <c r="K60" i="23"/>
  <c r="K61" i="16"/>
  <c r="J4" i="32"/>
  <c r="K4" i="32" s="1"/>
  <c r="E4" i="32"/>
  <c r="C3" i="32"/>
  <c r="K61" i="14"/>
  <c r="K58" i="64"/>
  <c r="K60" i="68"/>
  <c r="I63" i="172"/>
  <c r="J62" i="172"/>
  <c r="E8" i="153"/>
  <c r="C7" i="153"/>
  <c r="J8" i="153"/>
  <c r="K8" i="153" s="1"/>
  <c r="K59" i="113"/>
  <c r="K59" i="87"/>
  <c r="E8" i="114"/>
  <c r="C7" i="114"/>
  <c r="J8" i="114"/>
  <c r="K8" i="114" s="1"/>
  <c r="K58" i="146"/>
  <c r="K60" i="135"/>
  <c r="E9" i="8"/>
  <c r="C8" i="8"/>
  <c r="BP9" i="1"/>
  <c r="HC9" i="2"/>
  <c r="J9" i="8"/>
  <c r="K9" i="8" s="1"/>
  <c r="J59" i="45"/>
  <c r="I60" i="45"/>
  <c r="J61" i="23"/>
  <c r="I62" i="23"/>
  <c r="I63" i="16"/>
  <c r="J62" i="16"/>
  <c r="J61" i="157"/>
  <c r="I62" i="157"/>
  <c r="E6" i="149"/>
  <c r="C5" i="149"/>
  <c r="J6" i="149"/>
  <c r="K6" i="149" s="1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I61" i="57"/>
  <c r="J60" i="57"/>
  <c r="K58" i="108"/>
  <c r="E7" i="94"/>
  <c r="C6" i="94"/>
  <c r="J7" i="94"/>
  <c r="K7" i="94" s="1"/>
  <c r="E7" i="19"/>
  <c r="C6" i="19"/>
  <c r="J7" i="19"/>
  <c r="K7" i="19" s="1"/>
  <c r="K60" i="13"/>
  <c r="K58" i="105"/>
  <c r="K60" i="157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CW7" i="2" s="1"/>
  <c r="J8" i="145"/>
  <c r="K8" i="145" s="1"/>
  <c r="K57" i="34"/>
  <c r="I63" i="117"/>
  <c r="J62" i="117"/>
  <c r="K60" i="107"/>
  <c r="K58" i="53"/>
  <c r="E9" i="172"/>
  <c r="C8" i="172"/>
  <c r="J9" i="172"/>
  <c r="K9" i="172" s="1"/>
  <c r="K60" i="37"/>
  <c r="K57" i="148"/>
  <c r="K57" i="64"/>
  <c r="K59" i="57"/>
  <c r="C6" i="161"/>
  <c r="E7" i="161"/>
  <c r="J7" i="161"/>
  <c r="K7" i="161" s="1"/>
  <c r="K60" i="164"/>
  <c r="C5" i="106"/>
  <c r="E6" i="106"/>
  <c r="J6" i="106"/>
  <c r="K6" i="106" s="1"/>
  <c r="K58" i="52"/>
  <c r="K61" i="101"/>
  <c r="HD10" i="2"/>
  <c r="K57" i="45"/>
  <c r="I60" i="105"/>
  <c r="J59" i="105"/>
  <c r="I60" i="102"/>
  <c r="J59" i="102"/>
  <c r="C6" i="67"/>
  <c r="E7" i="67"/>
  <c r="J7" i="67"/>
  <c r="K7" i="67" s="1"/>
  <c r="C6" i="135"/>
  <c r="E7" i="135"/>
  <c r="J7" i="135"/>
  <c r="K7" i="135" s="1"/>
  <c r="K62" i="71"/>
  <c r="K61" i="26"/>
  <c r="K59" i="88"/>
  <c r="J59" i="35"/>
  <c r="I60" i="35"/>
  <c r="K63" i="145"/>
  <c r="K58" i="35"/>
  <c r="HO9" i="2"/>
  <c r="K61" i="117"/>
  <c r="I65" i="7"/>
  <c r="J64" i="7"/>
  <c r="I62" i="37"/>
  <c r="J61" i="37"/>
  <c r="I61" i="123"/>
  <c r="J60" i="123"/>
  <c r="N9" i="2"/>
  <c r="K58" i="70"/>
  <c r="I63" i="101"/>
  <c r="J62" i="101"/>
  <c r="C8" i="121"/>
  <c r="E9" i="121"/>
  <c r="J9" i="121"/>
  <c r="K9" i="121" s="1"/>
  <c r="K57" i="125"/>
  <c r="I63" i="89"/>
  <c r="J62" i="89"/>
  <c r="K61" i="89" s="1"/>
  <c r="E7" i="60"/>
  <c r="C6" i="60"/>
  <c r="J7" i="60"/>
  <c r="K7" i="60" s="1"/>
  <c r="K59" i="151"/>
  <c r="C8" i="136"/>
  <c r="E9" i="136"/>
  <c r="J9" i="136"/>
  <c r="K9" i="136" s="1"/>
  <c r="K59" i="116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C8" i="152"/>
  <c r="E9" i="152"/>
  <c r="J9" i="152"/>
  <c r="K9" i="152" s="1"/>
  <c r="K59" i="123"/>
  <c r="K59" i="173"/>
  <c r="K57" i="146"/>
  <c r="E5" i="45"/>
  <c r="C4" i="45"/>
  <c r="J5" i="45"/>
  <c r="K5" i="45" s="1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E7" i="9"/>
  <c r="C6" i="9"/>
  <c r="J7" i="9"/>
  <c r="K7" i="9" s="1"/>
  <c r="K58" i="4"/>
  <c r="K57" i="160"/>
  <c r="E6" i="127"/>
  <c r="C5" i="127"/>
  <c r="J6" i="127"/>
  <c r="K6" i="127" s="1"/>
  <c r="K61" i="136"/>
  <c r="E8" i="77"/>
  <c r="C7" i="77"/>
  <c r="J8" i="77"/>
  <c r="K8" i="77" s="1"/>
  <c r="C7" i="140"/>
  <c r="E8" i="140"/>
  <c r="AI8" i="2"/>
  <c r="J8" i="140"/>
  <c r="K8" i="140" s="1"/>
  <c r="C6" i="66"/>
  <c r="E7" i="66"/>
  <c r="J7" i="66"/>
  <c r="K7" i="66" s="1"/>
  <c r="E5" i="160"/>
  <c r="C4" i="160"/>
  <c r="J5" i="160"/>
  <c r="K5" i="160" s="1"/>
  <c r="GR8" i="2"/>
  <c r="I63" i="48"/>
  <c r="J62" i="48"/>
  <c r="K61" i="48" s="1"/>
  <c r="I62" i="149"/>
  <c r="J61" i="149"/>
  <c r="E8" i="122"/>
  <c r="C7" i="122"/>
  <c r="J8" i="122"/>
  <c r="K8" i="122" s="1"/>
  <c r="E9" i="109"/>
  <c r="C8" i="109"/>
  <c r="ED9" i="2"/>
  <c r="J9" i="109"/>
  <c r="K9" i="109" s="1"/>
  <c r="E7" i="74"/>
  <c r="C6" i="74"/>
  <c r="J7" i="74"/>
  <c r="K7" i="74" s="1"/>
  <c r="I62" i="25"/>
  <c r="J61" i="25"/>
  <c r="IU9" i="2"/>
  <c r="K63" i="46"/>
  <c r="K57" i="166"/>
  <c r="E9" i="53"/>
  <c r="C8" i="53"/>
  <c r="J9" i="53"/>
  <c r="K9" i="53" s="1"/>
  <c r="K60" i="60"/>
  <c r="E7" i="25"/>
  <c r="C6" i="25"/>
  <c r="J7" i="25"/>
  <c r="K7" i="25" s="1"/>
  <c r="K60" i="83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K58" i="171"/>
  <c r="J62" i="136"/>
  <c r="I63" i="136"/>
  <c r="E9" i="90"/>
  <c r="C8" i="90"/>
  <c r="J9" i="90"/>
  <c r="K9" i="90" s="1"/>
  <c r="J61" i="60"/>
  <c r="I62" i="60"/>
  <c r="K57" i="96"/>
  <c r="I61" i="144"/>
  <c r="J60" i="144"/>
  <c r="K59" i="114"/>
  <c r="K58" i="20"/>
  <c r="AU10" i="2"/>
  <c r="CL9" i="2"/>
  <c r="EO9" i="2"/>
  <c r="K58" i="3"/>
  <c r="E7" i="83"/>
  <c r="C6" i="83"/>
  <c r="J7" i="83"/>
  <c r="K7" i="83" s="1"/>
  <c r="K59" i="85"/>
  <c r="K60" i="149"/>
  <c r="K60" i="16"/>
  <c r="K61" i="62"/>
  <c r="E9" i="27"/>
  <c r="C8" i="27"/>
  <c r="J9" i="27"/>
  <c r="K9" i="27" s="1"/>
  <c r="I65" i="46"/>
  <c r="J64" i="46"/>
  <c r="K58" i="50"/>
  <c r="CX7" i="2" l="1"/>
  <c r="CB8" i="2"/>
  <c r="I61" i="47"/>
  <c r="J60" i="47"/>
  <c r="E7" i="169"/>
  <c r="C6" i="169"/>
  <c r="J7" i="169"/>
  <c r="K7" i="169" s="1"/>
  <c r="K59" i="40"/>
  <c r="E6" i="118"/>
  <c r="C5" i="118"/>
  <c r="J6" i="118"/>
  <c r="K6" i="118" s="1"/>
  <c r="I62" i="49"/>
  <c r="J61" i="49"/>
  <c r="C5" i="4"/>
  <c r="E6" i="4"/>
  <c r="J6" i="4"/>
  <c r="K6" i="4" s="1"/>
  <c r="E4" i="43"/>
  <c r="C3" i="43"/>
  <c r="J4" i="43"/>
  <c r="K4" i="43" s="1"/>
  <c r="I61" i="91"/>
  <c r="J60" i="91"/>
  <c r="AJ9" i="1"/>
  <c r="I63" i="139"/>
  <c r="J62" i="139"/>
  <c r="I61" i="40"/>
  <c r="J60" i="40"/>
  <c r="J63" i="164"/>
  <c r="K62" i="164" s="1"/>
  <c r="I64" i="164"/>
  <c r="K58" i="40"/>
  <c r="J60" i="43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I64" i="48"/>
  <c r="I63" i="10"/>
  <c r="J62" i="10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K63" i="79"/>
  <c r="K59" i="43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E5" i="51"/>
  <c r="C4" i="51"/>
  <c r="J5" i="51"/>
  <c r="K5" i="51" s="1"/>
  <c r="HZ9" i="2"/>
  <c r="I65" i="79"/>
  <c r="J64" i="79"/>
  <c r="C6" i="38"/>
  <c r="E7" i="38"/>
  <c r="J7" i="38"/>
  <c r="K7" i="38" s="1"/>
  <c r="K60" i="33"/>
  <c r="K60" i="169"/>
  <c r="E8" i="91"/>
  <c r="C7" i="91"/>
  <c r="J8" i="91"/>
  <c r="K8" i="91" s="1"/>
  <c r="K60" i="85"/>
  <c r="E7" i="35"/>
  <c r="C6" i="35"/>
  <c r="J7" i="35"/>
  <c r="K7" i="35" s="1"/>
  <c r="J60" i="35"/>
  <c r="I61" i="35"/>
  <c r="E7" i="114"/>
  <c r="C6" i="114"/>
  <c r="J7" i="114"/>
  <c r="K7" i="114" s="1"/>
  <c r="C5" i="64"/>
  <c r="E6" i="64"/>
  <c r="J6" i="64"/>
  <c r="K6" i="64" s="1"/>
  <c r="I65" i="24"/>
  <c r="J64" i="24"/>
  <c r="K63" i="24" s="1"/>
  <c r="I64" i="107"/>
  <c r="J63" i="107"/>
  <c r="K62" i="107" s="1"/>
  <c r="K60" i="72"/>
  <c r="E3" i="146"/>
  <c r="C2" i="146"/>
  <c r="J3" i="146"/>
  <c r="K3" i="146" s="1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59" i="33"/>
  <c r="I62" i="169"/>
  <c r="J61" i="169"/>
  <c r="C6" i="70"/>
  <c r="E7" i="70"/>
  <c r="J7" i="70"/>
  <c r="K7" i="70" s="1"/>
  <c r="E7" i="13"/>
  <c r="C6" i="13"/>
  <c r="J7" i="13"/>
  <c r="K7" i="13" s="1"/>
  <c r="J61" i="85"/>
  <c r="I62" i="85"/>
  <c r="C7" i="93"/>
  <c r="E8" i="93"/>
  <c r="J8" i="93"/>
  <c r="K8" i="93" s="1"/>
  <c r="C7" i="172"/>
  <c r="E8" i="172"/>
  <c r="J8" i="172"/>
  <c r="K8" i="172" s="1"/>
  <c r="J61" i="103"/>
  <c r="I62" i="103"/>
  <c r="I62" i="111"/>
  <c r="J61" i="111"/>
  <c r="K61" i="118"/>
  <c r="I64" i="26"/>
  <c r="J63" i="26"/>
  <c r="E5" i="72"/>
  <c r="C4" i="72"/>
  <c r="J5" i="72"/>
  <c r="K5" i="72" s="1"/>
  <c r="E8" i="28"/>
  <c r="C7" i="28"/>
  <c r="J8" i="28"/>
  <c r="K8" i="28" s="1"/>
  <c r="J61" i="170"/>
  <c r="I62" i="170"/>
  <c r="K64" i="133"/>
  <c r="K62" i="13"/>
  <c r="E7" i="79"/>
  <c r="C6" i="79"/>
  <c r="J7" i="79"/>
  <c r="K7" i="79" s="1"/>
  <c r="E4" i="160"/>
  <c r="C3" i="160"/>
  <c r="J4" i="160"/>
  <c r="K4" i="160" s="1"/>
  <c r="C6" i="142"/>
  <c r="E7" i="142"/>
  <c r="J7" i="142"/>
  <c r="K7" i="142" s="1"/>
  <c r="E8" i="136"/>
  <c r="C7" i="136"/>
  <c r="J8" i="136"/>
  <c r="K8" i="136" s="1"/>
  <c r="K60" i="103"/>
  <c r="J61" i="84"/>
  <c r="I62" i="84"/>
  <c r="I62" i="4"/>
  <c r="J61" i="4"/>
  <c r="E8" i="29"/>
  <c r="C7" i="29"/>
  <c r="J8" i="29"/>
  <c r="K8" i="29" s="1"/>
  <c r="X8" i="1"/>
  <c r="I63" i="118"/>
  <c r="J62" i="118"/>
  <c r="K62" i="26"/>
  <c r="I63" i="99"/>
  <c r="J62" i="99"/>
  <c r="I61" i="112"/>
  <c r="J60" i="112"/>
  <c r="E4" i="59"/>
  <c r="C3" i="59"/>
  <c r="J4" i="59"/>
  <c r="K4" i="59" s="1"/>
  <c r="J63" i="13"/>
  <c r="I64" i="13"/>
  <c r="K60" i="106"/>
  <c r="K59" i="38"/>
  <c r="J60" i="11"/>
  <c r="I61" i="11"/>
  <c r="E5" i="171"/>
  <c r="C4" i="171"/>
  <c r="J5" i="171"/>
  <c r="K5" i="171" s="1"/>
  <c r="K60" i="84"/>
  <c r="N9" i="1"/>
  <c r="K59" i="112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I61" i="38"/>
  <c r="I62" i="53"/>
  <c r="J61" i="53"/>
  <c r="C5" i="103"/>
  <c r="E6" i="103"/>
  <c r="J6" i="103"/>
  <c r="K6" i="103" s="1"/>
  <c r="Y9" i="2"/>
  <c r="C5" i="139"/>
  <c r="E6" i="139"/>
  <c r="J6" i="139"/>
  <c r="K6" i="139" s="1"/>
  <c r="K58" i="43"/>
  <c r="C4" i="159"/>
  <c r="E5" i="159"/>
  <c r="J5" i="159"/>
  <c r="K5" i="159" s="1"/>
  <c r="E6" i="17"/>
  <c r="C5" i="17"/>
  <c r="J6" i="17"/>
  <c r="K6" i="17" s="1"/>
  <c r="E6" i="144"/>
  <c r="C5" i="144"/>
  <c r="J6" i="144"/>
  <c r="K6" i="144" s="1"/>
  <c r="K60" i="4"/>
  <c r="C6" i="153"/>
  <c r="E7" i="153"/>
  <c r="J7" i="153"/>
  <c r="K7" i="153" s="1"/>
  <c r="CB9" i="2"/>
  <c r="C7" i="170"/>
  <c r="E8" i="170"/>
  <c r="J8" i="170"/>
  <c r="K8" i="170" s="1"/>
  <c r="K60" i="53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5" i="173"/>
  <c r="C4" i="173"/>
  <c r="J5" i="173"/>
  <c r="K5" i="173" s="1"/>
  <c r="E8" i="174"/>
  <c r="C7" i="174"/>
  <c r="J8" i="174"/>
  <c r="K8" i="174" s="1"/>
  <c r="C7" i="56"/>
  <c r="E8" i="56"/>
  <c r="J8" i="56"/>
  <c r="K8" i="56" s="1"/>
  <c r="K61" i="139"/>
  <c r="C5" i="60"/>
  <c r="E6" i="60"/>
  <c r="J6" i="60"/>
  <c r="K6" i="60" s="1"/>
  <c r="C5" i="83"/>
  <c r="E6" i="83"/>
  <c r="J6" i="83"/>
  <c r="K6" i="83" s="1"/>
  <c r="E6" i="25"/>
  <c r="C5" i="25"/>
  <c r="J6" i="25"/>
  <c r="K6" i="25" s="1"/>
  <c r="E6" i="66"/>
  <c r="C5" i="66"/>
  <c r="J6" i="66"/>
  <c r="K6" i="66" s="1"/>
  <c r="C3" i="45"/>
  <c r="E4" i="45"/>
  <c r="J4" i="45"/>
  <c r="K4" i="45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I63" i="158"/>
  <c r="I63" i="93"/>
  <c r="J62" i="93"/>
  <c r="C3" i="165"/>
  <c r="E4" i="165"/>
  <c r="J4" i="165"/>
  <c r="K4" i="165" s="1"/>
  <c r="K62" i="117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E5" i="62"/>
  <c r="C4" i="62"/>
  <c r="J5" i="62"/>
  <c r="K5" i="62" s="1"/>
  <c r="K60" i="99"/>
  <c r="C6" i="36"/>
  <c r="CW6" i="2" s="1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I66" i="15"/>
  <c r="K61" i="158"/>
  <c r="K61" i="93"/>
  <c r="I64" i="117"/>
  <c r="J63" i="117"/>
  <c r="C4" i="73"/>
  <c r="E5" i="73"/>
  <c r="J5" i="73"/>
  <c r="K5" i="73" s="1"/>
  <c r="E3" i="87"/>
  <c r="C2" i="87"/>
  <c r="J3" i="87"/>
  <c r="K3" i="87" s="1"/>
  <c r="K61" i="29"/>
  <c r="K59" i="111"/>
  <c r="I61" i="166"/>
  <c r="J60" i="166"/>
  <c r="K64" i="15"/>
  <c r="J61" i="155"/>
  <c r="I62" i="155"/>
  <c r="I62" i="114"/>
  <c r="J61" i="114"/>
  <c r="K60" i="114" s="1"/>
  <c r="I66" i="46"/>
  <c r="J65" i="46"/>
  <c r="EP9" i="2"/>
  <c r="I64" i="89"/>
  <c r="J63" i="89"/>
  <c r="E6" i="67"/>
  <c r="C5" i="67"/>
  <c r="J6" i="67"/>
  <c r="K6" i="67" s="1"/>
  <c r="E5" i="39"/>
  <c r="C4" i="39"/>
  <c r="J5" i="39"/>
  <c r="K5" i="39" s="1"/>
  <c r="K60" i="21"/>
  <c r="K59" i="148"/>
  <c r="I62" i="137"/>
  <c r="J61" i="137"/>
  <c r="FW9" i="2"/>
  <c r="K59" i="166"/>
  <c r="E7" i="23"/>
  <c r="C6" i="23"/>
  <c r="J7" i="23"/>
  <c r="K7" i="23" s="1"/>
  <c r="E6" i="130"/>
  <c r="C5" i="130"/>
  <c r="J6" i="130"/>
  <c r="K6" i="130" s="1"/>
  <c r="C2" i="156"/>
  <c r="E3" i="156"/>
  <c r="J3" i="156"/>
  <c r="K3" i="156" s="1"/>
  <c r="DI8" i="2"/>
  <c r="C5" i="65"/>
  <c r="E6" i="65"/>
  <c r="J6" i="65"/>
  <c r="K6" i="65" s="1"/>
  <c r="E7" i="164"/>
  <c r="C6" i="164"/>
  <c r="J7" i="164"/>
  <c r="K7" i="164" s="1"/>
  <c r="I64" i="77"/>
  <c r="J63" i="77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K62" i="77"/>
  <c r="I62" i="21"/>
  <c r="J61" i="21"/>
  <c r="K61" i="132"/>
  <c r="J60" i="148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K63" i="14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K62" i="89"/>
  <c r="I65" i="14"/>
  <c r="J64" i="14"/>
  <c r="K61" i="66"/>
  <c r="I63" i="167"/>
  <c r="J62" i="167"/>
  <c r="C2" i="157"/>
  <c r="J3" i="157"/>
  <c r="K3" i="157" s="1"/>
  <c r="E3" i="15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K63" i="82"/>
  <c r="K64" i="74"/>
  <c r="C5" i="68"/>
  <c r="E6" i="68"/>
  <c r="J6" i="68"/>
  <c r="K6" i="68" s="1"/>
  <c r="I63" i="66"/>
  <c r="J62" i="66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K62" i="135"/>
  <c r="I65" i="82"/>
  <c r="J64" i="82"/>
  <c r="I66" i="74"/>
  <c r="J65" i="74"/>
  <c r="K63" i="74"/>
  <c r="I61" i="174"/>
  <c r="J60" i="174"/>
  <c r="K58" i="160"/>
  <c r="I64" i="127"/>
  <c r="J63" i="127"/>
  <c r="J60" i="163"/>
  <c r="I61" i="163"/>
  <c r="I63" i="30"/>
  <c r="J62" i="30"/>
  <c r="I61" i="55"/>
  <c r="J60" i="55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E5" i="85"/>
  <c r="C4" i="85"/>
  <c r="J5" i="85"/>
  <c r="K5" i="85" s="1"/>
  <c r="I64" i="98"/>
  <c r="J63" i="98"/>
  <c r="I65" i="71"/>
  <c r="J64" i="71"/>
  <c r="K62" i="152"/>
  <c r="I66" i="75"/>
  <c r="J65" i="75"/>
  <c r="E4" i="34"/>
  <c r="C3" i="34"/>
  <c r="J4" i="34"/>
  <c r="K4" i="34" s="1"/>
  <c r="E6" i="128"/>
  <c r="C5" i="128"/>
  <c r="J6" i="128"/>
  <c r="K6" i="128" s="1"/>
  <c r="K62" i="127"/>
  <c r="K59" i="163"/>
  <c r="I62" i="67"/>
  <c r="J61" i="67"/>
  <c r="K60" i="67" s="1"/>
  <c r="K59" i="55"/>
  <c r="C4" i="84"/>
  <c r="E5" i="84"/>
  <c r="J5" i="84"/>
  <c r="K5" i="84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0" i="50"/>
  <c r="K64" i="75"/>
  <c r="K58" i="110"/>
  <c r="E6" i="126"/>
  <c r="C5" i="126"/>
  <c r="J6" i="126"/>
  <c r="K6" i="126" s="1"/>
  <c r="I61" i="140"/>
  <c r="J60" i="140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K62" i="48"/>
  <c r="K61" i="10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I62" i="88"/>
  <c r="J61" i="88"/>
  <c r="I62" i="50"/>
  <c r="J61" i="50"/>
  <c r="K59" i="96"/>
  <c r="K59" i="73"/>
  <c r="IJ8" i="2"/>
  <c r="K59" i="140"/>
  <c r="I66" i="134"/>
  <c r="J65" i="134"/>
  <c r="K64" i="134" s="1"/>
  <c r="EO8" i="2"/>
  <c r="C6" i="145"/>
  <c r="E7" i="145"/>
  <c r="J7" i="145"/>
  <c r="K7" i="145" s="1"/>
  <c r="C2" i="32"/>
  <c r="E3" i="32"/>
  <c r="J3" i="32"/>
  <c r="K3" i="32" s="1"/>
  <c r="C6" i="77"/>
  <c r="E7" i="77"/>
  <c r="J7" i="77"/>
  <c r="K7" i="77" s="1"/>
  <c r="I64" i="16"/>
  <c r="J63" i="16"/>
  <c r="I63" i="18"/>
  <c r="J62" i="18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EO7" i="2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I63" i="23"/>
  <c r="J61" i="54"/>
  <c r="I62" i="54"/>
  <c r="J62" i="165"/>
  <c r="I63" i="165"/>
  <c r="I65" i="59"/>
  <c r="J64" i="59"/>
  <c r="K59" i="36"/>
  <c r="K60" i="118"/>
  <c r="C45" i="24"/>
  <c r="E46" i="24"/>
  <c r="GG46" i="2"/>
  <c r="BE46" i="1"/>
  <c r="C46" i="1"/>
  <c r="C46" i="2"/>
  <c r="J46" i="24"/>
  <c r="K46" i="24" s="1"/>
  <c r="J60" i="90"/>
  <c r="I61" i="90"/>
  <c r="J63" i="156"/>
  <c r="I64" i="156"/>
  <c r="K61" i="152"/>
  <c r="I64" i="142"/>
  <c r="J63" i="142"/>
  <c r="K62" i="142" s="1"/>
  <c r="K61" i="18"/>
  <c r="E7" i="154"/>
  <c r="C6" i="154"/>
  <c r="J7" i="154"/>
  <c r="K7" i="154" s="1"/>
  <c r="IJ7" i="2"/>
  <c r="E7" i="117"/>
  <c r="C6" i="117"/>
  <c r="J7" i="117"/>
  <c r="K7" i="117" s="1"/>
  <c r="J62" i="28"/>
  <c r="I63" i="28"/>
  <c r="I63" i="149"/>
  <c r="J62" i="149"/>
  <c r="J62" i="124"/>
  <c r="K61" i="124" s="1"/>
  <c r="I63" i="124"/>
  <c r="K61" i="165"/>
  <c r="K63" i="59"/>
  <c r="K63" i="27"/>
  <c r="K61" i="23"/>
  <c r="J61" i="3"/>
  <c r="I62" i="3"/>
  <c r="E7" i="78"/>
  <c r="C6" i="78"/>
  <c r="J7" i="78"/>
  <c r="K7" i="78" s="1"/>
  <c r="I61" i="36"/>
  <c r="J60" i="36"/>
  <c r="K59" i="90"/>
  <c r="I65" i="22"/>
  <c r="J64" i="22"/>
  <c r="I64" i="78"/>
  <c r="J63" i="78"/>
  <c r="K58" i="34"/>
  <c r="K63" i="75"/>
  <c r="I62" i="70"/>
  <c r="J61" i="70"/>
  <c r="K63" i="61"/>
  <c r="K61" i="28"/>
  <c r="C6" i="133"/>
  <c r="E7" i="133"/>
  <c r="J7" i="133"/>
  <c r="K7" i="133" s="1"/>
  <c r="DH7" i="2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K62" i="78"/>
  <c r="J61" i="104"/>
  <c r="I62" i="104"/>
  <c r="C6" i="76"/>
  <c r="E7" i="76"/>
  <c r="J7" i="76"/>
  <c r="K7" i="76" s="1"/>
  <c r="K60" i="70"/>
  <c r="DT7" i="2"/>
  <c r="I62" i="97"/>
  <c r="J61" i="97"/>
  <c r="CB9" i="1"/>
  <c r="I61" i="64"/>
  <c r="J60" i="64"/>
  <c r="K60" i="52"/>
  <c r="AU9" i="2"/>
  <c r="C3" i="105"/>
  <c r="E4" i="105"/>
  <c r="J4" i="105"/>
  <c r="K4" i="105" s="1"/>
  <c r="C4" i="127"/>
  <c r="E5" i="127"/>
  <c r="J5" i="127"/>
  <c r="K5" i="127" s="1"/>
  <c r="E6" i="74"/>
  <c r="C5" i="74"/>
  <c r="J6" i="74"/>
  <c r="K6" i="74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AI7" i="2" s="1"/>
  <c r="J8" i="49"/>
  <c r="K8" i="49" s="1"/>
  <c r="E3" i="138"/>
  <c r="C2" i="138"/>
  <c r="J3" i="138"/>
  <c r="K3" i="138" s="1"/>
  <c r="C4" i="61"/>
  <c r="E5" i="61"/>
  <c r="J5" i="61"/>
  <c r="K5" i="61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K61" i="115"/>
  <c r="I62" i="52"/>
  <c r="J61" i="52"/>
  <c r="E8" i="50"/>
  <c r="C7" i="50"/>
  <c r="AT8" i="2"/>
  <c r="J8" i="50"/>
  <c r="K8" i="50" s="1"/>
  <c r="I63" i="83"/>
  <c r="J62" i="83"/>
  <c r="K62" i="156"/>
  <c r="C4" i="163"/>
  <c r="E5" i="163"/>
  <c r="J5" i="163"/>
  <c r="K5" i="163" s="1"/>
  <c r="FA8" i="2"/>
  <c r="J61" i="154"/>
  <c r="I62" i="154"/>
  <c r="C5" i="129"/>
  <c r="E6" i="129"/>
  <c r="J6" i="129"/>
  <c r="K6" i="129" s="1"/>
  <c r="DS6" i="2"/>
  <c r="I63" i="115"/>
  <c r="J62" i="115"/>
  <c r="CL8" i="2"/>
  <c r="GS9" i="2"/>
  <c r="K60" i="139"/>
  <c r="GS8" i="2"/>
  <c r="C4" i="149"/>
  <c r="E5" i="149"/>
  <c r="J5" i="149"/>
  <c r="K5" i="149" s="1"/>
  <c r="J61" i="144"/>
  <c r="I62" i="144"/>
  <c r="J63" i="101"/>
  <c r="I64" i="101"/>
  <c r="E5" i="106"/>
  <c r="C4" i="106"/>
  <c r="J5" i="106"/>
  <c r="K5" i="106" s="1"/>
  <c r="I64" i="136"/>
  <c r="J63" i="136"/>
  <c r="K62" i="136" s="1"/>
  <c r="J61" i="168"/>
  <c r="I62" i="168"/>
  <c r="K64" i="7"/>
  <c r="K60" i="87"/>
  <c r="HD9" i="2"/>
  <c r="I62" i="20"/>
  <c r="J61" i="20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92"/>
  <c r="K61" i="157"/>
  <c r="J60" i="34"/>
  <c r="K59" i="34" s="1"/>
  <c r="I61" i="34"/>
  <c r="I62" i="123"/>
  <c r="J61" i="123"/>
  <c r="K60" i="123" s="1"/>
  <c r="J61" i="151"/>
  <c r="I62" i="151"/>
  <c r="C6" i="122"/>
  <c r="E7" i="122"/>
  <c r="J7" i="122"/>
  <c r="K7" i="122" s="1"/>
  <c r="J65" i="7"/>
  <c r="I66" i="7"/>
  <c r="J61" i="87"/>
  <c r="I62" i="87"/>
  <c r="BQ9" i="1"/>
  <c r="C7" i="46"/>
  <c r="E8" i="46"/>
  <c r="J8" i="46"/>
  <c r="K8" i="46" s="1"/>
  <c r="AI8" i="1"/>
  <c r="K60" i="20"/>
  <c r="I61" i="8"/>
  <c r="J60" i="8"/>
  <c r="E7" i="134"/>
  <c r="C6" i="134"/>
  <c r="EZ7" i="2"/>
  <c r="J7" i="134"/>
  <c r="K7" i="134" s="1"/>
  <c r="E6" i="5"/>
  <c r="C5" i="5"/>
  <c r="J6" i="5"/>
  <c r="K6" i="5" s="1"/>
  <c r="C4" i="168"/>
  <c r="E5" i="168"/>
  <c r="J5" i="168"/>
  <c r="K5" i="168" s="1"/>
  <c r="E6" i="150"/>
  <c r="C5" i="150"/>
  <c r="J6" i="150"/>
  <c r="K6" i="150" s="1"/>
  <c r="C4" i="120"/>
  <c r="E5" i="120"/>
  <c r="J5" i="120"/>
  <c r="K5" i="120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I63" i="92"/>
  <c r="E6" i="19"/>
  <c r="C5" i="19"/>
  <c r="J6" i="19"/>
  <c r="K6" i="19" s="1"/>
  <c r="E8" i="90"/>
  <c r="C7" i="90"/>
  <c r="CL7" i="2" s="1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K61" i="113"/>
  <c r="C5" i="104"/>
  <c r="E6" i="104"/>
  <c r="J6" i="104"/>
  <c r="K6" i="104" s="1"/>
  <c r="K62" i="82"/>
  <c r="E4" i="102"/>
  <c r="C3" i="102"/>
  <c r="J4" i="102"/>
  <c r="K4" i="102" s="1"/>
  <c r="E3" i="30"/>
  <c r="C2" i="30"/>
  <c r="J3" i="30"/>
  <c r="K3" i="30" s="1"/>
  <c r="C2" i="166"/>
  <c r="E3" i="166"/>
  <c r="J3" i="166"/>
  <c r="K3" i="166" s="1"/>
  <c r="J62" i="173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K60" i="151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C5" i="161"/>
  <c r="E6" i="161"/>
  <c r="J6" i="161"/>
  <c r="K6" i="161" s="1"/>
  <c r="K60" i="153"/>
  <c r="K60" i="113"/>
  <c r="I63" i="113"/>
  <c r="J62" i="113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K61" i="173"/>
  <c r="K59" i="91"/>
  <c r="CX6" i="2" l="1"/>
  <c r="CM7" i="2"/>
  <c r="AJ7" i="2"/>
  <c r="CB7" i="2"/>
  <c r="EP8" i="2"/>
  <c r="K63" i="127"/>
  <c r="K63" i="9"/>
  <c r="C3" i="40"/>
  <c r="E4" i="40"/>
  <c r="J4" i="40"/>
  <c r="K4" i="40" s="1"/>
  <c r="K60" i="125"/>
  <c r="K59" i="125"/>
  <c r="C6" i="12"/>
  <c r="E7" i="12"/>
  <c r="X7" i="2"/>
  <c r="M7" i="1"/>
  <c r="J7" i="12"/>
  <c r="K7" i="12" s="1"/>
  <c r="I63" i="53"/>
  <c r="J62" i="53"/>
  <c r="J61" i="112"/>
  <c r="I62" i="112"/>
  <c r="C4" i="64"/>
  <c r="E5" i="64"/>
  <c r="J5" i="64"/>
  <c r="K5" i="64" s="1"/>
  <c r="E4" i="124"/>
  <c r="C3" i="124"/>
  <c r="J4" i="124"/>
  <c r="K4" i="124" s="1"/>
  <c r="I65" i="127"/>
  <c r="J64" i="127"/>
  <c r="I65" i="9"/>
  <c r="J64" i="9"/>
  <c r="J61" i="125"/>
  <c r="I62" i="125"/>
  <c r="I62" i="38"/>
  <c r="J61" i="38"/>
  <c r="J63" i="113"/>
  <c r="I64" i="113"/>
  <c r="J66" i="7"/>
  <c r="I67" i="7"/>
  <c r="J67" i="7" s="1"/>
  <c r="E5" i="74"/>
  <c r="C4" i="74"/>
  <c r="J5" i="74"/>
  <c r="K5" i="74" s="1"/>
  <c r="I63" i="56"/>
  <c r="J62" i="56"/>
  <c r="K60" i="45"/>
  <c r="D46" i="1"/>
  <c r="BR46" i="1"/>
  <c r="CC46" i="1"/>
  <c r="AK46" i="1"/>
  <c r="AV46" i="1"/>
  <c r="Z46" i="1"/>
  <c r="O46" i="1"/>
  <c r="J66" i="134"/>
  <c r="K66" i="134" s="1"/>
  <c r="I67" i="134"/>
  <c r="J67" i="134" s="1"/>
  <c r="E5" i="128"/>
  <c r="C4" i="128"/>
  <c r="J5" i="128"/>
  <c r="K5" i="128" s="1"/>
  <c r="K62" i="9"/>
  <c r="I62" i="17"/>
  <c r="J61" i="17"/>
  <c r="E2" i="156"/>
  <c r="F67" i="156"/>
  <c r="J2" i="156"/>
  <c r="K2" i="156" s="1"/>
  <c r="C6" i="56"/>
  <c r="E7" i="56"/>
  <c r="J7" i="56"/>
  <c r="K7" i="56" s="1"/>
  <c r="E7" i="170"/>
  <c r="C6" i="170"/>
  <c r="J7" i="170"/>
  <c r="K7" i="170" s="1"/>
  <c r="K60" i="38"/>
  <c r="J63" i="99"/>
  <c r="I64" i="99"/>
  <c r="E7" i="28"/>
  <c r="C6" i="28"/>
  <c r="J7" i="28"/>
  <c r="K7" i="28" s="1"/>
  <c r="J66" i="133"/>
  <c r="K66" i="133" s="1"/>
  <c r="I67" i="133"/>
  <c r="J67" i="133" s="1"/>
  <c r="E6" i="114"/>
  <c r="C5" i="114"/>
  <c r="J6" i="114"/>
  <c r="K6" i="114" s="1"/>
  <c r="E7" i="27"/>
  <c r="C6" i="27"/>
  <c r="J7" i="27"/>
  <c r="K7" i="27" s="1"/>
  <c r="K60" i="91"/>
  <c r="E5" i="22"/>
  <c r="C4" i="22"/>
  <c r="J5" i="22"/>
  <c r="K5" i="22" s="1"/>
  <c r="J61" i="45"/>
  <c r="I62" i="45"/>
  <c r="I63" i="3"/>
  <c r="J62" i="3"/>
  <c r="BF46" i="1"/>
  <c r="BG46" i="1"/>
  <c r="E6" i="97"/>
  <c r="C5" i="97"/>
  <c r="J6" i="97"/>
  <c r="K6" i="97" s="1"/>
  <c r="N7" i="2"/>
  <c r="K60" i="17"/>
  <c r="J61" i="166"/>
  <c r="I62" i="166"/>
  <c r="I63" i="106"/>
  <c r="J62" i="106"/>
  <c r="K61" i="106" s="1"/>
  <c r="K60" i="170"/>
  <c r="I62" i="91"/>
  <c r="J61" i="91"/>
  <c r="E4" i="120"/>
  <c r="C3" i="120"/>
  <c r="J4" i="120"/>
  <c r="K4" i="120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K66" i="12" s="1"/>
  <c r="E5" i="130"/>
  <c r="C4" i="130"/>
  <c r="J5" i="130"/>
  <c r="K5" i="130" s="1"/>
  <c r="K60" i="81"/>
  <c r="E7" i="174"/>
  <c r="C6" i="174"/>
  <c r="J7" i="174"/>
  <c r="K7" i="174" s="1"/>
  <c r="K62" i="118"/>
  <c r="K61" i="99"/>
  <c r="K62" i="72"/>
  <c r="HO7" i="2"/>
  <c r="J62" i="151"/>
  <c r="I63" i="151"/>
  <c r="E3" i="34"/>
  <c r="C2" i="34"/>
  <c r="J3" i="34"/>
  <c r="K3" i="34" s="1"/>
  <c r="I62" i="174"/>
  <c r="J61" i="174"/>
  <c r="K60" i="160"/>
  <c r="E6" i="44"/>
  <c r="C5" i="44"/>
  <c r="J6" i="44"/>
  <c r="K6" i="44" s="1"/>
  <c r="I62" i="81"/>
  <c r="J61" i="81"/>
  <c r="I64" i="118"/>
  <c r="J63" i="118"/>
  <c r="I63" i="121"/>
  <c r="J62" i="121"/>
  <c r="K61" i="121" s="1"/>
  <c r="I62" i="35"/>
  <c r="J61" i="35"/>
  <c r="I62" i="58"/>
  <c r="J61" i="58"/>
  <c r="K60" i="58" s="1"/>
  <c r="I64" i="72"/>
  <c r="J63" i="72"/>
  <c r="E3" i="43"/>
  <c r="C2" i="43"/>
  <c r="J3" i="43"/>
  <c r="K3" i="43" s="1"/>
  <c r="K61" i="3"/>
  <c r="E5" i="161"/>
  <c r="C4" i="161"/>
  <c r="J5" i="161"/>
  <c r="K5" i="161" s="1"/>
  <c r="I62" i="95"/>
  <c r="J61" i="95"/>
  <c r="I62" i="147"/>
  <c r="J61" i="147"/>
  <c r="E5" i="150"/>
  <c r="C4" i="150"/>
  <c r="J5" i="150"/>
  <c r="K5" i="150" s="1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I62" i="160"/>
  <c r="K62" i="44"/>
  <c r="E6" i="101"/>
  <c r="C5" i="101"/>
  <c r="J6" i="101"/>
  <c r="K6" i="101" s="1"/>
  <c r="E5" i="148"/>
  <c r="C4" i="148"/>
  <c r="J5" i="148"/>
  <c r="K5" i="148" s="1"/>
  <c r="I65" i="172"/>
  <c r="J64" i="172"/>
  <c r="Y8" i="1"/>
  <c r="C3" i="72"/>
  <c r="E4" i="72"/>
  <c r="J4" i="72"/>
  <c r="K4" i="72" s="1"/>
  <c r="J62" i="33"/>
  <c r="I63" i="33"/>
  <c r="E4" i="86"/>
  <c r="C3" i="86"/>
  <c r="J4" i="86"/>
  <c r="K4" i="86" s="1"/>
  <c r="K60" i="168"/>
  <c r="C3" i="61"/>
  <c r="J4" i="61"/>
  <c r="K4" i="61" s="1"/>
  <c r="E4" i="61"/>
  <c r="E3" i="105"/>
  <c r="C2" i="105"/>
  <c r="J3" i="105"/>
  <c r="K3" i="105" s="1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J63" i="44"/>
  <c r="I64" i="44"/>
  <c r="E6" i="23"/>
  <c r="C5" i="23"/>
  <c r="J6" i="23"/>
  <c r="K6" i="23" s="1"/>
  <c r="E2" i="87"/>
  <c r="F67" i="87"/>
  <c r="J2" i="87"/>
  <c r="K2" i="87" s="1"/>
  <c r="E6" i="153"/>
  <c r="C5" i="153"/>
  <c r="J6" i="153"/>
  <c r="K6" i="153" s="1"/>
  <c r="J63" i="159"/>
  <c r="K62" i="159" s="1"/>
  <c r="I64" i="159"/>
  <c r="K61" i="33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K66" i="74" s="1"/>
  <c r="K61" i="119"/>
  <c r="FW8" i="2"/>
  <c r="C3" i="173"/>
  <c r="E4" i="173"/>
  <c r="J4" i="173"/>
  <c r="K4" i="173" s="1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173"/>
  <c r="I63" i="123"/>
  <c r="J62" i="123"/>
  <c r="K62" i="25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K60" i="102"/>
  <c r="BF8" i="2"/>
  <c r="J65" i="82"/>
  <c r="I66" i="82"/>
  <c r="E6" i="140"/>
  <c r="C5" i="140"/>
  <c r="J6" i="140"/>
  <c r="K6" i="140" s="1"/>
  <c r="C4" i="144"/>
  <c r="E5" i="144"/>
  <c r="J5" i="144"/>
  <c r="K5" i="144" s="1"/>
  <c r="K61" i="4"/>
  <c r="J62" i="126"/>
  <c r="I63" i="126"/>
  <c r="E5" i="57"/>
  <c r="C4" i="57"/>
  <c r="J5" i="57"/>
  <c r="K5" i="57" s="1"/>
  <c r="E7" i="8"/>
  <c r="C6" i="8"/>
  <c r="HC7" i="2"/>
  <c r="BP7" i="1"/>
  <c r="J7" i="8"/>
  <c r="K7" i="8" s="1"/>
  <c r="J61" i="102"/>
  <c r="I62" i="102"/>
  <c r="I64" i="165"/>
  <c r="J63" i="165"/>
  <c r="K61" i="86"/>
  <c r="K64" i="71"/>
  <c r="C5" i="162"/>
  <c r="E6" i="162"/>
  <c r="J6" i="162"/>
  <c r="K6" i="162" s="1"/>
  <c r="E7" i="42"/>
  <c r="C6" i="42"/>
  <c r="J7" i="42"/>
  <c r="K7" i="42" s="1"/>
  <c r="FV7" i="2"/>
  <c r="E4" i="73"/>
  <c r="C3" i="73"/>
  <c r="J4" i="73"/>
  <c r="K4" i="73" s="1"/>
  <c r="E5" i="11"/>
  <c r="C4" i="11"/>
  <c r="J5" i="11"/>
  <c r="K5" i="11" s="1"/>
  <c r="J62" i="4"/>
  <c r="I63" i="4"/>
  <c r="K61" i="126"/>
  <c r="E5" i="4"/>
  <c r="C4" i="4"/>
  <c r="J5" i="4"/>
  <c r="K5" i="4" s="1"/>
  <c r="AI7" i="1"/>
  <c r="F67" i="166"/>
  <c r="E2" i="166"/>
  <c r="J2" i="166"/>
  <c r="K2" i="166" s="1"/>
  <c r="J64" i="101"/>
  <c r="I65" i="101"/>
  <c r="AU8" i="2"/>
  <c r="I62" i="64"/>
  <c r="J61" i="64"/>
  <c r="DI7" i="2"/>
  <c r="K62" i="165"/>
  <c r="I63" i="86"/>
  <c r="J62" i="86"/>
  <c r="K61" i="88"/>
  <c r="I63" i="5"/>
  <c r="J62" i="5"/>
  <c r="I62" i="130"/>
  <c r="J61" i="130"/>
  <c r="J65" i="71"/>
  <c r="I66" i="71"/>
  <c r="K62" i="157"/>
  <c r="K59" i="160"/>
  <c r="K61" i="137"/>
  <c r="E5" i="135"/>
  <c r="C4" i="135"/>
  <c r="J5" i="135"/>
  <c r="K5" i="135" s="1"/>
  <c r="E5" i="113"/>
  <c r="C4" i="113"/>
  <c r="J5" i="113"/>
  <c r="K5" i="113" s="1"/>
  <c r="I63" i="84"/>
  <c r="J62" i="84"/>
  <c r="J62" i="111"/>
  <c r="K61" i="111" s="1"/>
  <c r="I63" i="111"/>
  <c r="C6" i="91"/>
  <c r="E7" i="91"/>
  <c r="J7" i="91"/>
  <c r="K7" i="91" s="1"/>
  <c r="BQ8" i="2"/>
  <c r="K61" i="49"/>
  <c r="J62" i="50"/>
  <c r="K61" i="50" s="1"/>
  <c r="I63" i="50"/>
  <c r="K63" i="101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I63" i="131"/>
  <c r="J62" i="131"/>
  <c r="I64" i="157"/>
  <c r="J63" i="157"/>
  <c r="C5" i="108"/>
  <c r="E6" i="108"/>
  <c r="J6" i="108"/>
  <c r="K6" i="108" s="1"/>
  <c r="K60" i="119"/>
  <c r="E7" i="53"/>
  <c r="C6" i="53"/>
  <c r="J7" i="53"/>
  <c r="K7" i="53" s="1"/>
  <c r="J62" i="137"/>
  <c r="I63" i="137"/>
  <c r="I65" i="117"/>
  <c r="J64" i="117"/>
  <c r="K63" i="117" s="1"/>
  <c r="K61" i="31"/>
  <c r="C4" i="17"/>
  <c r="E5" i="17"/>
  <c r="J5" i="17"/>
  <c r="K5" i="17" s="1"/>
  <c r="K61" i="84"/>
  <c r="I63" i="103"/>
  <c r="J62" i="103"/>
  <c r="K61" i="103" s="1"/>
  <c r="C6" i="52"/>
  <c r="E7" i="52"/>
  <c r="BP7" i="2"/>
  <c r="J7" i="52"/>
  <c r="K7" i="52" s="1"/>
  <c r="K60" i="143"/>
  <c r="I63" i="49"/>
  <c r="J62" i="49"/>
  <c r="K60" i="147"/>
  <c r="C3" i="168"/>
  <c r="E4" i="168"/>
  <c r="J4" i="168"/>
  <c r="K4" i="168" s="1"/>
  <c r="I64" i="28"/>
  <c r="J63" i="28"/>
  <c r="K60" i="100"/>
  <c r="K64" i="27"/>
  <c r="K61" i="131"/>
  <c r="E7" i="58"/>
  <c r="C6" i="58"/>
  <c r="J7" i="58"/>
  <c r="K7" i="58" s="1"/>
  <c r="I65" i="98"/>
  <c r="J64" i="98"/>
  <c r="K62" i="101"/>
  <c r="J63" i="68"/>
  <c r="I64" i="68"/>
  <c r="E3" i="165"/>
  <c r="C2" i="165"/>
  <c r="J3" i="165"/>
  <c r="K3" i="165" s="1"/>
  <c r="J62" i="31"/>
  <c r="I63" i="31"/>
  <c r="E5" i="75"/>
  <c r="C4" i="75"/>
  <c r="J5" i="75"/>
  <c r="K5" i="75" s="1"/>
  <c r="I62" i="143"/>
  <c r="J61" i="143"/>
  <c r="E6" i="151"/>
  <c r="C5" i="151"/>
  <c r="J6" i="151"/>
  <c r="K6" i="151" s="1"/>
  <c r="K61" i="52"/>
  <c r="K60" i="138"/>
  <c r="E6" i="133"/>
  <c r="C5" i="133"/>
  <c r="J6" i="133"/>
  <c r="K6" i="133" s="1"/>
  <c r="DH6" i="2"/>
  <c r="K62" i="28"/>
  <c r="I64" i="23"/>
  <c r="J63" i="23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K61" i="56"/>
  <c r="E5" i="116"/>
  <c r="C4" i="116"/>
  <c r="J5" i="116"/>
  <c r="K5" i="116" s="1"/>
  <c r="I64" i="173"/>
  <c r="J63" i="173"/>
  <c r="I62" i="34"/>
  <c r="J61" i="34"/>
  <c r="FA7" i="2"/>
  <c r="J62" i="52"/>
  <c r="I63" i="52"/>
  <c r="K62" i="23"/>
  <c r="K60" i="65"/>
  <c r="I62" i="140"/>
  <c r="J61" i="140"/>
  <c r="E4" i="85"/>
  <c r="C3" i="85"/>
  <c r="J4" i="85"/>
  <c r="K4" i="85" s="1"/>
  <c r="K61" i="25"/>
  <c r="K60" i="105"/>
  <c r="C5" i="20"/>
  <c r="E6" i="20"/>
  <c r="J6" i="20"/>
  <c r="K6" i="20" s="1"/>
  <c r="F67" i="157"/>
  <c r="E2" i="157"/>
  <c r="J2" i="157"/>
  <c r="K2" i="157" s="1"/>
  <c r="J63" i="93"/>
  <c r="I64" i="93"/>
  <c r="E3" i="45"/>
  <c r="C2" i="45"/>
  <c r="J3" i="45"/>
  <c r="K3" i="45" s="1"/>
  <c r="C6" i="136"/>
  <c r="E7" i="136"/>
  <c r="J7" i="136"/>
  <c r="K7" i="136" s="1"/>
  <c r="C4" i="118"/>
  <c r="E5" i="118"/>
  <c r="J5" i="118"/>
  <c r="K5" i="118" s="1"/>
  <c r="I63" i="168"/>
  <c r="J62" i="168"/>
  <c r="K61" i="168" s="1"/>
  <c r="J62" i="97"/>
  <c r="I63" i="97"/>
  <c r="K59" i="64"/>
  <c r="E6" i="117"/>
  <c r="C5" i="117"/>
  <c r="J6" i="117"/>
  <c r="K6" i="117" s="1"/>
  <c r="J61" i="65"/>
  <c r="I62" i="65"/>
  <c r="C6" i="92"/>
  <c r="E7" i="92"/>
  <c r="J7" i="92"/>
  <c r="K7" i="92" s="1"/>
  <c r="K60" i="144"/>
  <c r="I67" i="15"/>
  <c r="J67" i="15" s="1"/>
  <c r="J66" i="15"/>
  <c r="I64" i="158"/>
  <c r="J63" i="158"/>
  <c r="E7" i="172"/>
  <c r="C6" i="172"/>
  <c r="J7" i="172"/>
  <c r="K7" i="172" s="1"/>
  <c r="K60" i="121"/>
  <c r="I67" i="61"/>
  <c r="J67" i="61" s="1"/>
  <c r="J66" i="61"/>
  <c r="K66" i="61" s="1"/>
  <c r="HD8" i="2"/>
  <c r="I64" i="124"/>
  <c r="J63" i="124"/>
  <c r="J63" i="37"/>
  <c r="K62" i="37" s="1"/>
  <c r="I64" i="37"/>
  <c r="I64" i="92"/>
  <c r="J63" i="92"/>
  <c r="K62" i="92" s="1"/>
  <c r="FL8" i="2"/>
  <c r="E4" i="149"/>
  <c r="C3" i="149"/>
  <c r="J4" i="149"/>
  <c r="K4" i="149" s="1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K65" i="15"/>
  <c r="E5" i="66"/>
  <c r="C4" i="66"/>
  <c r="J5" i="66"/>
  <c r="K5" i="66" s="1"/>
  <c r="J61" i="110"/>
  <c r="K60" i="110" s="1"/>
  <c r="I62" i="110"/>
  <c r="E4" i="159"/>
  <c r="C3" i="159"/>
  <c r="J4" i="159"/>
  <c r="K4" i="159" s="1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K60" i="8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K63" i="7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C6" i="158"/>
  <c r="E7" i="158"/>
  <c r="J7" i="158"/>
  <c r="K7" i="158" s="1"/>
  <c r="J62" i="76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K64" i="14"/>
  <c r="J64" i="77"/>
  <c r="I65" i="77"/>
  <c r="E5" i="67"/>
  <c r="C4" i="67"/>
  <c r="J5" i="67"/>
  <c r="K5" i="67" s="1"/>
  <c r="C4" i="25"/>
  <c r="E5" i="25"/>
  <c r="J5" i="25"/>
  <c r="K5" i="25" s="1"/>
  <c r="K60" i="108"/>
  <c r="I62" i="11"/>
  <c r="J61" i="11"/>
  <c r="K60" i="11" s="1"/>
  <c r="I63" i="85"/>
  <c r="J62" i="85"/>
  <c r="F67" i="146"/>
  <c r="E2" i="146"/>
  <c r="J2" i="146"/>
  <c r="K2" i="146" s="1"/>
  <c r="K60" i="126"/>
  <c r="K63" i="29"/>
  <c r="HY7" i="2"/>
  <c r="I63" i="154"/>
  <c r="J62" i="154"/>
  <c r="F67" i="138"/>
  <c r="E2" i="138"/>
  <c r="J2" i="138"/>
  <c r="K2" i="138" s="1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C5" i="164"/>
  <c r="E6" i="164"/>
  <c r="J6" i="164"/>
  <c r="K6" i="164" s="1"/>
  <c r="I63" i="19"/>
  <c r="J62" i="19"/>
  <c r="C2" i="160"/>
  <c r="E3" i="160"/>
  <c r="J3" i="160"/>
  <c r="K3" i="160" s="1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C2" i="102"/>
  <c r="E3" i="102"/>
  <c r="J3" i="102"/>
  <c r="K3" i="102" s="1"/>
  <c r="K61" i="76"/>
  <c r="E6" i="63"/>
  <c r="C5" i="63"/>
  <c r="J6" i="63"/>
  <c r="K6" i="63" s="1"/>
  <c r="CL6" i="2"/>
  <c r="K60" i="154"/>
  <c r="E5" i="104"/>
  <c r="C4" i="104"/>
  <c r="J5" i="104"/>
  <c r="K5" i="104" s="1"/>
  <c r="CM8" i="2"/>
  <c r="J62" i="104"/>
  <c r="I63" i="104"/>
  <c r="E6" i="77"/>
  <c r="C5" i="77"/>
  <c r="J6" i="77"/>
  <c r="K6" i="77" s="1"/>
  <c r="K59" i="130"/>
  <c r="K63" i="152"/>
  <c r="E4" i="115"/>
  <c r="C3" i="115"/>
  <c r="J4" i="115"/>
  <c r="K4" i="115" s="1"/>
  <c r="J64" i="89"/>
  <c r="K63" i="89" s="1"/>
  <c r="I65" i="89"/>
  <c r="K61" i="19"/>
  <c r="K60" i="141"/>
  <c r="E5" i="139"/>
  <c r="C4" i="139"/>
  <c r="J5" i="139"/>
  <c r="K5" i="139" s="1"/>
  <c r="K62" i="132"/>
  <c r="E6" i="119"/>
  <c r="C5" i="119"/>
  <c r="J6" i="119"/>
  <c r="K6" i="119" s="1"/>
  <c r="K60" i="47"/>
  <c r="AJ8" i="1"/>
  <c r="K64" i="145"/>
  <c r="J65" i="94"/>
  <c r="I66" i="94"/>
  <c r="E5" i="9"/>
  <c r="C4" i="9"/>
  <c r="J5" i="9"/>
  <c r="K5" i="9" s="1"/>
  <c r="K60" i="116"/>
  <c r="E3" i="131"/>
  <c r="C2" i="131"/>
  <c r="J3" i="131"/>
  <c r="K3" i="131" s="1"/>
  <c r="EE8" i="2"/>
  <c r="K61" i="104"/>
  <c r="I65" i="142"/>
  <c r="J64" i="142"/>
  <c r="C6" i="121"/>
  <c r="AI6" i="2" s="1"/>
  <c r="E7" i="121"/>
  <c r="J7" i="121"/>
  <c r="K7" i="121" s="1"/>
  <c r="K64" i="12"/>
  <c r="J64" i="152"/>
  <c r="I65" i="152"/>
  <c r="E4" i="84"/>
  <c r="C3" i="84"/>
  <c r="J4" i="84"/>
  <c r="K4" i="84" s="1"/>
  <c r="K63" i="135"/>
  <c r="C4" i="167"/>
  <c r="E5" i="167"/>
  <c r="J5" i="167"/>
  <c r="K5" i="167" s="1"/>
  <c r="I65" i="51"/>
  <c r="J64" i="51"/>
  <c r="I62" i="141"/>
  <c r="J61" i="141"/>
  <c r="I65" i="13"/>
  <c r="J64" i="13"/>
  <c r="K63" i="13" s="1"/>
  <c r="C5" i="13"/>
  <c r="E6" i="13"/>
  <c r="J6" i="13"/>
  <c r="K6" i="13" s="1"/>
  <c r="K61" i="72"/>
  <c r="I65" i="164"/>
  <c r="J64" i="164"/>
  <c r="J61" i="47"/>
  <c r="I62" i="47"/>
  <c r="I63" i="116"/>
  <c r="J62" i="116"/>
  <c r="E4" i="106"/>
  <c r="C3" i="106"/>
  <c r="J4" i="106"/>
  <c r="K4" i="106" s="1"/>
  <c r="J65" i="59"/>
  <c r="K64" i="59" s="1"/>
  <c r="I66" i="59"/>
  <c r="E7" i="90"/>
  <c r="C6" i="90"/>
  <c r="J7" i="90"/>
  <c r="K7" i="90" s="1"/>
  <c r="C4" i="5"/>
  <c r="E5" i="5"/>
  <c r="J5" i="5"/>
  <c r="K5" i="5" s="1"/>
  <c r="K64" i="94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K60" i="55"/>
  <c r="C5" i="71"/>
  <c r="E6" i="71"/>
  <c r="J6" i="71"/>
  <c r="K6" i="71" s="1"/>
  <c r="I65" i="135"/>
  <c r="J64" i="135"/>
  <c r="K64" i="32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K63" i="164"/>
  <c r="E6" i="76"/>
  <c r="C5" i="76"/>
  <c r="J6" i="76"/>
  <c r="K6" i="76" s="1"/>
  <c r="K63" i="42"/>
  <c r="K60" i="131"/>
  <c r="I62" i="55"/>
  <c r="J61" i="55"/>
  <c r="K61" i="161"/>
  <c r="J61" i="148"/>
  <c r="K60" i="148" s="1"/>
  <c r="I62" i="148"/>
  <c r="E5" i="65"/>
  <c r="C4" i="65"/>
  <c r="J5" i="65"/>
  <c r="K5" i="65" s="1"/>
  <c r="J65" i="32"/>
  <c r="I66" i="32"/>
  <c r="K59" i="109"/>
  <c r="K59" i="35"/>
  <c r="K60" i="40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I63" i="162"/>
  <c r="I64" i="60"/>
  <c r="J63" i="60"/>
  <c r="I63" i="80"/>
  <c r="J62" i="80"/>
  <c r="FK7" i="2"/>
  <c r="J63" i="41"/>
  <c r="I64" i="41"/>
  <c r="DT6" i="2"/>
  <c r="E5" i="18"/>
  <c r="C4" i="18"/>
  <c r="J5" i="18"/>
  <c r="K5" i="18" s="1"/>
  <c r="I66" i="22"/>
  <c r="J65" i="22"/>
  <c r="E2" i="32"/>
  <c r="J2" i="32"/>
  <c r="K2" i="32" s="1"/>
  <c r="K62" i="16"/>
  <c r="E7" i="55"/>
  <c r="C6" i="55"/>
  <c r="FK6" i="2" s="1"/>
  <c r="J7" i="55"/>
  <c r="K7" i="55" s="1"/>
  <c r="K62" i="30"/>
  <c r="K62" i="122"/>
  <c r="I63" i="39"/>
  <c r="J62" i="39"/>
  <c r="I63" i="161"/>
  <c r="J62" i="161"/>
  <c r="I67" i="46"/>
  <c r="J67" i="46" s="1"/>
  <c r="J66" i="46"/>
  <c r="E6" i="36"/>
  <c r="C5" i="36"/>
  <c r="J6" i="36"/>
  <c r="K6" i="36" s="1"/>
  <c r="K60" i="19"/>
  <c r="E3" i="59"/>
  <c r="C2" i="59"/>
  <c r="J3" i="59"/>
  <c r="K3" i="59" s="1"/>
  <c r="K59" i="11"/>
  <c r="C3" i="51"/>
  <c r="E4" i="51"/>
  <c r="J4" i="51"/>
  <c r="K4" i="51" s="1"/>
  <c r="C5" i="125"/>
  <c r="E6" i="125"/>
  <c r="J6" i="125"/>
  <c r="K6" i="125" s="1"/>
  <c r="J61" i="40"/>
  <c r="I62" i="40"/>
  <c r="K61" i="57"/>
  <c r="K59" i="8"/>
  <c r="E7" i="109"/>
  <c r="C6" i="109"/>
  <c r="ED7" i="2"/>
  <c r="J7" i="109"/>
  <c r="K7" i="109" s="1"/>
  <c r="K62" i="60"/>
  <c r="C5" i="88"/>
  <c r="E6" i="88"/>
  <c r="J6" i="88"/>
  <c r="K6" i="88" s="1"/>
  <c r="K61" i="67"/>
  <c r="J63" i="30"/>
  <c r="I64" i="30"/>
  <c r="K62" i="129"/>
  <c r="K60" i="120"/>
  <c r="K61" i="114"/>
  <c r="E5" i="60"/>
  <c r="C4" i="60"/>
  <c r="J5" i="60"/>
  <c r="K5" i="60" s="1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1" i="162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K60" i="36"/>
  <c r="I62" i="90"/>
  <c r="J61" i="90"/>
  <c r="K62" i="98"/>
  <c r="J62" i="67"/>
  <c r="I63" i="67"/>
  <c r="I62" i="163"/>
  <c r="J61" i="163"/>
  <c r="J63" i="129"/>
  <c r="I64" i="129"/>
  <c r="J61" i="120"/>
  <c r="I62" i="120"/>
  <c r="K60" i="155"/>
  <c r="I63" i="114"/>
  <c r="J62" i="114"/>
  <c r="Y8" i="2"/>
  <c r="GR7" i="2"/>
  <c r="E5" i="103"/>
  <c r="C4" i="103"/>
  <c r="J5" i="103"/>
  <c r="K5" i="103" s="1"/>
  <c r="K61" i="159"/>
  <c r="K61" i="169"/>
  <c r="J63" i="10"/>
  <c r="I64" i="10"/>
  <c r="K62" i="139"/>
  <c r="I63" i="20"/>
  <c r="J62" i="20"/>
  <c r="K61" i="20" s="1"/>
  <c r="C4" i="129"/>
  <c r="E5" i="129"/>
  <c r="J5" i="129"/>
  <c r="K5" i="129" s="1"/>
  <c r="DS5" i="2"/>
  <c r="I62" i="36"/>
  <c r="J61" i="36"/>
  <c r="K60" i="90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J4" i="62"/>
  <c r="K4" i="62" s="1"/>
  <c r="E4" i="62"/>
  <c r="C3" i="62"/>
  <c r="N8" i="1"/>
  <c r="K59" i="81"/>
  <c r="K61" i="53"/>
  <c r="K60" i="112"/>
  <c r="I63" i="170"/>
  <c r="J62" i="170"/>
  <c r="K61" i="170" s="1"/>
  <c r="I63" i="169"/>
  <c r="J62" i="169"/>
  <c r="I65" i="48"/>
  <c r="J64" i="48"/>
  <c r="K63" i="48" s="1"/>
  <c r="J63" i="139"/>
  <c r="I64" i="139"/>
  <c r="IU6" i="2"/>
  <c r="AJ6" i="2" l="1"/>
  <c r="FL6" i="2"/>
  <c r="BF6" i="2"/>
  <c r="GS6" i="2"/>
  <c r="AJ6" i="1"/>
  <c r="I64" i="144"/>
  <c r="J63" i="144"/>
  <c r="E5" i="80"/>
  <c r="C4" i="80"/>
  <c r="J5" i="80"/>
  <c r="K5" i="80" s="1"/>
  <c r="J65" i="48"/>
  <c r="I66" i="48"/>
  <c r="J62" i="36"/>
  <c r="I63" i="36"/>
  <c r="K62" i="80"/>
  <c r="I63" i="141"/>
  <c r="J62" i="141"/>
  <c r="K65" i="14"/>
  <c r="I63" i="8"/>
  <c r="J62" i="8"/>
  <c r="E6" i="172"/>
  <c r="C5" i="172"/>
  <c r="J6" i="172"/>
  <c r="K6" i="172" s="1"/>
  <c r="E2" i="45"/>
  <c r="J2" i="45"/>
  <c r="K2" i="45" s="1"/>
  <c r="J63" i="49"/>
  <c r="I64" i="49"/>
  <c r="I63" i="100"/>
  <c r="J62" i="100"/>
  <c r="HD7" i="2"/>
  <c r="K65" i="74"/>
  <c r="E3" i="72"/>
  <c r="C2" i="72"/>
  <c r="J3" i="72"/>
  <c r="K3" i="72" s="1"/>
  <c r="I64" i="151"/>
  <c r="J63" i="151"/>
  <c r="I65" i="10"/>
  <c r="J64" i="10"/>
  <c r="I63" i="109"/>
  <c r="J62" i="109"/>
  <c r="DT5" i="2"/>
  <c r="I63" i="90"/>
  <c r="J62" i="90"/>
  <c r="E4" i="60"/>
  <c r="C3" i="60"/>
  <c r="J4" i="60"/>
  <c r="K4" i="60" s="1"/>
  <c r="I64" i="80"/>
  <c r="J63" i="80"/>
  <c r="I67" i="14"/>
  <c r="J67" i="14" s="1"/>
  <c r="J66" i="14"/>
  <c r="K66" i="14" s="1"/>
  <c r="J62" i="146"/>
  <c r="I63" i="146"/>
  <c r="E5" i="48"/>
  <c r="C4" i="48"/>
  <c r="J5" i="48"/>
  <c r="K5" i="48" s="1"/>
  <c r="I63" i="143"/>
  <c r="J62" i="143"/>
  <c r="K61" i="100"/>
  <c r="E6" i="8"/>
  <c r="C5" i="8"/>
  <c r="HC6" i="2"/>
  <c r="BP6" i="1"/>
  <c r="J6" i="8"/>
  <c r="K6" i="8" s="1"/>
  <c r="C2" i="173"/>
  <c r="E3" i="173"/>
  <c r="J3" i="173"/>
  <c r="K3" i="173" s="1"/>
  <c r="J62" i="95"/>
  <c r="I63" i="95"/>
  <c r="K62" i="151"/>
  <c r="J63" i="169"/>
  <c r="I64" i="169"/>
  <c r="E5" i="76"/>
  <c r="C4" i="76"/>
  <c r="J5" i="76"/>
  <c r="K5" i="76" s="1"/>
  <c r="I66" i="51"/>
  <c r="J65" i="51"/>
  <c r="E2" i="160"/>
  <c r="F67" i="160"/>
  <c r="J2" i="160"/>
  <c r="K2" i="160" s="1"/>
  <c r="E4" i="25"/>
  <c r="C3" i="25"/>
  <c r="J4" i="25"/>
  <c r="K4" i="25" s="1"/>
  <c r="J64" i="83"/>
  <c r="I65" i="83"/>
  <c r="I65" i="93"/>
  <c r="J64" i="93"/>
  <c r="I66" i="132"/>
  <c r="J65" i="132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E4" i="64"/>
  <c r="C3" i="64"/>
  <c r="J4" i="64"/>
  <c r="K4" i="64" s="1"/>
  <c r="CM6" i="2"/>
  <c r="E4" i="68"/>
  <c r="C3" i="68"/>
  <c r="J4" i="68"/>
  <c r="K4" i="68" s="1"/>
  <c r="F67" i="111"/>
  <c r="E2" i="111"/>
  <c r="J2" i="111"/>
  <c r="K2" i="111" s="1"/>
  <c r="I65" i="167"/>
  <c r="J64" i="167"/>
  <c r="K64" i="132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K63" i="149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K64" i="172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4" i="62"/>
  <c r="K66" i="15"/>
  <c r="E6" i="52"/>
  <c r="C5" i="52"/>
  <c r="BP6" i="2"/>
  <c r="J6" i="52"/>
  <c r="K6" i="52" s="1"/>
  <c r="I65" i="149"/>
  <c r="J64" i="149"/>
  <c r="J65" i="172"/>
  <c r="I66" i="172"/>
  <c r="C3" i="161"/>
  <c r="E4" i="161"/>
  <c r="J4" i="161"/>
  <c r="K4" i="161" s="1"/>
  <c r="C2" i="120"/>
  <c r="E3" i="120"/>
  <c r="J3" i="120"/>
  <c r="K3" i="120" s="1"/>
  <c r="C4" i="114"/>
  <c r="E5" i="114"/>
  <c r="J5" i="114"/>
  <c r="K5" i="114" s="1"/>
  <c r="K61" i="112"/>
  <c r="C2" i="37"/>
  <c r="J3" i="37"/>
  <c r="K3" i="37" s="1"/>
  <c r="E3" i="37"/>
  <c r="I66" i="77"/>
  <c r="J65" i="77"/>
  <c r="K61" i="130"/>
  <c r="I64" i="4"/>
  <c r="J63" i="4"/>
  <c r="I64" i="126"/>
  <c r="J63" i="126"/>
  <c r="I64" i="153"/>
  <c r="J63" i="153"/>
  <c r="I66" i="62"/>
  <c r="J65" i="62"/>
  <c r="C3" i="54"/>
  <c r="E4" i="54"/>
  <c r="J4" i="54"/>
  <c r="K4" i="54" s="1"/>
  <c r="C4" i="78"/>
  <c r="E5" i="78"/>
  <c r="J5" i="78"/>
  <c r="K5" i="78" s="1"/>
  <c r="I64" i="31"/>
  <c r="J63" i="31"/>
  <c r="K62" i="31" s="1"/>
  <c r="K62" i="103"/>
  <c r="K64" i="77"/>
  <c r="K64" i="29"/>
  <c r="I65" i="18"/>
  <c r="J64" i="18"/>
  <c r="K63" i="18" s="1"/>
  <c r="K62" i="167"/>
  <c r="I64" i="103"/>
  <c r="J63" i="103"/>
  <c r="C5" i="49"/>
  <c r="E6" i="49"/>
  <c r="J6" i="49"/>
  <c r="K6" i="49" s="1"/>
  <c r="J62" i="130"/>
  <c r="I63" i="130"/>
  <c r="K62" i="4"/>
  <c r="K62" i="126"/>
  <c r="K62" i="83"/>
  <c r="K62" i="153"/>
  <c r="C3" i="148"/>
  <c r="E4" i="148"/>
  <c r="J4" i="148"/>
  <c r="K4" i="148" s="1"/>
  <c r="K61" i="9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3" i="84"/>
  <c r="C2" i="84"/>
  <c r="J3" i="84"/>
  <c r="K3" i="84" s="1"/>
  <c r="E5" i="164"/>
  <c r="C4" i="164"/>
  <c r="J5" i="164"/>
  <c r="K5" i="164" s="1"/>
  <c r="J65" i="29"/>
  <c r="I66" i="29"/>
  <c r="K64" i="128"/>
  <c r="K65" i="61"/>
  <c r="E6" i="3"/>
  <c r="C5" i="3"/>
  <c r="J6" i="3"/>
  <c r="K6" i="3" s="1"/>
  <c r="K62" i="5"/>
  <c r="K62" i="123"/>
  <c r="J62" i="91"/>
  <c r="I63" i="91"/>
  <c r="C3" i="139"/>
  <c r="E4" i="139"/>
  <c r="J4" i="139"/>
  <c r="K4" i="139" s="1"/>
  <c r="J65" i="128"/>
  <c r="I66" i="128"/>
  <c r="C4" i="20"/>
  <c r="E5" i="20"/>
  <c r="J5" i="20"/>
  <c r="K5" i="20" s="1"/>
  <c r="J2" i="165"/>
  <c r="K2" i="165" s="1"/>
  <c r="E2" i="165"/>
  <c r="F67" i="165"/>
  <c r="J63" i="5"/>
  <c r="I64" i="5"/>
  <c r="E4" i="11"/>
  <c r="C3" i="11"/>
  <c r="J4" i="11"/>
  <c r="K4" i="11" s="1"/>
  <c r="I64" i="123"/>
  <c r="J63" i="123"/>
  <c r="K66" i="75"/>
  <c r="C4" i="21"/>
  <c r="E5" i="21"/>
  <c r="J5" i="21"/>
  <c r="K5" i="21" s="1"/>
  <c r="E2" i="43"/>
  <c r="J2" i="43"/>
  <c r="K2" i="43" s="1"/>
  <c r="N7" i="1"/>
  <c r="I64" i="87"/>
  <c r="J63" i="87"/>
  <c r="E6" i="90"/>
  <c r="C5" i="90"/>
  <c r="J6" i="90"/>
  <c r="K6" i="90" s="1"/>
  <c r="I66" i="152"/>
  <c r="J65" i="152"/>
  <c r="F67" i="102"/>
  <c r="E2" i="102"/>
  <c r="J2" i="102"/>
  <c r="K2" i="102" s="1"/>
  <c r="I64" i="57"/>
  <c r="J63" i="57"/>
  <c r="C4" i="41"/>
  <c r="E5" i="41"/>
  <c r="J5" i="41"/>
  <c r="K5" i="41" s="1"/>
  <c r="K63" i="62"/>
  <c r="E4" i="99"/>
  <c r="C3" i="99"/>
  <c r="J4" i="99"/>
  <c r="K4" i="99" s="1"/>
  <c r="K61" i="105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K64" i="152"/>
  <c r="J63" i="138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I63" i="105"/>
  <c r="I65" i="68"/>
  <c r="J64" i="68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K63" i="25"/>
  <c r="HN6" i="2"/>
  <c r="E6" i="174"/>
  <c r="C5" i="174"/>
  <c r="J6" i="174"/>
  <c r="K6" i="174" s="1"/>
  <c r="J63" i="106"/>
  <c r="K62" i="106" s="1"/>
  <c r="I64" i="106"/>
  <c r="K62" i="138"/>
  <c r="J63" i="70"/>
  <c r="I64" i="70"/>
  <c r="I66" i="16"/>
  <c r="J65" i="16"/>
  <c r="C4" i="134"/>
  <c r="E5" i="134"/>
  <c r="EZ5" i="2"/>
  <c r="J5" i="134"/>
  <c r="K5" i="134" s="1"/>
  <c r="J62" i="65"/>
  <c r="I63" i="65"/>
  <c r="K63" i="68"/>
  <c r="J63" i="86"/>
  <c r="I64" i="86"/>
  <c r="E3" i="73"/>
  <c r="C2" i="73"/>
  <c r="J3" i="73"/>
  <c r="K3" i="73" s="1"/>
  <c r="I65" i="25"/>
  <c r="J64" i="25"/>
  <c r="I63" i="171"/>
  <c r="J62" i="171"/>
  <c r="J64" i="72"/>
  <c r="K63" i="72" s="1"/>
  <c r="I65" i="72"/>
  <c r="J62" i="166"/>
  <c r="I63" i="166"/>
  <c r="I65" i="99"/>
  <c r="J64" i="99"/>
  <c r="E4" i="74"/>
  <c r="C3" i="74"/>
  <c r="J4" i="74"/>
  <c r="K4" i="74" s="1"/>
  <c r="E6" i="12"/>
  <c r="C5" i="12"/>
  <c r="M6" i="1"/>
  <c r="X6" i="2"/>
  <c r="J6" i="12"/>
  <c r="K6" i="12" s="1"/>
  <c r="K63" i="10"/>
  <c r="K64" i="16"/>
  <c r="E6" i="93"/>
  <c r="C5" i="93"/>
  <c r="J6" i="93"/>
  <c r="K6" i="93" s="1"/>
  <c r="C4" i="10"/>
  <c r="E5" i="10"/>
  <c r="J5" i="10"/>
  <c r="K5" i="10" s="1"/>
  <c r="K63" i="63"/>
  <c r="E3" i="85"/>
  <c r="C2" i="85"/>
  <c r="J3" i="85"/>
  <c r="K3" i="85" s="1"/>
  <c r="I66" i="136"/>
  <c r="J65" i="136"/>
  <c r="J62" i="160"/>
  <c r="I63" i="160"/>
  <c r="K61" i="166"/>
  <c r="K63" i="99"/>
  <c r="C3" i="103"/>
  <c r="E4" i="103"/>
  <c r="J4" i="103"/>
  <c r="K4" i="103" s="1"/>
  <c r="J65" i="89"/>
  <c r="I66" i="89"/>
  <c r="E4" i="19"/>
  <c r="C3" i="19"/>
  <c r="J4" i="19"/>
  <c r="K4" i="19" s="1"/>
  <c r="HZ6" i="2"/>
  <c r="IK6" i="2"/>
  <c r="J64" i="63"/>
  <c r="I65" i="63"/>
  <c r="K62" i="18"/>
  <c r="K65" i="27"/>
  <c r="J65" i="117"/>
  <c r="I66" i="117"/>
  <c r="I64" i="50"/>
  <c r="J63" i="50"/>
  <c r="K62" i="149"/>
  <c r="FW7" i="2"/>
  <c r="C4" i="140"/>
  <c r="E5" i="140"/>
  <c r="J5" i="140"/>
  <c r="K5" i="140" s="1"/>
  <c r="K64" i="136"/>
  <c r="C4" i="89"/>
  <c r="E5" i="89"/>
  <c r="J5" i="89"/>
  <c r="K5" i="89" s="1"/>
  <c r="K61" i="160"/>
  <c r="I63" i="58"/>
  <c r="J62" i="58"/>
  <c r="K65" i="12"/>
  <c r="K62" i="87"/>
  <c r="EE7" i="2"/>
  <c r="E6" i="55"/>
  <c r="C5" i="55"/>
  <c r="J6" i="55"/>
  <c r="K6" i="55" s="1"/>
  <c r="E4" i="83"/>
  <c r="C3" i="83"/>
  <c r="J4" i="83"/>
  <c r="K4" i="83" s="1"/>
  <c r="E3" i="106"/>
  <c r="C2" i="106"/>
  <c r="J3" i="106"/>
  <c r="K3" i="106" s="1"/>
  <c r="E6" i="121"/>
  <c r="C5" i="121"/>
  <c r="J6" i="121"/>
  <c r="K6" i="121" s="1"/>
  <c r="E3" i="171"/>
  <c r="C2" i="171"/>
  <c r="J3" i="171"/>
  <c r="K3" i="171" s="1"/>
  <c r="J66" i="27"/>
  <c r="I67" i="27"/>
  <c r="J67" i="27" s="1"/>
  <c r="I66" i="98"/>
  <c r="J65" i="98"/>
  <c r="K64" i="98" s="1"/>
  <c r="J63" i="137"/>
  <c r="K62" i="137" s="1"/>
  <c r="I64" i="137"/>
  <c r="K62" i="50"/>
  <c r="C5" i="155"/>
  <c r="CL5" i="2" s="1"/>
  <c r="E6" i="155"/>
  <c r="J6" i="155"/>
  <c r="K6" i="155" s="1"/>
  <c r="K61" i="153"/>
  <c r="K61" i="35"/>
  <c r="E4" i="130"/>
  <c r="C3" i="130"/>
  <c r="J4" i="130"/>
  <c r="K4" i="130" s="1"/>
  <c r="K66" i="7"/>
  <c r="J65" i="156"/>
  <c r="K64" i="156" s="1"/>
  <c r="I66" i="156"/>
  <c r="I64" i="21"/>
  <c r="J63" i="2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2" i="149"/>
  <c r="E3" i="149"/>
  <c r="J3" i="149"/>
  <c r="K3" i="149" s="1"/>
  <c r="C4" i="117"/>
  <c r="E5" i="117"/>
  <c r="J5" i="117"/>
  <c r="K5" i="117" s="1"/>
  <c r="J62" i="140"/>
  <c r="I63" i="140"/>
  <c r="K61" i="96"/>
  <c r="E6" i="42"/>
  <c r="C5" i="42"/>
  <c r="J6" i="42"/>
  <c r="K6" i="42" s="1"/>
  <c r="FV6" i="2"/>
  <c r="I67" i="82"/>
  <c r="J67" i="82" s="1"/>
  <c r="J66" i="82"/>
  <c r="K66" i="82" s="1"/>
  <c r="I66" i="26"/>
  <c r="J65" i="26"/>
  <c r="E5" i="147"/>
  <c r="C4" i="147"/>
  <c r="J5" i="147"/>
  <c r="K5" i="147" s="1"/>
  <c r="I65" i="159"/>
  <c r="J64" i="159"/>
  <c r="F67" i="105"/>
  <c r="E2" i="105"/>
  <c r="J2" i="105"/>
  <c r="K2" i="105" s="1"/>
  <c r="I63" i="35"/>
  <c r="J62" i="35"/>
  <c r="E6" i="170"/>
  <c r="C5" i="170"/>
  <c r="J6" i="170"/>
  <c r="K6" i="170" s="1"/>
  <c r="J64" i="113"/>
  <c r="K63" i="113" s="1"/>
  <c r="I65" i="113"/>
  <c r="C5" i="58"/>
  <c r="E6" i="58"/>
  <c r="J6" i="58"/>
  <c r="K6" i="58" s="1"/>
  <c r="K63" i="159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I63" i="96"/>
  <c r="I67" i="32"/>
  <c r="J67" i="32" s="1"/>
  <c r="J66" i="32"/>
  <c r="K65" i="32" s="1"/>
  <c r="J63" i="116"/>
  <c r="I64" i="116"/>
  <c r="E3" i="115"/>
  <c r="C2" i="115"/>
  <c r="J3" i="115"/>
  <c r="K3" i="115" s="1"/>
  <c r="K62" i="144"/>
  <c r="I63" i="43"/>
  <c r="J62" i="43"/>
  <c r="K61" i="70"/>
  <c r="J63" i="108"/>
  <c r="I64" i="108"/>
  <c r="K60" i="96"/>
  <c r="K63" i="23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J63" i="97"/>
  <c r="I64" i="97"/>
  <c r="I65" i="23"/>
  <c r="J64" i="23"/>
  <c r="E5" i="35"/>
  <c r="C4" i="35"/>
  <c r="J5" i="35"/>
  <c r="K5" i="35" s="1"/>
  <c r="E5" i="153"/>
  <c r="C4" i="153"/>
  <c r="J5" i="153"/>
  <c r="K5" i="153" s="1"/>
  <c r="BG45" i="1"/>
  <c r="BF45" i="1"/>
  <c r="K63" i="118"/>
  <c r="K62" i="99"/>
  <c r="E3" i="40"/>
  <c r="C2" i="40"/>
  <c r="J3" i="40"/>
  <c r="K3" i="40" s="1"/>
  <c r="I64" i="154"/>
  <c r="J63" i="154"/>
  <c r="CB7" i="1"/>
  <c r="J64" i="66"/>
  <c r="K63" i="66" s="1"/>
  <c r="I65" i="66"/>
  <c r="K61" i="110"/>
  <c r="K63" i="92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EO6" i="2"/>
  <c r="C5" i="56"/>
  <c r="E6" i="56"/>
  <c r="J6" i="56"/>
  <c r="K6" i="56" s="1"/>
  <c r="K62" i="116"/>
  <c r="I63" i="40"/>
  <c r="J62" i="40"/>
  <c r="K61" i="40"/>
  <c r="HZ7" i="2"/>
  <c r="C5" i="6"/>
  <c r="E6" i="6"/>
  <c r="CA6" i="1"/>
  <c r="I65" i="92"/>
  <c r="J64" i="92"/>
  <c r="K62" i="168"/>
  <c r="I64" i="52"/>
  <c r="J63" i="52"/>
  <c r="C5" i="91"/>
  <c r="E6" i="91"/>
  <c r="J6" i="91"/>
  <c r="K6" i="91" s="1"/>
  <c r="I66" i="101"/>
  <c r="J65" i="101"/>
  <c r="K63" i="172"/>
  <c r="E3" i="61"/>
  <c r="C2" i="61"/>
  <c r="J3" i="61"/>
  <c r="K3" i="61" s="1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K64" i="164"/>
  <c r="DI6" i="2"/>
  <c r="E6" i="107"/>
  <c r="C5" i="107"/>
  <c r="J6" i="107"/>
  <c r="K6" i="107" s="1"/>
  <c r="I67" i="22"/>
  <c r="J67" i="22" s="1"/>
  <c r="J66" i="22"/>
  <c r="K66" i="22" s="1"/>
  <c r="E4" i="65"/>
  <c r="C3" i="65"/>
  <c r="J4" i="65"/>
  <c r="K4" i="65" s="1"/>
  <c r="C4" i="71"/>
  <c r="J5" i="71"/>
  <c r="K5" i="71" s="1"/>
  <c r="E5" i="71"/>
  <c r="J65" i="164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I64" i="168"/>
  <c r="K62" i="52"/>
  <c r="K61" i="54"/>
  <c r="I64" i="111"/>
  <c r="J63" i="111"/>
  <c r="K60" i="130"/>
  <c r="CA6" i="2"/>
  <c r="CW5" i="2"/>
  <c r="K63" i="136"/>
  <c r="J62" i="81"/>
  <c r="I63" i="81"/>
  <c r="J62" i="125"/>
  <c r="I63" i="125"/>
  <c r="J62" i="47"/>
  <c r="I63" i="47"/>
  <c r="C4" i="133"/>
  <c r="E5" i="133"/>
  <c r="J5" i="133"/>
  <c r="K5" i="133" s="1"/>
  <c r="DH5" i="2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K61" i="125"/>
  <c r="J66" i="42"/>
  <c r="K66" i="42" s="1"/>
  <c r="I67" i="42"/>
  <c r="J67" i="42" s="1"/>
  <c r="E5" i="88"/>
  <c r="C4" i="88"/>
  <c r="FK5" i="2"/>
  <c r="J5" i="88"/>
  <c r="K5" i="88" s="1"/>
  <c r="K62" i="154"/>
  <c r="I64" i="114"/>
  <c r="J63" i="114"/>
  <c r="E6" i="14"/>
  <c r="C5" i="14"/>
  <c r="J6" i="14"/>
  <c r="K6" i="14" s="1"/>
  <c r="K65" i="46"/>
  <c r="J62" i="120"/>
  <c r="I63" i="120"/>
  <c r="K62" i="10"/>
  <c r="K61" i="12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K64" i="9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E4" i="118"/>
  <c r="C3" i="118"/>
  <c r="J4" i="118"/>
  <c r="K4" i="118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K62" i="3"/>
  <c r="J65" i="9"/>
  <c r="I66" i="9"/>
  <c r="J66" i="59"/>
  <c r="K66" i="59" s="1"/>
  <c r="I67" i="59"/>
  <c r="J67" i="59" s="1"/>
  <c r="K62" i="21"/>
  <c r="K65" i="24"/>
  <c r="I64" i="104"/>
  <c r="J63" i="104"/>
  <c r="I64" i="76"/>
  <c r="J63" i="76"/>
  <c r="E6" i="152"/>
  <c r="C5" i="152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I64" i="3"/>
  <c r="J62" i="17"/>
  <c r="I63" i="17"/>
  <c r="K62" i="170"/>
  <c r="E4" i="129"/>
  <c r="C3" i="129"/>
  <c r="J4" i="129"/>
  <c r="K4" i="129" s="1"/>
  <c r="DS4" i="2"/>
  <c r="I66" i="142"/>
  <c r="J65" i="142"/>
  <c r="I66" i="78"/>
  <c r="J65" i="78"/>
  <c r="C4" i="70"/>
  <c r="E5" i="70"/>
  <c r="J5" i="70"/>
  <c r="K5" i="70" s="1"/>
  <c r="C2" i="51"/>
  <c r="E3" i="51"/>
  <c r="J3" i="51"/>
  <c r="K3" i="51" s="1"/>
  <c r="K61" i="39"/>
  <c r="E5" i="13"/>
  <c r="C4" i="13"/>
  <c r="J5" i="13"/>
  <c r="K5" i="13" s="1"/>
  <c r="K62" i="104"/>
  <c r="K65" i="79"/>
  <c r="E4" i="16"/>
  <c r="C3" i="16"/>
  <c r="J4" i="16"/>
  <c r="K4" i="16" s="1"/>
  <c r="K62" i="76"/>
  <c r="K61" i="144"/>
  <c r="C2" i="168"/>
  <c r="E3" i="168"/>
  <c r="J3" i="168"/>
  <c r="K3" i="168" s="1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C4" i="33"/>
  <c r="E5" i="33"/>
  <c r="M5" i="2"/>
  <c r="J5" i="33"/>
  <c r="K5" i="33" s="1"/>
  <c r="I63" i="45"/>
  <c r="J62" i="45"/>
  <c r="J65" i="127"/>
  <c r="I66" i="127"/>
  <c r="C2" i="159"/>
  <c r="J3" i="159"/>
  <c r="K3" i="159" s="1"/>
  <c r="E3" i="159"/>
  <c r="K63" i="107"/>
  <c r="I67" i="24"/>
  <c r="J66" i="24"/>
  <c r="E4" i="9"/>
  <c r="C3" i="9"/>
  <c r="J4" i="9"/>
  <c r="K4" i="9" s="1"/>
  <c r="I67" i="79"/>
  <c r="J67" i="79" s="1"/>
  <c r="J66" i="79"/>
  <c r="K66" i="79" s="1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K62" i="33"/>
  <c r="E4" i="150"/>
  <c r="C3" i="150"/>
  <c r="J4" i="150"/>
  <c r="K4" i="150" s="1"/>
  <c r="I63" i="174"/>
  <c r="J62" i="174"/>
  <c r="K61" i="45"/>
  <c r="I64" i="161"/>
  <c r="J63" i="161"/>
  <c r="E3" i="62"/>
  <c r="C2" i="62"/>
  <c r="J3" i="62"/>
  <c r="K3" i="62" s="1"/>
  <c r="I64" i="155"/>
  <c r="J63" i="155"/>
  <c r="I63" i="148"/>
  <c r="J62" i="148"/>
  <c r="I65" i="129"/>
  <c r="J64" i="129"/>
  <c r="K63" i="129" s="1"/>
  <c r="K61" i="148"/>
  <c r="IV6" i="2"/>
  <c r="I66" i="13"/>
  <c r="J65" i="13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K62" i="114"/>
  <c r="J2" i="131"/>
  <c r="K2" i="131" s="1"/>
  <c r="E2" i="131"/>
  <c r="F67" i="131"/>
  <c r="E5" i="145"/>
  <c r="C4" i="145"/>
  <c r="CW4" i="2" s="1"/>
  <c r="J5" i="145"/>
  <c r="K5" i="145" s="1"/>
  <c r="I63" i="163"/>
  <c r="J62" i="163"/>
  <c r="K64" i="24"/>
  <c r="K64" i="13"/>
  <c r="K63" i="139"/>
  <c r="K62" i="67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IU5" i="2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K61" i="43"/>
  <c r="I65" i="139"/>
  <c r="J64" i="139"/>
  <c r="I64" i="67"/>
  <c r="J63" i="67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K61" i="36"/>
  <c r="E2" i="59"/>
  <c r="F67" i="59"/>
  <c r="J2" i="59"/>
  <c r="K2" i="59" s="1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1" i="8"/>
  <c r="K63" i="16"/>
  <c r="K62" i="63"/>
  <c r="K65" i="145"/>
  <c r="K62" i="49"/>
  <c r="I64" i="88"/>
  <c r="J63" i="88"/>
  <c r="K60" i="95"/>
  <c r="BQ7" i="1"/>
  <c r="I64" i="119"/>
  <c r="J63" i="119"/>
  <c r="K62" i="119" s="1"/>
  <c r="I63" i="147"/>
  <c r="J62" i="147"/>
  <c r="K61" i="147" s="1"/>
  <c r="CX4" i="2" l="1"/>
  <c r="CM5" i="2"/>
  <c r="J64" i="119"/>
  <c r="I65" i="119"/>
  <c r="I64" i="17"/>
  <c r="J63" i="17"/>
  <c r="E3" i="18"/>
  <c r="J3" i="18"/>
  <c r="K3" i="18" s="1"/>
  <c r="C2" i="18"/>
  <c r="E4" i="71"/>
  <c r="C3" i="71"/>
  <c r="J4" i="71"/>
  <c r="K4" i="71" s="1"/>
  <c r="K64" i="23"/>
  <c r="E4" i="142"/>
  <c r="C3" i="142"/>
  <c r="J4" i="142"/>
  <c r="K4" i="142" s="1"/>
  <c r="J65" i="159"/>
  <c r="I66" i="159"/>
  <c r="I67" i="117"/>
  <c r="J67" i="117" s="1"/>
  <c r="J66" i="117"/>
  <c r="K66" i="117" s="1"/>
  <c r="I66" i="68"/>
  <c r="J65" i="68"/>
  <c r="I65" i="56"/>
  <c r="J64" i="56"/>
  <c r="J64" i="87"/>
  <c r="I65" i="87"/>
  <c r="E4" i="36"/>
  <c r="C3" i="36"/>
  <c r="J4" i="36"/>
  <c r="K4" i="36" s="1"/>
  <c r="I66" i="149"/>
  <c r="J65" i="149"/>
  <c r="C4" i="143"/>
  <c r="E5" i="143"/>
  <c r="J5" i="143"/>
  <c r="K5" i="143" s="1"/>
  <c r="I64" i="148"/>
  <c r="J63" i="148"/>
  <c r="C2" i="9"/>
  <c r="E3" i="9"/>
  <c r="J3" i="9"/>
  <c r="K3" i="9" s="1"/>
  <c r="E2" i="168"/>
  <c r="F67" i="168"/>
  <c r="J2" i="168"/>
  <c r="K2" i="168" s="1"/>
  <c r="K62" i="17"/>
  <c r="I67" i="9"/>
  <c r="J67" i="9" s="1"/>
  <c r="J66" i="9"/>
  <c r="K66" i="9" s="1"/>
  <c r="I65" i="114"/>
  <c r="J64" i="114"/>
  <c r="I64" i="125"/>
  <c r="J63" i="125"/>
  <c r="F67" i="61"/>
  <c r="E2" i="61"/>
  <c r="J2" i="61"/>
  <c r="K2" i="61" s="1"/>
  <c r="J65" i="23"/>
  <c r="I66" i="23"/>
  <c r="IK5" i="2"/>
  <c r="I64" i="65"/>
  <c r="J63" i="65"/>
  <c r="J63" i="105"/>
  <c r="I64" i="105"/>
  <c r="K63" i="56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F67" i="106"/>
  <c r="E2" i="106"/>
  <c r="J2" i="106"/>
  <c r="K2" i="106" s="1"/>
  <c r="K62" i="65"/>
  <c r="J64" i="53"/>
  <c r="K63" i="53" s="1"/>
  <c r="I65" i="53"/>
  <c r="K65" i="62"/>
  <c r="BQ6" i="2"/>
  <c r="K66" i="71"/>
  <c r="K64" i="41"/>
  <c r="K61" i="17"/>
  <c r="C3" i="125"/>
  <c r="E4" i="125"/>
  <c r="J4" i="125"/>
  <c r="K4" i="125" s="1"/>
  <c r="K63" i="2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K66" i="62" s="1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FA5" i="2"/>
  <c r="E5" i="92"/>
  <c r="C4" i="92"/>
  <c r="J5" i="92"/>
  <c r="K5" i="92" s="1"/>
  <c r="K62" i="53"/>
  <c r="J66" i="51"/>
  <c r="K66" i="51" s="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K66" i="101" s="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I66" i="41"/>
  <c r="E5" i="158"/>
  <c r="C4" i="158"/>
  <c r="J5" i="158"/>
  <c r="K5" i="158" s="1"/>
  <c r="C4" i="29"/>
  <c r="E5" i="29"/>
  <c r="J5" i="29"/>
  <c r="K5" i="29" s="1"/>
  <c r="X5" i="1"/>
  <c r="E2" i="62"/>
  <c r="F67" i="62"/>
  <c r="J2" i="62"/>
  <c r="K2" i="62" s="1"/>
  <c r="I68" i="24"/>
  <c r="J67" i="24"/>
  <c r="K66" i="24" s="1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5" i="16"/>
  <c r="K63" i="126"/>
  <c r="K64" i="158"/>
  <c r="E3" i="64"/>
  <c r="C2" i="64"/>
  <c r="J3" i="64"/>
  <c r="K3" i="64" s="1"/>
  <c r="E4" i="76"/>
  <c r="C3" i="76"/>
  <c r="J4" i="76"/>
  <c r="K4" i="76" s="1"/>
  <c r="C2" i="60"/>
  <c r="J3" i="60"/>
  <c r="K3" i="60" s="1"/>
  <c r="E3" i="60"/>
  <c r="FW6" i="2"/>
  <c r="I67" i="16"/>
  <c r="J67" i="16" s="1"/>
  <c r="J66" i="16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I65" i="126"/>
  <c r="K62" i="141"/>
  <c r="F67" i="86"/>
  <c r="E2" i="86"/>
  <c r="J2" i="86"/>
  <c r="K2" i="86" s="1"/>
  <c r="K63" i="52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I67" i="127"/>
  <c r="J67" i="127" s="1"/>
  <c r="J66" i="127"/>
  <c r="K64" i="165"/>
  <c r="E4" i="44"/>
  <c r="C3" i="44"/>
  <c r="J4" i="44"/>
  <c r="K4" i="44" s="1"/>
  <c r="K64" i="101"/>
  <c r="J64" i="52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K66" i="29" s="1"/>
  <c r="I65" i="4"/>
  <c r="J64" i="4"/>
  <c r="I65" i="169"/>
  <c r="J64" i="169"/>
  <c r="I64" i="90"/>
  <c r="J63" i="90"/>
  <c r="K65" i="127"/>
  <c r="K63" i="111"/>
  <c r="J64" i="170"/>
  <c r="K63" i="170" s="1"/>
  <c r="I65" i="170"/>
  <c r="E3" i="130"/>
  <c r="C2" i="130"/>
  <c r="J3" i="130"/>
  <c r="K3" i="130" s="1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E3" i="150"/>
  <c r="C2" i="150"/>
  <c r="J3" i="150"/>
  <c r="K3" i="150" s="1"/>
  <c r="C3" i="13"/>
  <c r="E4" i="13"/>
  <c r="J4" i="13"/>
  <c r="K4" i="13" s="1"/>
  <c r="IU4" i="2"/>
  <c r="K63" i="165"/>
  <c r="I65" i="111"/>
  <c r="J64" i="11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I64" i="36"/>
  <c r="J63" i="36"/>
  <c r="K62" i="36" s="1"/>
  <c r="K62" i="174"/>
  <c r="E2" i="159"/>
  <c r="F67" i="159"/>
  <c r="J2" i="159"/>
  <c r="K2" i="159" s="1"/>
  <c r="I66" i="165"/>
  <c r="J65" i="165"/>
  <c r="I64" i="38"/>
  <c r="J63" i="38"/>
  <c r="J65" i="92"/>
  <c r="I66" i="92"/>
  <c r="I65" i="121"/>
  <c r="J64" i="121"/>
  <c r="I65" i="108"/>
  <c r="J64" i="108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K63" i="19"/>
  <c r="I64" i="95"/>
  <c r="J63" i="95"/>
  <c r="K62" i="169"/>
  <c r="C2" i="112"/>
  <c r="E3" i="112"/>
  <c r="J3" i="112"/>
  <c r="K3" i="112" s="1"/>
  <c r="CB6" i="1"/>
  <c r="K63" i="121"/>
  <c r="K63" i="108"/>
  <c r="J63" i="140"/>
  <c r="K62" i="140" s="1"/>
  <c r="I64" i="140"/>
  <c r="I67" i="89"/>
  <c r="J67" i="89" s="1"/>
  <c r="J66" i="89"/>
  <c r="E2" i="127"/>
  <c r="F67" i="127"/>
  <c r="J2" i="127"/>
  <c r="K2" i="127" s="1"/>
  <c r="K62" i="95"/>
  <c r="K62" i="109"/>
  <c r="J66" i="48"/>
  <c r="K66" i="48" s="1"/>
  <c r="I67" i="48"/>
  <c r="J67" i="48" s="1"/>
  <c r="E3" i="22"/>
  <c r="C2" i="22"/>
  <c r="J3" i="22"/>
  <c r="K3" i="22" s="1"/>
  <c r="N5" i="2"/>
  <c r="I66" i="28"/>
  <c r="J65" i="28"/>
  <c r="I65" i="168"/>
  <c r="J64" i="168"/>
  <c r="K65" i="89"/>
  <c r="E3" i="74"/>
  <c r="J3" i="74"/>
  <c r="K3" i="74" s="1"/>
  <c r="C2" i="74"/>
  <c r="C4" i="174"/>
  <c r="E5" i="174"/>
  <c r="J5" i="174"/>
  <c r="K5" i="174" s="1"/>
  <c r="I65" i="5"/>
  <c r="J64" i="5"/>
  <c r="K63" i="5" s="1"/>
  <c r="E5" i="49"/>
  <c r="C4" i="49"/>
  <c r="J5" i="49"/>
  <c r="K5" i="49" s="1"/>
  <c r="E3" i="167"/>
  <c r="J3" i="167"/>
  <c r="K3" i="167" s="1"/>
  <c r="C2" i="167"/>
  <c r="I65" i="162"/>
  <c r="J64" i="162"/>
  <c r="J63" i="109"/>
  <c r="I64" i="109"/>
  <c r="K65" i="48"/>
  <c r="J63" i="45"/>
  <c r="K62" i="45" s="1"/>
  <c r="I64" i="45"/>
  <c r="K65" i="94"/>
  <c r="K64" i="28"/>
  <c r="K64" i="44"/>
  <c r="I66" i="157"/>
  <c r="J65" i="157"/>
  <c r="K64" i="157" s="1"/>
  <c r="K63" i="157"/>
  <c r="K64" i="26"/>
  <c r="K61" i="55"/>
  <c r="I66" i="44"/>
  <c r="J65" i="44"/>
  <c r="I64" i="34"/>
  <c r="J63" i="34"/>
  <c r="E5" i="6"/>
  <c r="C4" i="6"/>
  <c r="CA5" i="1"/>
  <c r="K63" i="154"/>
  <c r="K62" i="43"/>
  <c r="K65" i="82"/>
  <c r="I64" i="58"/>
  <c r="J63" i="58"/>
  <c r="K62" i="58" s="1"/>
  <c r="K62" i="70"/>
  <c r="F67" i="84"/>
  <c r="E2" i="84"/>
  <c r="J2" i="84"/>
  <c r="K2" i="84" s="1"/>
  <c r="K63" i="103"/>
  <c r="J2" i="37"/>
  <c r="K2" i="37" s="1"/>
  <c r="E2" i="37"/>
  <c r="E3" i="4"/>
  <c r="C2" i="4"/>
  <c r="J3" i="4"/>
  <c r="K3" i="4" s="1"/>
  <c r="K64" i="10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AI4" i="1" s="1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J2" i="51"/>
  <c r="K2" i="51" s="1"/>
  <c r="E2" i="51"/>
  <c r="K62" i="34"/>
  <c r="CB5" i="2"/>
  <c r="K64" i="37"/>
  <c r="EP5" i="2"/>
  <c r="J64" i="154"/>
  <c r="I65" i="154"/>
  <c r="I64" i="43"/>
  <c r="J63" i="43"/>
  <c r="K61" i="64"/>
  <c r="C4" i="155"/>
  <c r="E5" i="155"/>
  <c r="J5" i="155"/>
  <c r="K5" i="155" s="1"/>
  <c r="K64" i="99"/>
  <c r="I65" i="138"/>
  <c r="J64" i="138"/>
  <c r="BE5" i="2"/>
  <c r="I65" i="103"/>
  <c r="J64" i="103"/>
  <c r="J66" i="107"/>
  <c r="K66" i="107" s="1"/>
  <c r="I67" i="107"/>
  <c r="J67" i="107" s="1"/>
  <c r="J65" i="10"/>
  <c r="I66" i="10"/>
  <c r="E4" i="80"/>
  <c r="C3" i="80"/>
  <c r="J4" i="80"/>
  <c r="K4" i="80" s="1"/>
  <c r="K61" i="174"/>
  <c r="E3" i="118"/>
  <c r="C2" i="118"/>
  <c r="J3" i="118"/>
  <c r="K3" i="118" s="1"/>
  <c r="C3" i="31"/>
  <c r="E4" i="31"/>
  <c r="CA4" i="2"/>
  <c r="J4" i="31"/>
  <c r="K4" i="31" s="1"/>
  <c r="J65" i="37"/>
  <c r="I66" i="37"/>
  <c r="E4" i="97"/>
  <c r="C3" i="97"/>
  <c r="EO4" i="2"/>
  <c r="J4" i="97"/>
  <c r="K4" i="97" s="1"/>
  <c r="C3" i="117"/>
  <c r="E4" i="117"/>
  <c r="J4" i="117"/>
  <c r="K4" i="117" s="1"/>
  <c r="HN5" i="2"/>
  <c r="C2" i="103"/>
  <c r="E3" i="103"/>
  <c r="J3" i="103"/>
  <c r="K3" i="103" s="1"/>
  <c r="J65" i="99"/>
  <c r="I66" i="99"/>
  <c r="HO6" i="2"/>
  <c r="E2" i="173"/>
  <c r="F67" i="173"/>
  <c r="J2" i="173"/>
  <c r="K2" i="173" s="1"/>
  <c r="K63" i="151"/>
  <c r="I65" i="131"/>
  <c r="J64" i="131"/>
  <c r="J66" i="122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K63" i="54"/>
  <c r="I65" i="151"/>
  <c r="J64" i="15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4" i="124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BQ6" i="1"/>
  <c r="K61" i="95"/>
  <c r="I65" i="144"/>
  <c r="J64" i="144"/>
  <c r="Y6" i="1"/>
  <c r="I67" i="135"/>
  <c r="J67" i="135" s="1"/>
  <c r="J66" i="135"/>
  <c r="K66" i="135" s="1"/>
  <c r="K63" i="131"/>
  <c r="K65" i="122"/>
  <c r="C3" i="145"/>
  <c r="E4" i="145"/>
  <c r="J4" i="145"/>
  <c r="K4" i="145" s="1"/>
  <c r="K65" i="13"/>
  <c r="K61" i="163"/>
  <c r="C2" i="94"/>
  <c r="J3" i="94"/>
  <c r="K3" i="94" s="1"/>
  <c r="E3" i="94"/>
  <c r="J65" i="124"/>
  <c r="I66" i="124"/>
  <c r="K62" i="111"/>
  <c r="E3" i="66"/>
  <c r="C2" i="66"/>
  <c r="J3" i="66"/>
  <c r="K3" i="66" s="1"/>
  <c r="J4" i="132"/>
  <c r="K4" i="132" s="1"/>
  <c r="E4" i="132"/>
  <c r="C3" i="132"/>
  <c r="K62" i="40"/>
  <c r="I66" i="113"/>
  <c r="J65" i="113"/>
  <c r="F67" i="149"/>
  <c r="E2" i="149"/>
  <c r="J2" i="149"/>
  <c r="K2" i="149" s="1"/>
  <c r="K65" i="98"/>
  <c r="E4" i="89"/>
  <c r="C3" i="89"/>
  <c r="J4" i="89"/>
  <c r="K4" i="89" s="1"/>
  <c r="K61" i="58"/>
  <c r="I66" i="72"/>
  <c r="J65" i="72"/>
  <c r="E3" i="144"/>
  <c r="C2" i="144"/>
  <c r="J3" i="144"/>
  <c r="K3" i="144" s="1"/>
  <c r="J64" i="57"/>
  <c r="K63" i="57" s="1"/>
  <c r="I65" i="57"/>
  <c r="I66" i="18"/>
  <c r="J65" i="18"/>
  <c r="K64" i="18" s="1"/>
  <c r="K62" i="112"/>
  <c r="K65" i="132"/>
  <c r="HD6" i="2"/>
  <c r="AI5" i="1"/>
  <c r="J63" i="40"/>
  <c r="I64" i="40"/>
  <c r="I65" i="116"/>
  <c r="J64" i="116"/>
  <c r="K64" i="113"/>
  <c r="I67" i="98"/>
  <c r="J67" i="98" s="1"/>
  <c r="J66" i="98"/>
  <c r="J63" i="160"/>
  <c r="I64" i="160"/>
  <c r="K64" i="72"/>
  <c r="E2" i="47"/>
  <c r="J2" i="47"/>
  <c r="K2" i="47" s="1"/>
  <c r="C3" i="20"/>
  <c r="E4" i="20"/>
  <c r="J4" i="20"/>
  <c r="K4" i="20" s="1"/>
  <c r="I64" i="112"/>
  <c r="J63" i="112"/>
  <c r="I67" i="132"/>
  <c r="J67" i="132" s="1"/>
  <c r="J66" i="132"/>
  <c r="E5" i="8"/>
  <c r="C4" i="8"/>
  <c r="BP5" i="1"/>
  <c r="HC5" i="2"/>
  <c r="J5" i="8"/>
  <c r="K5" i="8" s="1"/>
  <c r="F67" i="72"/>
  <c r="E2" i="72"/>
  <c r="J2" i="72"/>
  <c r="K2" i="72" s="1"/>
  <c r="J66" i="13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K66" i="78" s="1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K63" i="116"/>
  <c r="HY5" i="2"/>
  <c r="K62" i="160"/>
  <c r="I67" i="128"/>
  <c r="J67" i="128" s="1"/>
  <c r="J66" i="128"/>
  <c r="E4" i="79"/>
  <c r="C3" i="79"/>
  <c r="J4" i="79"/>
  <c r="K4" i="79" s="1"/>
  <c r="F67" i="120"/>
  <c r="E2" i="120"/>
  <c r="J2" i="120"/>
  <c r="K2" i="120" s="1"/>
  <c r="C2" i="75"/>
  <c r="E3" i="75"/>
  <c r="J3" i="75"/>
  <c r="K3" i="75" s="1"/>
  <c r="I64" i="102"/>
  <c r="J63" i="102"/>
  <c r="K65" i="142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K63" i="39"/>
  <c r="K65" i="128"/>
  <c r="AU6" i="1"/>
  <c r="I66" i="93"/>
  <c r="J65" i="93"/>
  <c r="K64" i="93" s="1"/>
  <c r="E3" i="135"/>
  <c r="C2" i="135"/>
  <c r="J3" i="135"/>
  <c r="K3" i="135" s="1"/>
  <c r="K62" i="88"/>
  <c r="K62" i="102"/>
  <c r="I67" i="142"/>
  <c r="J67" i="142" s="1"/>
  <c r="J66" i="142"/>
  <c r="K63" i="28"/>
  <c r="D44" i="1"/>
  <c r="AK44" i="1"/>
  <c r="CC44" i="1"/>
  <c r="Z44" i="1"/>
  <c r="O44" i="1"/>
  <c r="AV44" i="1"/>
  <c r="BR44" i="1"/>
  <c r="K61" i="38"/>
  <c r="K66" i="32"/>
  <c r="K61" i="140"/>
  <c r="K65" i="136"/>
  <c r="AU6" i="2"/>
  <c r="I65" i="39"/>
  <c r="J64" i="39"/>
  <c r="K65" i="152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K62" i="35"/>
  <c r="E4" i="140"/>
  <c r="C3" i="140"/>
  <c r="AI4" i="2"/>
  <c r="J4" i="140"/>
  <c r="K4" i="140" s="1"/>
  <c r="J66" i="136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K62" i="147"/>
  <c r="J2" i="39"/>
  <c r="K2" i="39" s="1"/>
  <c r="E2" i="39"/>
  <c r="DT4" i="2"/>
  <c r="J63" i="147"/>
  <c r="I64" i="147"/>
  <c r="K64" i="30"/>
  <c r="K64" i="78"/>
  <c r="K64" i="122"/>
  <c r="K63" i="104"/>
  <c r="BF44" i="1"/>
  <c r="BG44" i="1"/>
  <c r="E4" i="153"/>
  <c r="C3" i="153"/>
  <c r="J4" i="153"/>
  <c r="K4" i="153" s="1"/>
  <c r="I64" i="96"/>
  <c r="J63" i="96"/>
  <c r="I64" i="35"/>
  <c r="J63" i="35"/>
  <c r="F67" i="171"/>
  <c r="E2" i="171"/>
  <c r="J2" i="171"/>
  <c r="K2" i="171" s="1"/>
  <c r="K64" i="117"/>
  <c r="C4" i="50"/>
  <c r="X4" i="1" s="1"/>
  <c r="E5" i="50"/>
  <c r="AT5" i="2"/>
  <c r="J5" i="50"/>
  <c r="K5" i="50" s="1"/>
  <c r="J64" i="20"/>
  <c r="I65" i="20"/>
  <c r="I65" i="31"/>
  <c r="J64" i="31"/>
  <c r="C2" i="161"/>
  <c r="E3" i="161"/>
  <c r="J3" i="161"/>
  <c r="K3" i="161" s="1"/>
  <c r="C4" i="7"/>
  <c r="J5" i="7"/>
  <c r="K5" i="7" s="1"/>
  <c r="E5" i="7"/>
  <c r="AT5" i="1"/>
  <c r="K64" i="167"/>
  <c r="K61" i="146"/>
  <c r="K62" i="100"/>
  <c r="C2" i="116"/>
  <c r="E3" i="116"/>
  <c r="J3" i="116"/>
  <c r="K3" i="116" s="1"/>
  <c r="I66" i="30"/>
  <c r="J65" i="30"/>
  <c r="E3" i="113"/>
  <c r="C2" i="113"/>
  <c r="J3" i="113"/>
  <c r="K3" i="113" s="1"/>
  <c r="C2" i="129"/>
  <c r="J3" i="129"/>
  <c r="K3" i="129" s="1"/>
  <c r="E3" i="129"/>
  <c r="DS3" i="2"/>
  <c r="I65" i="104"/>
  <c r="J64" i="104"/>
  <c r="J66" i="164"/>
  <c r="I67" i="164"/>
  <c r="J67" i="164" s="1"/>
  <c r="GI44" i="2"/>
  <c r="GH44" i="2"/>
  <c r="E5" i="56"/>
  <c r="C4" i="56"/>
  <c r="J5" i="56"/>
  <c r="K5" i="56" s="1"/>
  <c r="K64" i="142"/>
  <c r="F67" i="73"/>
  <c r="E2" i="73"/>
  <c r="J2" i="73"/>
  <c r="K2" i="73" s="1"/>
  <c r="I66" i="60"/>
  <c r="J65" i="60"/>
  <c r="C4" i="90"/>
  <c r="E5" i="90"/>
  <c r="J5" i="90"/>
  <c r="K5" i="90" s="1"/>
  <c r="C2" i="139"/>
  <c r="E3" i="139"/>
  <c r="J3" i="139"/>
  <c r="K3" i="139" s="1"/>
  <c r="K62" i="161"/>
  <c r="I67" i="172"/>
  <c r="J67" i="172" s="1"/>
  <c r="J66" i="172"/>
  <c r="K66" i="172" s="1"/>
  <c r="I66" i="167"/>
  <c r="J65" i="167"/>
  <c r="E4" i="48"/>
  <c r="C3" i="48"/>
  <c r="J4" i="48"/>
  <c r="K4" i="48" s="1"/>
  <c r="I64" i="100"/>
  <c r="J63" i="100"/>
  <c r="J64" i="85"/>
  <c r="K63" i="85" s="1"/>
  <c r="I65" i="85"/>
  <c r="C3" i="133"/>
  <c r="E4" i="133"/>
  <c r="J4" i="133"/>
  <c r="K4" i="133" s="1"/>
  <c r="DH4" i="2"/>
  <c r="K65" i="164"/>
  <c r="C42" i="24"/>
  <c r="E43" i="24"/>
  <c r="GG43" i="2"/>
  <c r="BE43" i="1"/>
  <c r="C43" i="2"/>
  <c r="C43" i="1"/>
  <c r="J43" i="24"/>
  <c r="K43" i="24" s="1"/>
  <c r="EP6" i="2"/>
  <c r="K62" i="108"/>
  <c r="K64" i="89"/>
  <c r="F67" i="85"/>
  <c r="J2" i="85"/>
  <c r="K2" i="85" s="1"/>
  <c r="E2" i="85"/>
  <c r="C2" i="17"/>
  <c r="E3" i="17"/>
  <c r="J3" i="17"/>
  <c r="K3" i="17" s="1"/>
  <c r="K64" i="60"/>
  <c r="K62" i="20"/>
  <c r="K64" i="107"/>
  <c r="K65" i="172"/>
  <c r="E5" i="100"/>
  <c r="C4" i="100"/>
  <c r="FK4" i="2" s="1"/>
  <c r="J5" i="100"/>
  <c r="K5" i="100" s="1"/>
  <c r="C2" i="25"/>
  <c r="E3" i="25"/>
  <c r="J3" i="25"/>
  <c r="K3" i="25" s="1"/>
  <c r="J64" i="49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K64" i="118"/>
  <c r="C3" i="35"/>
  <c r="E4" i="35"/>
  <c r="J4" i="35"/>
  <c r="K4" i="35" s="1"/>
  <c r="EE6" i="2"/>
  <c r="I65" i="86"/>
  <c r="J64" i="86"/>
  <c r="K62" i="39"/>
  <c r="I64" i="91"/>
  <c r="J63" i="91"/>
  <c r="C3" i="78"/>
  <c r="E4" i="78"/>
  <c r="J4" i="78"/>
  <c r="K4" i="78" s="1"/>
  <c r="K65" i="71"/>
  <c r="K63" i="83"/>
  <c r="K63" i="49"/>
  <c r="K63" i="119"/>
  <c r="E3" i="110"/>
  <c r="C2" i="110"/>
  <c r="J3" i="110"/>
  <c r="K3" i="110" s="1"/>
  <c r="I66" i="115"/>
  <c r="J65" i="115"/>
  <c r="K62" i="148"/>
  <c r="K64" i="127"/>
  <c r="J63" i="47"/>
  <c r="K62" i="47" s="1"/>
  <c r="I64" i="47"/>
  <c r="I66" i="118"/>
  <c r="J65" i="118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3" i="86"/>
  <c r="K64" i="68"/>
  <c r="K63" i="87"/>
  <c r="K62" i="91"/>
  <c r="K64" i="149"/>
  <c r="I64" i="146"/>
  <c r="J63" i="146"/>
  <c r="K62" i="146" s="1"/>
  <c r="K61" i="143"/>
  <c r="AJ4" i="1" l="1"/>
  <c r="FL4" i="2"/>
  <c r="IK4" i="2"/>
  <c r="Y4" i="1"/>
  <c r="N4" i="2"/>
  <c r="I65" i="102"/>
  <c r="J64" i="102"/>
  <c r="BF5" i="2"/>
  <c r="J65" i="84"/>
  <c r="I66" i="84"/>
  <c r="I65" i="34"/>
  <c r="J64" i="34"/>
  <c r="I65" i="130"/>
  <c r="J64" i="130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K63" i="125"/>
  <c r="I67" i="68"/>
  <c r="J67" i="68" s="1"/>
  <c r="J66" i="68"/>
  <c r="K66" i="68" s="1"/>
  <c r="J66" i="99"/>
  <c r="K66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I65" i="40"/>
  <c r="K65" i="99"/>
  <c r="K65" i="30"/>
  <c r="K66" i="142"/>
  <c r="K63" i="40"/>
  <c r="I66" i="138"/>
  <c r="J65" i="138"/>
  <c r="E3" i="151"/>
  <c r="C2" i="151"/>
  <c r="J3" i="151"/>
  <c r="K3" i="151" s="1"/>
  <c r="I67" i="44"/>
  <c r="J67" i="44" s="1"/>
  <c r="J66" i="44"/>
  <c r="I66" i="123"/>
  <c r="J65" i="123"/>
  <c r="K64" i="52"/>
  <c r="C3" i="107"/>
  <c r="E4" i="107"/>
  <c r="J4" i="107"/>
  <c r="K4" i="107" s="1"/>
  <c r="J64" i="125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I65" i="120"/>
  <c r="K65" i="78"/>
  <c r="F67" i="66"/>
  <c r="E2" i="66"/>
  <c r="J2" i="66"/>
  <c r="K2" i="66" s="1"/>
  <c r="K64" i="123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4" i="114"/>
  <c r="K63" i="120"/>
  <c r="K63" i="95"/>
  <c r="E3" i="13"/>
  <c r="C2" i="13"/>
  <c r="J3" i="13"/>
  <c r="K3" i="13" s="1"/>
  <c r="J65" i="114"/>
  <c r="I66" i="114"/>
  <c r="I67" i="159"/>
  <c r="J67" i="159" s="1"/>
  <c r="J66" i="159"/>
  <c r="K66" i="159" s="1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E2" i="103"/>
  <c r="J2" i="103"/>
  <c r="K2" i="103" s="1"/>
  <c r="F67" i="103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K65" i="159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K65" i="124"/>
  <c r="E4" i="58"/>
  <c r="C3" i="58"/>
  <c r="J4" i="58"/>
  <c r="K4" i="58" s="1"/>
  <c r="BF4" i="2"/>
  <c r="K63" i="55"/>
  <c r="K66" i="77"/>
  <c r="J65" i="19"/>
  <c r="K64" i="19" s="1"/>
  <c r="I66" i="19"/>
  <c r="F67" i="150"/>
  <c r="E2" i="150"/>
  <c r="J2" i="150"/>
  <c r="K2" i="150" s="1"/>
  <c r="E2" i="130"/>
  <c r="F67" i="130"/>
  <c r="J2" i="130"/>
  <c r="K2" i="130" s="1"/>
  <c r="E3" i="23"/>
  <c r="C2" i="23"/>
  <c r="J3" i="23"/>
  <c r="K3" i="23" s="1"/>
  <c r="I66" i="153"/>
  <c r="J65" i="153"/>
  <c r="E3" i="10"/>
  <c r="C2" i="10"/>
  <c r="J3" i="10"/>
  <c r="K3" i="10" s="1"/>
  <c r="K64" i="3"/>
  <c r="C2" i="142"/>
  <c r="E3" i="142"/>
  <c r="J3" i="142"/>
  <c r="K3" i="142" s="1"/>
  <c r="J66" i="124"/>
  <c r="I67" i="124"/>
  <c r="J67" i="124" s="1"/>
  <c r="E3" i="117"/>
  <c r="C2" i="117"/>
  <c r="J3" i="117"/>
  <c r="K3" i="117" s="1"/>
  <c r="K63" i="43"/>
  <c r="I65" i="55"/>
  <c r="J64" i="55"/>
  <c r="K64" i="153"/>
  <c r="K63" i="153"/>
  <c r="J65" i="21"/>
  <c r="K64" i="21" s="1"/>
  <c r="I66" i="21"/>
  <c r="I66" i="3"/>
  <c r="J65" i="3"/>
  <c r="J64" i="43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K65" i="60"/>
  <c r="I66" i="154"/>
  <c r="J65" i="154"/>
  <c r="J2" i="22"/>
  <c r="K2" i="22" s="1"/>
  <c r="E2" i="22"/>
  <c r="J66" i="129"/>
  <c r="K65" i="129" s="1"/>
  <c r="I67" i="129"/>
  <c r="J67" i="129" s="1"/>
  <c r="I67" i="60"/>
  <c r="J67" i="60" s="1"/>
  <c r="J66" i="60"/>
  <c r="I67" i="83"/>
  <c r="J67" i="83" s="1"/>
  <c r="J66" i="83"/>
  <c r="K66" i="83" s="1"/>
  <c r="K66" i="128"/>
  <c r="I67" i="18"/>
  <c r="J67" i="18" s="1"/>
  <c r="J66" i="18"/>
  <c r="I65" i="166"/>
  <c r="J64" i="166"/>
  <c r="C2" i="97"/>
  <c r="E3" i="97"/>
  <c r="J3" i="97"/>
  <c r="K3" i="97" s="1"/>
  <c r="K64" i="154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K65" i="83"/>
  <c r="J65" i="137"/>
  <c r="I66" i="137"/>
  <c r="E2" i="4"/>
  <c r="J2" i="4"/>
  <c r="K2" i="4" s="1"/>
  <c r="I65" i="141"/>
  <c r="J64" i="141"/>
  <c r="K64" i="161"/>
  <c r="I67" i="63"/>
  <c r="J67" i="63" s="1"/>
  <c r="J66" i="63"/>
  <c r="K66" i="63" s="1"/>
  <c r="E3" i="154"/>
  <c r="C2" i="154"/>
  <c r="J3" i="154"/>
  <c r="K3" i="154" s="1"/>
  <c r="HD5" i="2"/>
  <c r="I66" i="57"/>
  <c r="J65" i="57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57"/>
  <c r="K64" i="137"/>
  <c r="I67" i="37"/>
  <c r="J67" i="37" s="1"/>
  <c r="J66" i="37"/>
  <c r="K66" i="37" s="1"/>
  <c r="I65" i="45"/>
  <c r="J64" i="45"/>
  <c r="K63" i="90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CL4" i="2"/>
  <c r="I65" i="69"/>
  <c r="J64" i="69"/>
  <c r="E3" i="134"/>
  <c r="C2" i="134"/>
  <c r="J3" i="134"/>
  <c r="K3" i="134" s="1"/>
  <c r="EZ3" i="2"/>
  <c r="K63" i="114"/>
  <c r="K64" i="169"/>
  <c r="K66" i="26"/>
  <c r="K65" i="101"/>
  <c r="K63" i="3"/>
  <c r="K62" i="55"/>
  <c r="C3" i="8"/>
  <c r="E4" i="8"/>
  <c r="HC4" i="2"/>
  <c r="BP4" i="1"/>
  <c r="J4" i="8"/>
  <c r="K4" i="8" s="1"/>
  <c r="K63" i="17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6" i="132"/>
  <c r="CB4" i="2"/>
  <c r="I65" i="109"/>
  <c r="J64" i="109"/>
  <c r="E2" i="99"/>
  <c r="J2" i="99"/>
  <c r="K2" i="99" s="1"/>
  <c r="F67" i="99"/>
  <c r="I66" i="169"/>
  <c r="J65" i="169"/>
  <c r="F67" i="60"/>
  <c r="J2" i="60"/>
  <c r="K2" i="60" s="1"/>
  <c r="E2" i="60"/>
  <c r="K64" i="63"/>
  <c r="J64" i="8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K63" i="8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K66" i="72" s="1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K64" i="108"/>
  <c r="F67" i="83"/>
  <c r="J2" i="83"/>
  <c r="K2" i="83" s="1"/>
  <c r="E2" i="83"/>
  <c r="K63" i="17"/>
  <c r="J66" i="115"/>
  <c r="K66" i="115" s="1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K64" i="70"/>
  <c r="E4" i="172"/>
  <c r="C3" i="172"/>
  <c r="J4" i="172"/>
  <c r="K4" i="172" s="1"/>
  <c r="I66" i="20"/>
  <c r="J65" i="20"/>
  <c r="J64" i="143"/>
  <c r="I65" i="143"/>
  <c r="HN4" i="2"/>
  <c r="K64" i="33"/>
  <c r="E2" i="118"/>
  <c r="F67" i="118"/>
  <c r="J2" i="118"/>
  <c r="K2" i="118" s="1"/>
  <c r="F67" i="167"/>
  <c r="J2" i="167"/>
  <c r="K2" i="167" s="1"/>
  <c r="E2" i="167"/>
  <c r="K66" i="89"/>
  <c r="I66" i="108"/>
  <c r="J65" i="108"/>
  <c r="I65" i="174"/>
  <c r="J64" i="174"/>
  <c r="K63" i="174" s="1"/>
  <c r="J65" i="70"/>
  <c r="I66" i="70"/>
  <c r="I65" i="105"/>
  <c r="J64" i="105"/>
  <c r="I65" i="17"/>
  <c r="J64" i="17"/>
  <c r="K65" i="72"/>
  <c r="K63" i="109"/>
  <c r="E4" i="56"/>
  <c r="C3" i="56"/>
  <c r="J4" i="56"/>
  <c r="K4" i="56" s="1"/>
  <c r="K64" i="131"/>
  <c r="K64" i="121"/>
  <c r="E4" i="12"/>
  <c r="C3" i="12"/>
  <c r="J4" i="12"/>
  <c r="K4" i="12" s="1"/>
  <c r="M4" i="1"/>
  <c r="X4" i="2"/>
  <c r="I66" i="155"/>
  <c r="J65" i="155"/>
  <c r="K63" i="123"/>
  <c r="E2" i="64"/>
  <c r="F67" i="64"/>
  <c r="J2" i="64"/>
  <c r="K2" i="64" s="1"/>
  <c r="K67" i="24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I65" i="140"/>
  <c r="J64" i="140"/>
  <c r="I66" i="121"/>
  <c r="J65" i="121"/>
  <c r="K64" i="155"/>
  <c r="K63" i="70"/>
  <c r="C3" i="55"/>
  <c r="E4" i="55"/>
  <c r="J4" i="55"/>
  <c r="K4" i="55" s="1"/>
  <c r="I69" i="24"/>
  <c r="J68" i="24"/>
  <c r="K65" i="51"/>
  <c r="I66" i="53"/>
  <c r="J65" i="53"/>
  <c r="K63" i="65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K63" i="140"/>
  <c r="K64" i="53"/>
  <c r="I65" i="65"/>
  <c r="J64" i="65"/>
  <c r="K65" i="149"/>
  <c r="K64" i="119"/>
  <c r="E4" i="90"/>
  <c r="C3" i="90"/>
  <c r="J4" i="90"/>
  <c r="K4" i="90" s="1"/>
  <c r="I67" i="93"/>
  <c r="J67" i="93" s="1"/>
  <c r="J66" i="93"/>
  <c r="K66" i="93" s="1"/>
  <c r="K65" i="18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K66" i="92" s="1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IU3" i="2"/>
  <c r="FW5" i="2"/>
  <c r="E3" i="77"/>
  <c r="C2" i="77"/>
  <c r="J3" i="77"/>
  <c r="K3" i="77" s="1"/>
  <c r="E4" i="52"/>
  <c r="C3" i="52"/>
  <c r="BP4" i="2"/>
  <c r="J4" i="52"/>
  <c r="K4" i="52" s="1"/>
  <c r="K63" i="112"/>
  <c r="K63" i="143"/>
  <c r="K64" i="83"/>
  <c r="J64" i="146"/>
  <c r="I65" i="146"/>
  <c r="J3" i="133"/>
  <c r="K3" i="133" s="1"/>
  <c r="E3" i="133"/>
  <c r="C2" i="133"/>
  <c r="DH3" i="2"/>
  <c r="AU5" i="2"/>
  <c r="E3" i="169"/>
  <c r="C2" i="169"/>
  <c r="J3" i="169"/>
  <c r="K3" i="169" s="1"/>
  <c r="I66" i="144"/>
  <c r="J65" i="144"/>
  <c r="K64" i="144" s="1"/>
  <c r="K63" i="91"/>
  <c r="E2" i="25"/>
  <c r="J2" i="25"/>
  <c r="K2" i="25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DT3" i="2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K64" i="5"/>
  <c r="K63" i="38"/>
  <c r="E4" i="27"/>
  <c r="C3" i="27"/>
  <c r="J4" i="27"/>
  <c r="K4" i="27" s="1"/>
  <c r="Y5" i="1"/>
  <c r="K63" i="67"/>
  <c r="E3" i="36"/>
  <c r="C2" i="36"/>
  <c r="J3" i="36"/>
  <c r="K3" i="36" s="1"/>
  <c r="E2" i="139"/>
  <c r="F67" i="139"/>
  <c r="J2" i="139"/>
  <c r="K2" i="139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I65" i="38"/>
  <c r="J64" i="38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6" i="23" s="1"/>
  <c r="K63" i="45"/>
  <c r="I67" i="139"/>
  <c r="J67" i="139" s="1"/>
  <c r="J66" i="139"/>
  <c r="K66" i="139" s="1"/>
  <c r="K66" i="98"/>
  <c r="I66" i="54"/>
  <c r="J65" i="54"/>
  <c r="K65" i="107"/>
  <c r="C3" i="6"/>
  <c r="E4" i="6"/>
  <c r="CA4" i="1"/>
  <c r="K62" i="38"/>
  <c r="K64" i="92"/>
  <c r="K63" i="64"/>
  <c r="F67" i="137"/>
  <c r="E2" i="137"/>
  <c r="J2" i="137"/>
  <c r="K2" i="137" s="1"/>
  <c r="K65" i="23"/>
  <c r="I66" i="87"/>
  <c r="J65" i="87"/>
  <c r="K64" i="31"/>
  <c r="J65" i="88"/>
  <c r="K64" i="88" s="1"/>
  <c r="I66" i="88"/>
  <c r="K63" i="146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E2" i="129"/>
  <c r="F67" i="129"/>
  <c r="J2" i="129"/>
  <c r="K2" i="129" s="1"/>
  <c r="DS2" i="2"/>
  <c r="K63" i="20"/>
  <c r="I67" i="113"/>
  <c r="J67" i="113" s="1"/>
  <c r="J66" i="113"/>
  <c r="K66" i="113" s="1"/>
  <c r="K63" i="144"/>
  <c r="K63" i="138"/>
  <c r="K65" i="165"/>
  <c r="F67" i="67"/>
  <c r="E2" i="67"/>
  <c r="J2" i="67"/>
  <c r="K2" i="67" s="1"/>
  <c r="I65" i="64"/>
  <c r="J64" i="64"/>
  <c r="C3" i="29"/>
  <c r="E4" i="29"/>
  <c r="J4" i="29"/>
  <c r="K4" i="29" s="1"/>
  <c r="K63" i="161"/>
  <c r="F67" i="161"/>
  <c r="E2" i="161"/>
  <c r="J2" i="161"/>
  <c r="K2" i="161" s="1"/>
  <c r="DI4" i="2"/>
  <c r="J65" i="31"/>
  <c r="I66" i="31"/>
  <c r="HZ4" i="2"/>
  <c r="I66" i="85"/>
  <c r="J65" i="85"/>
  <c r="K64" i="85" s="1"/>
  <c r="K63" i="31"/>
  <c r="J64" i="100"/>
  <c r="I65" i="100"/>
  <c r="K64" i="54"/>
  <c r="I66" i="50"/>
  <c r="J65" i="50"/>
  <c r="K63" i="50"/>
  <c r="K63" i="35"/>
  <c r="K65" i="25"/>
  <c r="I67" i="173"/>
  <c r="J67" i="173" s="1"/>
  <c r="J66" i="173"/>
  <c r="K66" i="173" s="1"/>
  <c r="K64" i="151"/>
  <c r="E4" i="46"/>
  <c r="C3" i="46"/>
  <c r="J4" i="46"/>
  <c r="K4" i="46" s="1"/>
  <c r="K63" i="168"/>
  <c r="C3" i="174"/>
  <c r="E4" i="174"/>
  <c r="J4" i="174"/>
  <c r="K4" i="174" s="1"/>
  <c r="CW3" i="2"/>
  <c r="J66" i="165"/>
  <c r="I67" i="165"/>
  <c r="J67" i="165" s="1"/>
  <c r="K64" i="111"/>
  <c r="E4" i="53"/>
  <c r="C3" i="53"/>
  <c r="BE3" i="2" s="1"/>
  <c r="J4" i="53"/>
  <c r="K4" i="53" s="1"/>
  <c r="I66" i="126"/>
  <c r="J65" i="126"/>
  <c r="K62" i="69"/>
  <c r="K63" i="80"/>
  <c r="E4" i="3"/>
  <c r="C3" i="3"/>
  <c r="J4" i="3"/>
  <c r="K4" i="3" s="1"/>
  <c r="E3" i="147"/>
  <c r="C2" i="147"/>
  <c r="J3" i="147"/>
  <c r="K3" i="147" s="1"/>
  <c r="K64" i="56"/>
  <c r="GS5" i="2"/>
  <c r="J66" i="118"/>
  <c r="K65" i="118" s="1"/>
  <c r="I67" i="118"/>
  <c r="J67" i="118" s="1"/>
  <c r="I66" i="76"/>
  <c r="J65" i="76"/>
  <c r="K65" i="93"/>
  <c r="C2" i="79"/>
  <c r="E3" i="79"/>
  <c r="J3" i="79"/>
  <c r="K3" i="79" s="1"/>
  <c r="K65" i="167"/>
  <c r="E2" i="113"/>
  <c r="F67" i="113"/>
  <c r="J2" i="113"/>
  <c r="K2" i="113" s="1"/>
  <c r="I65" i="35"/>
  <c r="J64" i="35"/>
  <c r="I67" i="25"/>
  <c r="J67" i="25" s="1"/>
  <c r="J66" i="25"/>
  <c r="K63" i="102"/>
  <c r="K64" i="116"/>
  <c r="J3" i="132"/>
  <c r="K3" i="132" s="1"/>
  <c r="C2" i="132"/>
  <c r="E3" i="132"/>
  <c r="E3" i="114"/>
  <c r="C2" i="114"/>
  <c r="J3" i="114"/>
  <c r="K3" i="114" s="1"/>
  <c r="I66" i="151"/>
  <c r="J65" i="151"/>
  <c r="J65" i="103"/>
  <c r="K64" i="103" s="1"/>
  <c r="I66" i="103"/>
  <c r="K64" i="84"/>
  <c r="K63" i="34"/>
  <c r="F67" i="74"/>
  <c r="E2" i="74"/>
  <c r="J2" i="74"/>
  <c r="K2" i="74" s="1"/>
  <c r="I66" i="111"/>
  <c r="J65" i="111"/>
  <c r="K63" i="130"/>
  <c r="K64" i="126"/>
  <c r="C3" i="158"/>
  <c r="E4" i="158"/>
  <c r="J4" i="158"/>
  <c r="K4" i="158" s="1"/>
  <c r="K62" i="11"/>
  <c r="J65" i="56"/>
  <c r="I66" i="56"/>
  <c r="GR4" i="2"/>
  <c r="N3" i="2" l="1"/>
  <c r="EP3" i="2"/>
  <c r="BF3" i="2"/>
  <c r="I67" i="39"/>
  <c r="J67" i="39" s="1"/>
  <c r="J66" i="39"/>
  <c r="I66" i="45"/>
  <c r="J65" i="45"/>
  <c r="J2" i="13"/>
  <c r="K2" i="13" s="1"/>
  <c r="E2" i="13"/>
  <c r="K64" i="96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K66" i="73" s="1"/>
  <c r="K64" i="69"/>
  <c r="E2" i="164"/>
  <c r="F67" i="164"/>
  <c r="J2" i="164"/>
  <c r="K2" i="164" s="1"/>
  <c r="C2" i="14"/>
  <c r="E3" i="14"/>
  <c r="J3" i="14"/>
  <c r="K3" i="14" s="1"/>
  <c r="I66" i="96"/>
  <c r="J65" i="96"/>
  <c r="E3" i="100"/>
  <c r="C2" i="100"/>
  <c r="J3" i="100"/>
  <c r="K3" i="100" s="1"/>
  <c r="AU4" i="2"/>
  <c r="J65" i="69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K66" i="106" s="1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K65" i="111"/>
  <c r="K65" i="76"/>
  <c r="E3" i="90"/>
  <c r="C2" i="90"/>
  <c r="J3" i="90"/>
  <c r="K3" i="90" s="1"/>
  <c r="K65" i="121"/>
  <c r="J66" i="155"/>
  <c r="K66" i="155" s="1"/>
  <c r="I67" i="155"/>
  <c r="J67" i="155" s="1"/>
  <c r="I66" i="143"/>
  <c r="J65" i="143"/>
  <c r="K65" i="57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I67" i="111"/>
  <c r="J67" i="111" s="1"/>
  <c r="J66" i="76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K64" i="143"/>
  <c r="E2" i="108"/>
  <c r="F67" i="108"/>
  <c r="J2" i="108"/>
  <c r="K2" i="108" s="1"/>
  <c r="K64" i="147"/>
  <c r="J65" i="90"/>
  <c r="I66" i="90"/>
  <c r="I67" i="57"/>
  <c r="J67" i="57" s="1"/>
  <c r="J66" i="57"/>
  <c r="E3" i="28"/>
  <c r="C2" i="28"/>
  <c r="J3" i="28"/>
  <c r="K3" i="28" s="1"/>
  <c r="FW4" i="2"/>
  <c r="IV3" i="2"/>
  <c r="N4" i="1"/>
  <c r="K65" i="20"/>
  <c r="I66" i="147"/>
  <c r="J65" i="147"/>
  <c r="J2" i="97"/>
  <c r="K2" i="97" s="1"/>
  <c r="E2" i="97"/>
  <c r="F67" i="97"/>
  <c r="I67" i="170"/>
  <c r="J67" i="170" s="1"/>
  <c r="J66" i="170"/>
  <c r="K66" i="170" s="1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6" i="20" s="1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K65" i="49"/>
  <c r="C2" i="42"/>
  <c r="E3" i="42"/>
  <c r="J3" i="42"/>
  <c r="K3" i="42" s="1"/>
  <c r="FV3" i="2"/>
  <c r="I66" i="65"/>
  <c r="J65" i="65"/>
  <c r="K64" i="148"/>
  <c r="F67" i="145"/>
  <c r="E2" i="145"/>
  <c r="J2" i="145"/>
  <c r="K2" i="145" s="1"/>
  <c r="AU4" i="1"/>
  <c r="K66" i="18"/>
  <c r="J66" i="168"/>
  <c r="I67" i="168"/>
  <c r="J67" i="168" s="1"/>
  <c r="E3" i="92"/>
  <c r="C2" i="92"/>
  <c r="J3" i="92"/>
  <c r="K3" i="92" s="1"/>
  <c r="F67" i="162"/>
  <c r="E2" i="162"/>
  <c r="J2" i="162"/>
  <c r="K2" i="162" s="1"/>
  <c r="I67" i="131"/>
  <c r="J67" i="131" s="1"/>
  <c r="J66" i="131"/>
  <c r="K66" i="131" s="1"/>
  <c r="C2" i="172"/>
  <c r="E3" i="172"/>
  <c r="J3" i="172"/>
  <c r="K3" i="172" s="1"/>
  <c r="I66" i="148"/>
  <c r="J65" i="148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5" i="168"/>
  <c r="K65" i="97"/>
  <c r="K66" i="118"/>
  <c r="I66" i="81"/>
  <c r="J65" i="81"/>
  <c r="E3" i="107"/>
  <c r="C2" i="107"/>
  <c r="J3" i="107"/>
  <c r="K3" i="107" s="1"/>
  <c r="I67" i="97"/>
  <c r="J67" i="97" s="1"/>
  <c r="J66" i="97"/>
  <c r="J65" i="130"/>
  <c r="K64" i="130" s="1"/>
  <c r="I66" i="130"/>
  <c r="I67" i="103"/>
  <c r="J67" i="103" s="1"/>
  <c r="J66" i="103"/>
  <c r="E2" i="147"/>
  <c r="F67" i="147"/>
  <c r="J2" i="147"/>
  <c r="K2" i="147" s="1"/>
  <c r="K64" i="58"/>
  <c r="J65" i="163"/>
  <c r="I66" i="163"/>
  <c r="I66" i="110"/>
  <c r="J65" i="110"/>
  <c r="K64" i="81"/>
  <c r="I66" i="43"/>
  <c r="J65" i="43"/>
  <c r="J65" i="8"/>
  <c r="I66" i="8"/>
  <c r="I67" i="67"/>
  <c r="J67" i="67" s="1"/>
  <c r="J66" i="67"/>
  <c r="K66" i="67" s="1"/>
  <c r="J66" i="88"/>
  <c r="K66" i="88" s="1"/>
  <c r="I67" i="88"/>
  <c r="J67" i="88" s="1"/>
  <c r="J66" i="144"/>
  <c r="I67" i="144"/>
  <c r="J67" i="144" s="1"/>
  <c r="I67" i="50"/>
  <c r="J67" i="50" s="1"/>
  <c r="J66" i="50"/>
  <c r="K65" i="50" s="1"/>
  <c r="I66" i="38"/>
  <c r="J65" i="38"/>
  <c r="J65" i="58"/>
  <c r="I66" i="58"/>
  <c r="C2" i="56"/>
  <c r="E3" i="56"/>
  <c r="J3" i="56"/>
  <c r="K3" i="56" s="1"/>
  <c r="GR3" i="2"/>
  <c r="K64" i="43"/>
  <c r="E3" i="155"/>
  <c r="C2" i="155"/>
  <c r="J3" i="155"/>
  <c r="K3" i="155" s="1"/>
  <c r="K65" i="123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6" i="41"/>
  <c r="I67" i="84"/>
  <c r="J67" i="84" s="1"/>
  <c r="J66" i="84"/>
  <c r="K65" i="173"/>
  <c r="I67" i="151"/>
  <c r="J67" i="151" s="1"/>
  <c r="J66" i="151"/>
  <c r="K66" i="151" s="1"/>
  <c r="E3" i="3"/>
  <c r="C2" i="3"/>
  <c r="J3" i="3"/>
  <c r="K3" i="3" s="1"/>
  <c r="I66" i="100"/>
  <c r="J65" i="100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K66" i="3" s="1"/>
  <c r="I67" i="3"/>
  <c r="J67" i="3" s="1"/>
  <c r="E2" i="101"/>
  <c r="F67" i="101"/>
  <c r="J2" i="101"/>
  <c r="K2" i="101" s="1"/>
  <c r="K66" i="44"/>
  <c r="K65" i="8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K66" i="19" s="1"/>
  <c r="I67" i="80"/>
  <c r="J67" i="80" s="1"/>
  <c r="J66" i="80"/>
  <c r="K66" i="80" s="1"/>
  <c r="J2" i="33"/>
  <c r="K2" i="33" s="1"/>
  <c r="E2" i="33"/>
  <c r="M2" i="2"/>
  <c r="K64" i="17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4" i="160"/>
  <c r="K65" i="10"/>
  <c r="J65" i="160"/>
  <c r="I66" i="160"/>
  <c r="K63" i="163"/>
  <c r="J65" i="17"/>
  <c r="I66" i="17"/>
  <c r="K64" i="76"/>
  <c r="K65" i="169"/>
  <c r="BQ4" i="1"/>
  <c r="K66" i="158"/>
  <c r="AI3" i="2"/>
  <c r="F67" i="151"/>
  <c r="E2" i="151"/>
  <c r="J2" i="151"/>
  <c r="K2" i="151" s="1"/>
  <c r="K64" i="102"/>
  <c r="DI3" i="2"/>
  <c r="K64" i="105"/>
  <c r="K63" i="148"/>
  <c r="J66" i="169"/>
  <c r="I67" i="169"/>
  <c r="J67" i="169" s="1"/>
  <c r="HD4" i="2"/>
  <c r="F67" i="140"/>
  <c r="E2" i="140"/>
  <c r="J2" i="140"/>
  <c r="K2" i="140" s="1"/>
  <c r="J65" i="102"/>
  <c r="I66" i="102"/>
  <c r="J66" i="49"/>
  <c r="K66" i="49" s="1"/>
  <c r="I67" i="49"/>
  <c r="J67" i="49" s="1"/>
  <c r="F67" i="70"/>
  <c r="J2" i="70"/>
  <c r="K2" i="70" s="1"/>
  <c r="E2" i="70"/>
  <c r="E3" i="152"/>
  <c r="C2" i="152"/>
  <c r="J3" i="152"/>
  <c r="K3" i="152" s="1"/>
  <c r="J2" i="133"/>
  <c r="K2" i="133" s="1"/>
  <c r="E2" i="133"/>
  <c r="F67" i="133"/>
  <c r="DH2" i="2"/>
  <c r="J2" i="20"/>
  <c r="K2" i="20" s="1"/>
  <c r="E2" i="20"/>
  <c r="J65" i="105"/>
  <c r="I66" i="105"/>
  <c r="I67" i="33"/>
  <c r="J67" i="33" s="1"/>
  <c r="J66" i="33"/>
  <c r="K66" i="33" s="1"/>
  <c r="I67" i="4"/>
  <c r="J67" i="4" s="1"/>
  <c r="J66" i="4"/>
  <c r="K64" i="73"/>
  <c r="I67" i="137"/>
  <c r="J67" i="137" s="1"/>
  <c r="J66" i="137"/>
  <c r="K65" i="157"/>
  <c r="I66" i="36"/>
  <c r="J65" i="36"/>
  <c r="J66" i="52"/>
  <c r="K66" i="52" s="1"/>
  <c r="I67" i="52"/>
  <c r="J67" i="52" s="1"/>
  <c r="E2" i="114"/>
  <c r="F67" i="114"/>
  <c r="J2" i="114"/>
  <c r="K2" i="114" s="1"/>
  <c r="K64" i="47"/>
  <c r="I67" i="70"/>
  <c r="J67" i="70" s="1"/>
  <c r="J66" i="70"/>
  <c r="K66" i="70" s="1"/>
  <c r="K64" i="106"/>
  <c r="E3" i="8"/>
  <c r="C2" i="8"/>
  <c r="HC3" i="2"/>
  <c r="BP3" i="1"/>
  <c r="J3" i="8"/>
  <c r="K3" i="8" s="1"/>
  <c r="I67" i="154"/>
  <c r="J67" i="154" s="1"/>
  <c r="J66" i="154"/>
  <c r="K66" i="154" s="1"/>
  <c r="K64" i="55"/>
  <c r="J66" i="138"/>
  <c r="I67" i="138"/>
  <c r="J67" i="138" s="1"/>
  <c r="DT2" i="2"/>
  <c r="I67" i="85"/>
  <c r="J67" i="85" s="1"/>
  <c r="J66" i="85"/>
  <c r="K66" i="85" s="1"/>
  <c r="K65" i="126"/>
  <c r="J2" i="48"/>
  <c r="K2" i="48" s="1"/>
  <c r="E2" i="48"/>
  <c r="J66" i="126"/>
  <c r="I67" i="126"/>
  <c r="J67" i="126" s="1"/>
  <c r="J65" i="47"/>
  <c r="I66" i="47"/>
  <c r="E2" i="125"/>
  <c r="F67" i="125"/>
  <c r="J2" i="125"/>
  <c r="K2" i="125" s="1"/>
  <c r="J65" i="55"/>
  <c r="I66" i="55"/>
  <c r="EE4" i="2"/>
  <c r="I66" i="120"/>
  <c r="J65" i="120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K64" i="120"/>
  <c r="K64" i="100"/>
  <c r="J2" i="89"/>
  <c r="K2" i="89" s="1"/>
  <c r="E2" i="89"/>
  <c r="F67" i="89"/>
  <c r="HN2" i="2"/>
  <c r="D42" i="1"/>
  <c r="Z42" i="1"/>
  <c r="O42" i="1"/>
  <c r="CC42" i="1"/>
  <c r="BR42" i="1"/>
  <c r="AV42" i="1"/>
  <c r="AK42" i="1"/>
  <c r="K66" i="25"/>
  <c r="E3" i="53"/>
  <c r="C2" i="53"/>
  <c r="X2" i="1" s="1"/>
  <c r="J3" i="53"/>
  <c r="K3" i="53" s="1"/>
  <c r="I67" i="86"/>
  <c r="J67" i="86" s="1"/>
  <c r="J66" i="86"/>
  <c r="K66" i="86" s="1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K66" i="119" s="1"/>
  <c r="I66" i="174"/>
  <c r="J65" i="174"/>
  <c r="K64" i="162"/>
  <c r="K63" i="110"/>
  <c r="K65" i="63"/>
  <c r="J2" i="71"/>
  <c r="K2" i="71" s="1"/>
  <c r="F67" i="71"/>
  <c r="E2" i="71"/>
  <c r="K65" i="28"/>
  <c r="K65" i="44"/>
  <c r="K65" i="108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K65" i="53"/>
  <c r="E3" i="143"/>
  <c r="C2" i="143"/>
  <c r="J3" i="143"/>
  <c r="K3" i="143" s="1"/>
  <c r="I67" i="108"/>
  <c r="J67" i="108" s="1"/>
  <c r="J66" i="108"/>
  <c r="K66" i="108" s="1"/>
  <c r="CA3" i="2"/>
  <c r="I66" i="109"/>
  <c r="J65" i="109"/>
  <c r="K63" i="69"/>
  <c r="C2" i="91"/>
  <c r="E3" i="91"/>
  <c r="J3" i="91"/>
  <c r="K3" i="91" s="1"/>
  <c r="J65" i="40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K66" i="161" s="1"/>
  <c r="K64" i="40"/>
  <c r="CW2" i="2"/>
  <c r="K66" i="66"/>
  <c r="J2" i="80"/>
  <c r="K2" i="80" s="1"/>
  <c r="E2" i="80"/>
  <c r="F67" i="80"/>
  <c r="J66" i="53"/>
  <c r="I67" i="53"/>
  <c r="J67" i="53" s="1"/>
  <c r="I67" i="56"/>
  <c r="J67" i="56" s="1"/>
  <c r="J66" i="56"/>
  <c r="K66" i="56" s="1"/>
  <c r="K66" i="165"/>
  <c r="K63" i="105"/>
  <c r="K66" i="124"/>
  <c r="E2" i="153"/>
  <c r="F67" i="153"/>
  <c r="J2" i="153"/>
  <c r="K2" i="153" s="1"/>
  <c r="K65" i="144"/>
  <c r="I67" i="87"/>
  <c r="J67" i="87" s="1"/>
  <c r="J66" i="87"/>
  <c r="K66" i="87" s="1"/>
  <c r="E2" i="15"/>
  <c r="J2" i="15"/>
  <c r="K2" i="15" s="1"/>
  <c r="I67" i="54"/>
  <c r="J67" i="54" s="1"/>
  <c r="J66" i="54"/>
  <c r="K66" i="54" s="1"/>
  <c r="I66" i="91"/>
  <c r="J65" i="91"/>
  <c r="BQ4" i="2"/>
  <c r="FA3" i="2"/>
  <c r="K63" i="141"/>
  <c r="J66" i="114"/>
  <c r="I67" i="114"/>
  <c r="J67" i="114" s="1"/>
  <c r="E2" i="96"/>
  <c r="F67" i="96"/>
  <c r="J2" i="96"/>
  <c r="K2" i="96" s="1"/>
  <c r="I67" i="31"/>
  <c r="J67" i="31" s="1"/>
  <c r="J66" i="31"/>
  <c r="K66" i="31" s="1"/>
  <c r="K63" i="160"/>
  <c r="K65" i="113"/>
  <c r="E2" i="63"/>
  <c r="F67" i="63"/>
  <c r="J2" i="63"/>
  <c r="K2" i="63" s="1"/>
  <c r="CL2" i="2"/>
  <c r="K65" i="114"/>
  <c r="K66" i="30"/>
  <c r="K65" i="116"/>
  <c r="J2" i="132"/>
  <c r="K2" i="132" s="1"/>
  <c r="F67" i="132"/>
  <c r="E2" i="132"/>
  <c r="CX3" i="2"/>
  <c r="E3" i="52"/>
  <c r="C2" i="52"/>
  <c r="BP3" i="2"/>
  <c r="J3" i="52"/>
  <c r="K3" i="52" s="1"/>
  <c r="J69" i="24"/>
  <c r="K68" i="24" s="1"/>
  <c r="I70" i="24"/>
  <c r="K64" i="87"/>
  <c r="K65" i="39"/>
  <c r="K64" i="4"/>
  <c r="I66" i="171"/>
  <c r="J65" i="171"/>
  <c r="F67" i="134"/>
  <c r="E2" i="134"/>
  <c r="EZ2" i="2"/>
  <c r="J2" i="134"/>
  <c r="K2" i="134" s="1"/>
  <c r="K64" i="45"/>
  <c r="F67" i="142"/>
  <c r="E2" i="142"/>
  <c r="J2" i="142"/>
  <c r="K2" i="142" s="1"/>
  <c r="J66" i="116"/>
  <c r="I67" i="116"/>
  <c r="J67" i="116" s="1"/>
  <c r="Y2" i="1" l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K66" i="36" s="1"/>
  <c r="FL3" i="2"/>
  <c r="I67" i="95"/>
  <c r="J67" i="95" s="1"/>
  <c r="J66" i="95"/>
  <c r="K66" i="95" s="1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I67" i="8"/>
  <c r="J67" i="8" s="1"/>
  <c r="I67" i="140"/>
  <c r="J67" i="140" s="1"/>
  <c r="J66" i="140"/>
  <c r="K66" i="140" s="1"/>
  <c r="E2" i="136"/>
  <c r="F67" i="136"/>
  <c r="J2" i="136"/>
  <c r="K2" i="136" s="1"/>
  <c r="K65" i="8"/>
  <c r="I67" i="90"/>
  <c r="J67" i="90" s="1"/>
  <c r="J66" i="90"/>
  <c r="K66" i="90" s="1"/>
  <c r="I67" i="109"/>
  <c r="J67" i="109" s="1"/>
  <c r="J66" i="109"/>
  <c r="K66" i="109" s="1"/>
  <c r="K66" i="169"/>
  <c r="I67" i="171"/>
  <c r="J67" i="171" s="1"/>
  <c r="J66" i="171"/>
  <c r="K66" i="114"/>
  <c r="K65" i="43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6" i="43" s="1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K66" i="65" s="1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K66" i="125" s="1"/>
  <c r="I67" i="125"/>
  <c r="J67" i="125" s="1"/>
  <c r="I67" i="143"/>
  <c r="J67" i="143" s="1"/>
  <c r="J66" i="143"/>
  <c r="K66" i="143" s="1"/>
  <c r="J70" i="24"/>
  <c r="I71" i="24"/>
  <c r="K66" i="138"/>
  <c r="K65" i="67"/>
  <c r="I67" i="110"/>
  <c r="J67" i="110" s="1"/>
  <c r="J66" i="110"/>
  <c r="K66" i="110" s="1"/>
  <c r="AU3" i="1"/>
  <c r="K65" i="125"/>
  <c r="K65" i="119"/>
  <c r="F67" i="143"/>
  <c r="E2" i="143"/>
  <c r="J2" i="143"/>
  <c r="K2" i="143" s="1"/>
  <c r="K65" i="31"/>
  <c r="E2" i="49"/>
  <c r="J2" i="49"/>
  <c r="K2" i="49" s="1"/>
  <c r="K64" i="36"/>
  <c r="J66" i="105"/>
  <c r="K66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K66" i="100" s="1"/>
  <c r="EO2" i="2"/>
  <c r="AJ3" i="2"/>
  <c r="GS3" i="2"/>
  <c r="I67" i="148"/>
  <c r="J67" i="148" s="1"/>
  <c r="J66" i="148"/>
  <c r="K66" i="148" s="1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K65" i="120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K66" i="69" s="1"/>
  <c r="K65" i="45"/>
  <c r="J66" i="58"/>
  <c r="I67" i="58"/>
  <c r="J67" i="58" s="1"/>
  <c r="I67" i="130"/>
  <c r="J67" i="130" s="1"/>
  <c r="J66" i="130"/>
  <c r="K66" i="130" s="1"/>
  <c r="E2" i="172"/>
  <c r="F67" i="172"/>
  <c r="J2" i="172"/>
  <c r="K2" i="172" s="1"/>
  <c r="I67" i="147"/>
  <c r="J67" i="147" s="1"/>
  <c r="J66" i="147"/>
  <c r="I67" i="45"/>
  <c r="J67" i="45" s="1"/>
  <c r="J66" i="45"/>
  <c r="I67" i="120"/>
  <c r="J67" i="120" s="1"/>
  <c r="J66" i="120"/>
  <c r="K65" i="58"/>
  <c r="K65" i="130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5" i="38"/>
  <c r="K66" i="97"/>
  <c r="J66" i="166"/>
  <c r="I67" i="166"/>
  <c r="J67" i="166" s="1"/>
  <c r="J66" i="64"/>
  <c r="K66" i="64" s="1"/>
  <c r="I67" i="64"/>
  <c r="J67" i="64" s="1"/>
  <c r="K66" i="39"/>
  <c r="J66" i="38"/>
  <c r="K66" i="38" s="1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6" i="35" s="1"/>
  <c r="K65" i="17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K65" i="105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K66" i="160" s="1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K65" i="81"/>
  <c r="E2" i="12"/>
  <c r="J2" i="12"/>
  <c r="K2" i="12" s="1"/>
  <c r="M2" i="1"/>
  <c r="X2" i="2"/>
  <c r="E2" i="46"/>
  <c r="J2" i="46"/>
  <c r="K2" i="46" s="1"/>
  <c r="J66" i="96"/>
  <c r="I67" i="96"/>
  <c r="J67" i="96" s="1"/>
  <c r="K65" i="35"/>
  <c r="K66" i="116"/>
  <c r="K64" i="112"/>
  <c r="K64" i="91"/>
  <c r="K65" i="70"/>
  <c r="K65" i="52"/>
  <c r="K65" i="3"/>
  <c r="K66" i="144"/>
  <c r="I67" i="81"/>
  <c r="J67" i="81" s="1"/>
  <c r="J66" i="81"/>
  <c r="K66" i="81" s="1"/>
  <c r="K64" i="65"/>
  <c r="FA2" i="2"/>
  <c r="K65" i="146"/>
  <c r="BG41" i="1"/>
  <c r="BF41" i="1"/>
  <c r="CM2" i="2"/>
  <c r="K65" i="54"/>
  <c r="I67" i="40"/>
  <c r="J67" i="40" s="1"/>
  <c r="J66" i="40"/>
  <c r="K66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6" i="17" s="1"/>
  <c r="K65" i="40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AU2" i="2" l="1"/>
  <c r="K66" i="147"/>
  <c r="CB2" i="1"/>
  <c r="FW2" i="2"/>
  <c r="I72" i="24"/>
  <c r="J71" i="24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9" i="24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I73" i="24"/>
  <c r="J72" i="24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K70" i="24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J73" i="24"/>
  <c r="I74" i="24"/>
  <c r="E37" i="24"/>
  <c r="C36" i="24"/>
  <c r="GG37" i="2"/>
  <c r="BE37" i="1"/>
  <c r="C37" i="1"/>
  <c r="C37" i="2"/>
  <c r="J37" i="24"/>
  <c r="K37" i="24" s="1"/>
  <c r="GI38" i="2"/>
  <c r="GH38" i="2"/>
  <c r="K71" i="24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J74" i="24"/>
  <c r="I75" i="24"/>
  <c r="K73" i="24"/>
  <c r="K72" i="24"/>
  <c r="I76" i="24" l="1"/>
  <c r="J75" i="24"/>
  <c r="D36" i="2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K75" i="24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K74" i="24"/>
  <c r="J76" i="24"/>
  <c r="I77" i="24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I78" i="24"/>
  <c r="J77" i="24"/>
  <c r="BG34" i="1"/>
  <c r="BF34" i="1"/>
  <c r="GH34" i="2"/>
  <c r="GI34" i="2"/>
  <c r="K76" i="24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I79" i="24" l="1"/>
  <c r="J78" i="24"/>
  <c r="D33" i="2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J79" i="24"/>
  <c r="I80" i="24"/>
  <c r="GI32" i="2"/>
  <c r="GH32" i="2"/>
  <c r="C30" i="24"/>
  <c r="E31" i="24"/>
  <c r="GG31" i="2"/>
  <c r="J31" i="24"/>
  <c r="K31" i="24" s="1"/>
  <c r="BE31" i="1"/>
  <c r="C31" i="1"/>
  <c r="C31" i="2"/>
  <c r="K78" i="24"/>
  <c r="K77" i="24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I81" i="24"/>
  <c r="J80" i="24"/>
  <c r="K79" i="24"/>
  <c r="I82" i="24" l="1"/>
  <c r="J81" i="24"/>
  <c r="D30" i="2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J82" i="24"/>
  <c r="I83" i="24"/>
  <c r="K80" i="24"/>
  <c r="I84" i="24" l="1"/>
  <c r="J83" i="24"/>
  <c r="K82" i="24" s="1"/>
  <c r="K81" i="24"/>
  <c r="D28" i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I85" i="24"/>
  <c r="J84" i="24"/>
  <c r="D26" i="1" l="1"/>
  <c r="AK26" i="1"/>
  <c r="BR26" i="1"/>
  <c r="O26" i="1"/>
  <c r="CC26" i="1"/>
  <c r="Z26" i="1"/>
  <c r="AV26" i="1"/>
  <c r="BG26" i="1"/>
  <c r="BF26" i="1"/>
  <c r="J85" i="24"/>
  <c r="I86" i="24"/>
  <c r="K83" i="24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I87" i="24"/>
  <c r="J86" i="24"/>
  <c r="D25" i="1"/>
  <c r="Z25" i="1"/>
  <c r="BR25" i="1"/>
  <c r="O25" i="1"/>
  <c r="CC25" i="1"/>
  <c r="AV25" i="1"/>
  <c r="AK25" i="1"/>
  <c r="K85" i="24"/>
  <c r="K84" i="24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I88" i="24"/>
  <c r="J87" i="24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J88" i="24"/>
  <c r="I89" i="24"/>
  <c r="D23" i="1"/>
  <c r="Z23" i="1"/>
  <c r="CC23" i="1"/>
  <c r="AK23" i="1"/>
  <c r="AV23" i="1"/>
  <c r="BR23" i="1"/>
  <c r="O23" i="1"/>
  <c r="K86" i="24"/>
  <c r="E22" i="24"/>
  <c r="C21" i="24"/>
  <c r="GG22" i="2"/>
  <c r="J22" i="24"/>
  <c r="K22" i="24" s="1"/>
  <c r="BE22" i="1"/>
  <c r="C22" i="1"/>
  <c r="C22" i="2"/>
  <c r="GI23" i="2"/>
  <c r="GH23" i="2"/>
  <c r="K87" i="24" l="1"/>
  <c r="I90" i="24"/>
  <c r="J89" i="24"/>
  <c r="D22" i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J90" i="24"/>
  <c r="K89" i="24" s="1"/>
  <c r="I91" i="24"/>
  <c r="K88" i="24"/>
  <c r="I92" i="24" l="1"/>
  <c r="J91" i="24"/>
  <c r="K90" i="24"/>
  <c r="D20" i="2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K91" i="24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I93" i="24"/>
  <c r="J92" i="24"/>
  <c r="I94" i="24" l="1"/>
  <c r="J93" i="24"/>
  <c r="D18" i="2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I95" i="24"/>
  <c r="J94" i="24"/>
  <c r="BF17" i="1"/>
  <c r="BG17" i="1"/>
  <c r="E16" i="24"/>
  <c r="C15" i="24"/>
  <c r="GG16" i="2"/>
  <c r="J16" i="24"/>
  <c r="K16" i="24" s="1"/>
  <c r="BE16" i="1"/>
  <c r="C16" i="1"/>
  <c r="C16" i="2"/>
  <c r="K93" i="24"/>
  <c r="K92" i="24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I96" i="24"/>
  <c r="J95" i="24"/>
  <c r="I97" i="24" l="1"/>
  <c r="J96" i="24"/>
  <c r="K94" i="24"/>
  <c r="D15" i="2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I98" i="24"/>
  <c r="J97" i="24"/>
  <c r="K96" i="24" s="1"/>
  <c r="K95" i="24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K97" i="24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I99" i="24"/>
  <c r="J98" i="24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I100" i="24"/>
  <c r="J99" i="24"/>
  <c r="BF12" i="1"/>
  <c r="BG12" i="1"/>
  <c r="I101" i="24" l="1"/>
  <c r="J100" i="24"/>
  <c r="D11" i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K98" i="24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J101" i="24"/>
  <c r="I102" i="24"/>
  <c r="K100" i="24"/>
  <c r="K99" i="24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I103" i="24"/>
  <c r="J102" i="24"/>
  <c r="K101" i="24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I104" i="24"/>
  <c r="J103" i="24"/>
  <c r="K102" i="24" s="1"/>
  <c r="BF8" i="1"/>
  <c r="BG8" i="1"/>
  <c r="GI8" i="2"/>
  <c r="GH8" i="2"/>
  <c r="J104" i="24" l="1"/>
  <c r="I105" i="24"/>
  <c r="D7" i="2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K103" i="24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I106" i="24"/>
  <c r="J105" i="24"/>
  <c r="BF6" i="1"/>
  <c r="BG6" i="1"/>
  <c r="E5" i="24"/>
  <c r="C4" i="24"/>
  <c r="GG5" i="2"/>
  <c r="J5" i="24"/>
  <c r="K5" i="24" s="1"/>
  <c r="BE5" i="1"/>
  <c r="C5" i="1"/>
  <c r="C5" i="2"/>
  <c r="K104" i="24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I107" i="24"/>
  <c r="J106" i="24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J107" i="24"/>
  <c r="I108" i="24"/>
  <c r="BF4" i="1"/>
  <c r="BG4" i="1"/>
  <c r="C2" i="24"/>
  <c r="E3" i="24"/>
  <c r="GG3" i="2"/>
  <c r="J3" i="24"/>
  <c r="K3" i="24" s="1"/>
  <c r="BE3" i="1"/>
  <c r="C3" i="2"/>
  <c r="C3" i="1"/>
  <c r="K106" i="24"/>
  <c r="K105" i="24"/>
  <c r="D3" i="1" l="1"/>
  <c r="CC3" i="1"/>
  <c r="AV3" i="1"/>
  <c r="O3" i="1"/>
  <c r="BR3" i="1"/>
  <c r="AK3" i="1"/>
  <c r="Z3" i="1"/>
  <c r="BG3" i="1"/>
  <c r="BF3" i="1"/>
  <c r="I109" i="24"/>
  <c r="J108" i="24"/>
  <c r="K107" i="24" s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K108" i="24"/>
  <c r="I110" i="24"/>
  <c r="J109" i="24"/>
  <c r="GI2" i="2"/>
  <c r="GH2" i="2"/>
  <c r="BG2" i="1"/>
  <c r="BF2" i="1"/>
  <c r="J110" i="24" l="1"/>
  <c r="K109" i="24" s="1"/>
  <c r="I111" i="24"/>
  <c r="I112" i="24" l="1"/>
  <c r="J111" i="24"/>
  <c r="K110" i="24" s="1"/>
  <c r="J112" i="24" l="1"/>
  <c r="I113" i="24"/>
  <c r="J113" i="24" l="1"/>
  <c r="K112" i="24" s="1"/>
  <c r="I114" i="24"/>
  <c r="K111" i="24"/>
  <c r="J114" i="24" l="1"/>
  <c r="K113" i="24" s="1"/>
  <c r="I115" i="24"/>
  <c r="I116" i="24" l="1"/>
  <c r="J115" i="24"/>
  <c r="K114" i="24" s="1"/>
  <c r="I117" i="24" l="1"/>
  <c r="J117" i="24" s="1"/>
  <c r="J116" i="24"/>
  <c r="K116" i="24" l="1"/>
  <c r="K115" i="24"/>
</calcChain>
</file>

<file path=xl/sharedStrings.xml><?xml version="1.0" encoding="utf-8"?>
<sst xmlns="http://schemas.openxmlformats.org/spreadsheetml/2006/main" count="2215" uniqueCount="84">
  <si>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</si>
  <si>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</si>
  <si>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</si>
  <si>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</si>
  <si>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</si>
  <si>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</si>
  <si>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</si>
  <si>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</si>
  <si>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</si>
  <si>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</si>
  <si>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</si>
  <si>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</si>
  <si>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</si>
  <si>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</si>
  <si>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</si>
  <si>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</si>
  <si>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</si>
  <si>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</si>
  <si>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</si>
  <si>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</si>
  <si>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</si>
  <si>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</si>
  <si>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</si>
  <si>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</si>
  <si>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</si>
  <si>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</si>
  <si>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</si>
  <si>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</si>
  <si>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</si>
  <si>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</si>
  <si>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</si>
  <si>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</si>
  <si>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</si>
  <si>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</si>
  <si>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</si>
  <si>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</si>
  <si>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</si>
  <si>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</si>
  <si>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</si>
  <si>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</si>
  <si>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</si>
  <si>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</si>
  <si>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</si>
  <si>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</si>
  <si>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</si>
  <si>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</si>
  <si>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</si>
  <si>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</si>
  <si>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</si>
  <si>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</si>
  <si>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</si>
  <si>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</si>
  <si>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</si>
  <si>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</si>
  <si>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</si>
  <si>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</si>
  <si>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</si>
  <si>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</si>
  <si>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</si>
  <si>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</si>
  <si>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</si>
  <si>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</si>
  <si>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</si>
  <si>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</si>
  <si>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</si>
  <si>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</si>
  <si>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</si>
  <si>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</si>
  <si>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</si>
  <si>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</si>
  <si>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</si>
  <si>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</si>
  <si>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</si>
  <si>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</si>
  <si>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</si>
  <si>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</si>
  <si>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</si>
  <si>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</si>
  <si>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</si>
  <si>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</si>
  <si>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GDP/cap override ($)</t>
  </si>
  <si>
    <t>GDP per Capita ($)</t>
  </si>
  <si>
    <t>GDP (nominal, $)</t>
  </si>
  <si>
    <t>GDP growth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</si>
</sst>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#,###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181A1B"/>
      <name val="Arial"/>
      <scheme val="minor"/>
    </font>
    <font>
      <b/>
      <sz val="10"/>
      <color theme="1"/>
      <name val="Arial"/>
      <scheme val="minor"/>
    </font>
    <font>
      <sz val="10"/>
      <color theme="1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/>
  </cellXfs>
  <cellStyles count="1">
    <cellStyle name="Normal" xfId="0" builtinId="0"/>
  </cellStyles>
  <dxfs count="8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04">
    <tableStyle name="GlobalContinent Population-style" pivot="0" count="4" xr9:uid="{00000000-0011-0000-FFFF-FFFF00000000}">
      <tableStyleElement type="wholeTable" size="0" dxfId="812"/>
      <tableStyleElement type="headerRow" dxfId="815"/>
      <tableStyleElement type="firstRowStripe" dxfId="814"/>
      <tableStyleElement type="secondRowStripe" dxfId="813"/>
    </tableStyle>
    <tableStyle name="GlobalContinent Population-style 2" pivot="0" count="4" xr9:uid="{00000000-0011-0000-FFFF-FFFF01000000}">
      <tableStyleElement type="wholeTable" size="0" dxfId="808"/>
      <tableStyleElement type="headerRow" dxfId="811"/>
      <tableStyleElement type="firstRowStripe" dxfId="810"/>
      <tableStyleElement type="secondRowStripe" dxfId="809"/>
    </tableStyle>
    <tableStyle name="GlobalContinent Population-style 3" pivot="0" count="4" xr9:uid="{00000000-0011-0000-FFFF-FFFF02000000}">
      <tableStyleElement type="wholeTable" size="0" dxfId="804"/>
      <tableStyleElement type="headerRow" dxfId="807"/>
      <tableStyleElement type="firstRowStripe" dxfId="806"/>
      <tableStyleElement type="secondRowStripe" dxfId="805"/>
    </tableStyle>
    <tableStyle name="GlobalContinent Population-style 4" pivot="0" count="4" xr9:uid="{00000000-0011-0000-FFFF-FFFF03000000}">
      <tableStyleElement type="wholeTable" size="0" dxfId="800"/>
      <tableStyleElement type="headerRow" dxfId="803"/>
      <tableStyleElement type="firstRowStripe" dxfId="802"/>
      <tableStyleElement type="secondRowStripe" dxfId="801"/>
    </tableStyle>
    <tableStyle name="GlobalContinent Population-style 5" pivot="0" count="4" xr9:uid="{00000000-0011-0000-FFFF-FFFF04000000}">
      <tableStyleElement type="wholeTable" size="0" dxfId="796"/>
      <tableStyleElement type="headerRow" dxfId="799"/>
      <tableStyleElement type="firstRowStripe" dxfId="798"/>
      <tableStyleElement type="secondRowStripe" dxfId="797"/>
    </tableStyle>
    <tableStyle name="GlobalContinent Population-style 6" pivot="0" count="4" xr9:uid="{00000000-0011-0000-FFFF-FFFF05000000}">
      <tableStyleElement type="wholeTable" size="0" dxfId="792"/>
      <tableStyleElement type="headerRow" dxfId="795"/>
      <tableStyleElement type="firstRowStripe" dxfId="794"/>
      <tableStyleElement type="secondRowStripe" dxfId="793"/>
    </tableStyle>
    <tableStyle name="GlobalContinent Population-style 7" pivot="0" count="4" xr9:uid="{00000000-0011-0000-FFFF-FFFF06000000}">
      <tableStyleElement type="wholeTable" size="0" dxfId="788"/>
      <tableStyleElement type="headerRow" dxfId="791"/>
      <tableStyleElement type="firstRowStripe" dxfId="790"/>
      <tableStyleElement type="secondRowStripe" dxfId="789"/>
    </tableStyle>
    <tableStyle name="GlobalContinent Population-style 8" pivot="0" count="4" xr9:uid="{00000000-0011-0000-FFFF-FFFF07000000}">
      <tableStyleElement type="wholeTable" size="0" dxfId="784"/>
      <tableStyleElement type="headerRow" dxfId="787"/>
      <tableStyleElement type="firstRowStripe" dxfId="786"/>
      <tableStyleElement type="secondRowStripe" dxfId="785"/>
    </tableStyle>
    <tableStyle name="Geoscheme Population-style" pivot="0" count="4" xr9:uid="{00000000-0011-0000-FFFF-FFFF08000000}">
      <tableStyleElement type="wholeTable" size="0" dxfId="780"/>
      <tableStyleElement type="headerRow" dxfId="783"/>
      <tableStyleElement type="firstRowStripe" dxfId="782"/>
      <tableStyleElement type="secondRowStripe" dxfId="781"/>
    </tableStyle>
    <tableStyle name="Geoscheme Population-style 2" pivot="0" count="4" xr9:uid="{00000000-0011-0000-FFFF-FFFF09000000}">
      <tableStyleElement type="wholeTable" size="0" dxfId="776"/>
      <tableStyleElement type="headerRow" dxfId="779"/>
      <tableStyleElement type="firstRowStripe" dxfId="778"/>
      <tableStyleElement type="secondRowStripe" dxfId="777"/>
    </tableStyle>
    <tableStyle name="Geoscheme Population-style 3" pivot="0" count="4" xr9:uid="{00000000-0011-0000-FFFF-FFFF0A000000}">
      <tableStyleElement type="wholeTable" size="0" dxfId="772"/>
      <tableStyleElement type="headerRow" dxfId="775"/>
      <tableStyleElement type="firstRowStripe" dxfId="774"/>
      <tableStyleElement type="secondRowStripe" dxfId="773"/>
    </tableStyle>
    <tableStyle name="Geoscheme Population-style 4" pivot="0" count="4" xr9:uid="{00000000-0011-0000-FFFF-FFFF0B000000}">
      <tableStyleElement type="wholeTable" size="0" dxfId="768"/>
      <tableStyleElement type="headerRow" dxfId="771"/>
      <tableStyleElement type="firstRowStripe" dxfId="770"/>
      <tableStyleElement type="secondRowStripe" dxfId="769"/>
    </tableStyle>
    <tableStyle name="Geoscheme Population-style 5" pivot="0" count="4" xr9:uid="{00000000-0011-0000-FFFF-FFFF0C000000}">
      <tableStyleElement type="wholeTable" size="0" dxfId="764"/>
      <tableStyleElement type="headerRow" dxfId="767"/>
      <tableStyleElement type="firstRowStripe" dxfId="766"/>
      <tableStyleElement type="secondRowStripe" dxfId="765"/>
    </tableStyle>
    <tableStyle name="Geoscheme Population-style 6" pivot="0" count="4" xr9:uid="{00000000-0011-0000-FFFF-FFFF0D000000}">
      <tableStyleElement type="wholeTable" size="0" dxfId="760"/>
      <tableStyleElement type="headerRow" dxfId="763"/>
      <tableStyleElement type="firstRowStripe" dxfId="762"/>
      <tableStyleElement type="secondRowStripe" dxfId="761"/>
    </tableStyle>
    <tableStyle name="Geoscheme Population-style 7" pivot="0" count="4" xr9:uid="{00000000-0011-0000-FFFF-FFFF0E000000}">
      <tableStyleElement type="wholeTable" size="0" dxfId="756"/>
      <tableStyleElement type="headerRow" dxfId="759"/>
      <tableStyleElement type="firstRowStripe" dxfId="758"/>
      <tableStyleElement type="secondRowStripe" dxfId="757"/>
    </tableStyle>
    <tableStyle name="Geoscheme Population-style 8" pivot="0" count="4" xr9:uid="{00000000-0011-0000-FFFF-FFFF0F000000}">
      <tableStyleElement type="wholeTable" size="0" dxfId="752"/>
      <tableStyleElement type="headerRow" dxfId="755"/>
      <tableStyleElement type="firstRowStripe" dxfId="754"/>
      <tableStyleElement type="secondRowStripe" dxfId="753"/>
    </tableStyle>
    <tableStyle name="Geoscheme Population-style 9" pivot="0" count="4" xr9:uid="{00000000-0011-0000-FFFF-FFFF10000000}">
      <tableStyleElement type="wholeTable" size="0" dxfId="748"/>
      <tableStyleElement type="headerRow" dxfId="751"/>
      <tableStyleElement type="firstRowStripe" dxfId="750"/>
      <tableStyleElement type="secondRowStripe" dxfId="749"/>
    </tableStyle>
    <tableStyle name="Geoscheme Population-style 10" pivot="0" count="4" xr9:uid="{00000000-0011-0000-FFFF-FFFF11000000}">
      <tableStyleElement type="wholeTable" size="0" dxfId="744"/>
      <tableStyleElement type="headerRow" dxfId="747"/>
      <tableStyleElement type="firstRowStripe" dxfId="746"/>
      <tableStyleElement type="secondRowStripe" dxfId="745"/>
    </tableStyle>
    <tableStyle name="Geoscheme Population-style 11" pivot="0" count="4" xr9:uid="{00000000-0011-0000-FFFF-FFFF12000000}">
      <tableStyleElement type="wholeTable" size="0" dxfId="740"/>
      <tableStyleElement type="headerRow" dxfId="743"/>
      <tableStyleElement type="firstRowStripe" dxfId="742"/>
      <tableStyleElement type="secondRowStripe" dxfId="741"/>
    </tableStyle>
    <tableStyle name="Geoscheme Population-style 12" pivot="0" count="4" xr9:uid="{00000000-0011-0000-FFFF-FFFF13000000}">
      <tableStyleElement type="wholeTable" size="0" dxfId="736"/>
      <tableStyleElement type="headerRow" dxfId="739"/>
      <tableStyleElement type="firstRowStripe" dxfId="738"/>
      <tableStyleElement type="secondRowStripe" dxfId="737"/>
    </tableStyle>
    <tableStyle name="Geoscheme Population-style 13" pivot="0" count="4" xr9:uid="{00000000-0011-0000-FFFF-FFFF14000000}">
      <tableStyleElement type="wholeTable" size="0" dxfId="732"/>
      <tableStyleElement type="headerRow" dxfId="735"/>
      <tableStyleElement type="firstRowStripe" dxfId="734"/>
      <tableStyleElement type="secondRowStripe" dxfId="733"/>
    </tableStyle>
    <tableStyle name="Geoscheme Population-style 14" pivot="0" count="4" xr9:uid="{00000000-0011-0000-FFFF-FFFF15000000}">
      <tableStyleElement type="wholeTable" size="0" dxfId="728"/>
      <tableStyleElement type="headerRow" dxfId="731"/>
      <tableStyleElement type="firstRowStripe" dxfId="730"/>
      <tableStyleElement type="secondRowStripe" dxfId="729"/>
    </tableStyle>
    <tableStyle name="Geoscheme Population-style 15" pivot="0" count="4" xr9:uid="{00000000-0011-0000-FFFF-FFFF16000000}">
      <tableStyleElement type="wholeTable" size="0" dxfId="724"/>
      <tableStyleElement type="headerRow" dxfId="727"/>
      <tableStyleElement type="firstRowStripe" dxfId="726"/>
      <tableStyleElement type="secondRowStripe" dxfId="725"/>
    </tableStyle>
    <tableStyle name="Geoscheme Population-style 16" pivot="0" count="4" xr9:uid="{00000000-0011-0000-FFFF-FFFF17000000}">
      <tableStyleElement type="wholeTable" size="0" dxfId="720"/>
      <tableStyleElement type="headerRow" dxfId="723"/>
      <tableStyleElement type="firstRowStripe" dxfId="722"/>
      <tableStyleElement type="secondRowStripe" dxfId="721"/>
    </tableStyle>
    <tableStyle name="Geoscheme Population-style 17" pivot="0" count="4" xr9:uid="{00000000-0011-0000-FFFF-FFFF18000000}">
      <tableStyleElement type="wholeTable" size="0" dxfId="716"/>
      <tableStyleElement type="headerRow" dxfId="719"/>
      <tableStyleElement type="firstRowStripe" dxfId="718"/>
      <tableStyleElement type="secondRowStripe" dxfId="717"/>
    </tableStyle>
    <tableStyle name="Geoscheme Population-style 18" pivot="0" count="4" xr9:uid="{00000000-0011-0000-FFFF-FFFF19000000}">
      <tableStyleElement type="wholeTable" size="0" dxfId="712"/>
      <tableStyleElement type="headerRow" dxfId="715"/>
      <tableStyleElement type="firstRowStripe" dxfId="714"/>
      <tableStyleElement type="secondRowStripe" dxfId="713"/>
    </tableStyle>
    <tableStyle name="Geoscheme Population-style 19" pivot="0" count="4" xr9:uid="{00000000-0011-0000-FFFF-FFFF1A000000}">
      <tableStyleElement type="wholeTable" size="0" dxfId="708"/>
      <tableStyleElement type="headerRow" dxfId="711"/>
      <tableStyleElement type="firstRowStripe" dxfId="710"/>
      <tableStyleElement type="secondRowStripe" dxfId="709"/>
    </tableStyle>
    <tableStyle name="Geoscheme Population-style 20" pivot="0" count="4" xr9:uid="{00000000-0011-0000-FFFF-FFFF1B000000}">
      <tableStyleElement type="wholeTable" size="0" dxfId="704"/>
      <tableStyleElement type="headerRow" dxfId="707"/>
      <tableStyleElement type="firstRowStripe" dxfId="706"/>
      <tableStyleElement type="secondRowStripe" dxfId="705"/>
    </tableStyle>
    <tableStyle name="Geoscheme Population-style 21" pivot="0" count="4" xr9:uid="{00000000-0011-0000-FFFF-FFFF1C000000}">
      <tableStyleElement type="wholeTable" size="0" dxfId="700"/>
      <tableStyleElement type="headerRow" dxfId="703"/>
      <tableStyleElement type="firstRowStripe" dxfId="702"/>
      <tableStyleElement type="secondRowStripe" dxfId="701"/>
    </tableStyle>
    <tableStyle name="Geoscheme Population-style 22" pivot="0" count="4" xr9:uid="{00000000-0011-0000-FFFF-FFFF1D000000}">
      <tableStyleElement type="wholeTable" size="0" dxfId="696"/>
      <tableStyleElement type="headerRow" dxfId="699"/>
      <tableStyleElement type="firstRowStripe" dxfId="698"/>
      <tableStyleElement type="secondRowStripe" dxfId="697"/>
    </tableStyle>
    <tableStyle name="Geoscheme Population-style 23" pivot="0" count="4" xr9:uid="{00000000-0011-0000-FFFF-FFFF1E000000}">
      <tableStyleElement type="wholeTable" size="0" dxfId="692"/>
      <tableStyleElement type="headerRow" dxfId="695"/>
      <tableStyleElement type="firstRowStripe" dxfId="694"/>
      <tableStyleElement type="secondRowStripe" dxfId="693"/>
    </tableStyle>
    <tableStyle name="Geoscheme Population-style 24" pivot="0" count="4" xr9:uid="{00000000-0011-0000-FFFF-FFFF1F000000}">
      <tableStyleElement type="wholeTable" size="0" dxfId="688"/>
      <tableStyleElement type="headerRow" dxfId="691"/>
      <tableStyleElement type="firstRowStripe" dxfId="690"/>
      <tableStyleElement type="secondRowStripe" dxfId="689"/>
    </tableStyle>
    <tableStyle name="Acetoa-style" pivot="0" count="4" xr9:uid="{00000000-0011-0000-FFFF-FFFF20000000}">
      <tableStyleElement type="wholeTable" size="0" dxfId="684"/>
      <tableStyleElement type="headerRow" dxfId="687"/>
      <tableStyleElement type="firstRowStripe" dxfId="686"/>
      <tableStyleElement type="secondRowStripe" dxfId="685"/>
    </tableStyle>
    <tableStyle name="Acrana-style" pivot="0" count="4" xr9:uid="{00000000-0011-0000-FFFF-FFFF21000000}">
      <tableStyleElement type="wholeTable" size="0" dxfId="680"/>
      <tableStyleElement type="headerRow" dxfId="683"/>
      <tableStyleElement type="firstRowStripe" dxfId="682"/>
      <tableStyleElement type="secondRowStripe" dxfId="681"/>
    </tableStyle>
    <tableStyle name="Aetintio-style" pivot="0" count="4" xr9:uid="{00000000-0011-0000-FFFF-FFFF22000000}">
      <tableStyleElement type="wholeTable" size="0" dxfId="676"/>
      <tableStyleElement type="headerRow" dxfId="679"/>
      <tableStyleElement type="firstRowStripe" dxfId="678"/>
      <tableStyleElement type="secondRowStripe" dxfId="677"/>
    </tableStyle>
    <tableStyle name="Ahokini-style" pivot="0" count="4" xr9:uid="{00000000-0011-0000-FFFF-FFFF23000000}">
      <tableStyleElement type="wholeTable" size="0" dxfId="672"/>
      <tableStyleElement type="headerRow" dxfId="675"/>
      <tableStyleElement type="firstRowStripe" dxfId="674"/>
      <tableStyleElement type="secondRowStripe" dxfId="673"/>
    </tableStyle>
    <tableStyle name="Amcha-style" pivot="0" count="4" xr9:uid="{00000000-0011-0000-FFFF-FFFF24000000}">
      <tableStyleElement type="wholeTable" size="0" dxfId="668"/>
      <tableStyleElement type="headerRow" dxfId="671"/>
      <tableStyleElement type="firstRowStripe" dxfId="670"/>
      <tableStyleElement type="secondRowStripe" dxfId="669"/>
    </tableStyle>
    <tableStyle name="Andsaudare-style" pivot="0" count="4" xr9:uid="{00000000-0011-0000-FFFF-FFFF25000000}">
      <tableStyleElement type="wholeTable" size="0" dxfId="664"/>
      <tableStyleElement type="headerRow" dxfId="667"/>
      <tableStyleElement type="firstRowStripe" dxfId="666"/>
      <tableStyleElement type="secondRowStripe" dxfId="665"/>
    </tableStyle>
    <tableStyle name="Anymna-style" pivot="0" count="4" xr9:uid="{00000000-0011-0000-FFFF-FFFF26000000}">
      <tableStyleElement type="wholeTable" size="0" dxfId="660"/>
      <tableStyleElement type="headerRow" dxfId="663"/>
      <tableStyleElement type="firstRowStripe" dxfId="662"/>
      <tableStyleElement type="secondRowStripe" dxfId="661"/>
    </tableStyle>
    <tableStyle name="Aplasia-style" pivot="0" count="4" xr9:uid="{00000000-0011-0000-FFFF-FFFF27000000}">
      <tableStyleElement type="wholeTable" size="0" dxfId="656"/>
      <tableStyleElement type="headerRow" dxfId="659"/>
      <tableStyleElement type="firstRowStripe" dxfId="658"/>
      <tableStyleElement type="secondRowStripe" dxfId="657"/>
    </tableStyle>
    <tableStyle name="Arbiya-style" pivot="0" count="4" xr9:uid="{00000000-0011-0000-FFFF-FFFF28000000}">
      <tableStyleElement type="wholeTable" size="0" dxfId="652"/>
      <tableStyleElement type="headerRow" dxfId="655"/>
      <tableStyleElement type="firstRowStripe" dxfId="654"/>
      <tableStyleElement type="secondRowStripe" dxfId="653"/>
    </tableStyle>
    <tableStyle name="Areoix Lie-style" pivot="0" count="4" xr9:uid="{00000000-0011-0000-FFFF-FFFF29000000}">
      <tableStyleElement type="wholeTable" size="0" dxfId="648"/>
      <tableStyleElement type="headerRow" dxfId="651"/>
      <tableStyleElement type="firstRowStripe" dxfId="650"/>
      <tableStyleElement type="secondRowStripe" dxfId="649"/>
    </tableStyle>
    <tableStyle name="Ashain-style" pivot="0" count="4" xr9:uid="{00000000-0011-0000-FFFF-FFFF2A000000}">
      <tableStyleElement type="wholeTable" size="0" dxfId="644"/>
      <tableStyleElement type="headerRow" dxfId="647"/>
      <tableStyleElement type="firstRowStripe" dxfId="646"/>
      <tableStyleElement type="secondRowStripe" dxfId="645"/>
    </tableStyle>
    <tableStyle name="Astye-style" pivot="0" count="4" xr9:uid="{00000000-0011-0000-FFFF-FFFF2B000000}">
      <tableStyleElement type="wholeTable" size="0" dxfId="640"/>
      <tableStyleElement type="headerRow" dxfId="643"/>
      <tableStyleElement type="firstRowStripe" dxfId="642"/>
      <tableStyleElement type="secondRowStripe" dxfId="641"/>
    </tableStyle>
    <tableStyle name="Baluyde-style" pivot="0" count="4" xr9:uid="{00000000-0011-0000-FFFF-FFFF2C000000}">
      <tableStyleElement type="wholeTable" size="0" dxfId="636"/>
      <tableStyleElement type="headerRow" dxfId="639"/>
      <tableStyleElement type="firstRowStripe" dxfId="638"/>
      <tableStyleElement type="secondRowStripe" dxfId="637"/>
    </tableStyle>
    <tableStyle name="Byllu-style" pivot="0" count="4" xr9:uid="{00000000-0011-0000-FFFF-FFFF2D000000}">
      <tableStyleElement type="wholeTable" size="0" dxfId="632"/>
      <tableStyleElement type="headerRow" dxfId="635"/>
      <tableStyleElement type="firstRowStripe" dxfId="634"/>
      <tableStyleElement type="secondRowStripe" dxfId="633"/>
    </tableStyle>
    <tableStyle name="Candenat-style" pivot="0" count="4" xr9:uid="{00000000-0011-0000-FFFF-FFFF2E000000}">
      <tableStyleElement type="wholeTable" size="0" dxfId="628"/>
      <tableStyleElement type="headerRow" dxfId="631"/>
      <tableStyleElement type="firstRowStripe" dxfId="630"/>
      <tableStyleElement type="secondRowStripe" dxfId="629"/>
    </tableStyle>
    <tableStyle name="Canldives-style" pivot="0" count="4" xr9:uid="{00000000-0011-0000-FFFF-FFFF2F000000}">
      <tableStyleElement type="wholeTable" size="0" dxfId="624"/>
      <tableStyleElement type="headerRow" dxfId="627"/>
      <tableStyleElement type="firstRowStripe" dxfId="626"/>
      <tableStyleElement type="secondRowStripe" dxfId="625"/>
    </tableStyle>
    <tableStyle name="Chaenia-style" pivot="0" count="4" xr9:uid="{00000000-0011-0000-FFFF-FFFF30000000}">
      <tableStyleElement type="wholeTable" size="0" dxfId="620"/>
      <tableStyleElement type="headerRow" dxfId="623"/>
      <tableStyleElement type="firstRowStripe" dxfId="622"/>
      <tableStyleElement type="secondRowStripe" dxfId="621"/>
    </tableStyle>
    <tableStyle name="Cloja-style" pivot="0" count="4" xr9:uid="{00000000-0011-0000-FFFF-FFFF31000000}">
      <tableStyleElement type="wholeTable" size="0" dxfId="616"/>
      <tableStyleElement type="headerRow" dxfId="619"/>
      <tableStyleElement type="firstRowStripe" dxfId="618"/>
      <tableStyleElement type="secondRowStripe" dxfId="617"/>
    </tableStyle>
    <tableStyle name="Crila Republic-style" pivot="0" count="4" xr9:uid="{00000000-0011-0000-FFFF-FFFF32000000}">
      <tableStyleElement type="wholeTable" size="0" dxfId="612"/>
      <tableStyleElement type="headerRow" dxfId="615"/>
      <tableStyleElement type="firstRowStripe" dxfId="614"/>
      <tableStyleElement type="secondRowStripe" dxfId="613"/>
    </tableStyle>
    <tableStyle name="Cruthi Anoso-style" pivot="0" count="4" xr9:uid="{00000000-0011-0000-FFFF-FFFF33000000}">
      <tableStyleElement type="wholeTable" size="0" dxfId="608"/>
      <tableStyleElement type="headerRow" dxfId="611"/>
      <tableStyleElement type="firstRowStripe" dxfId="610"/>
      <tableStyleElement type="secondRowStripe" dxfId="609"/>
    </tableStyle>
    <tableStyle name="Curata-style" pivot="0" count="4" xr9:uid="{00000000-0011-0000-FFFF-FFFF34000000}">
      <tableStyleElement type="wholeTable" size="0" dxfId="604"/>
      <tableStyleElement type="headerRow" dxfId="607"/>
      <tableStyleElement type="firstRowStripe" dxfId="606"/>
      <tableStyleElement type="secondRowStripe" dxfId="605"/>
    </tableStyle>
    <tableStyle name="Dahe-style" pivot="0" count="4" xr9:uid="{00000000-0011-0000-FFFF-FFFF35000000}">
      <tableStyleElement type="wholeTable" size="0" dxfId="600"/>
      <tableStyleElement type="headerRow" dxfId="603"/>
      <tableStyleElement type="firstRowStripe" dxfId="602"/>
      <tableStyleElement type="secondRowStripe" dxfId="601"/>
    </tableStyle>
    <tableStyle name="Danocia-style" pivot="0" count="4" xr9:uid="{00000000-0011-0000-FFFF-FFFF36000000}">
      <tableStyleElement type="wholeTable" size="0" dxfId="596"/>
      <tableStyleElement type="headerRow" dxfId="599"/>
      <tableStyleElement type="firstRowStripe" dxfId="598"/>
      <tableStyleElement type="secondRowStripe" dxfId="597"/>
    </tableStyle>
    <tableStyle name="Darewa-style" pivot="0" count="4" xr9:uid="{00000000-0011-0000-FFFF-FFFF37000000}">
      <tableStyleElement type="wholeTable" size="0" dxfId="592"/>
      <tableStyleElement type="headerRow" dxfId="595"/>
      <tableStyleElement type="firstRowStripe" dxfId="594"/>
      <tableStyleElement type="secondRowStripe" dxfId="593"/>
    </tableStyle>
    <tableStyle name="Desaki-style" pivot="0" count="4" xr9:uid="{00000000-0011-0000-FFFF-FFFF38000000}">
      <tableStyleElement type="wholeTable" size="0" dxfId="588"/>
      <tableStyleElement type="headerRow" dxfId="591"/>
      <tableStyleElement type="firstRowStripe" dxfId="590"/>
      <tableStyleElement type="secondRowStripe" dxfId="589"/>
    </tableStyle>
    <tableStyle name="Deschon-style" pivot="0" count="4" xr9:uid="{00000000-0011-0000-FFFF-FFFF39000000}">
      <tableStyleElement type="wholeTable" size="0" dxfId="584"/>
      <tableStyleElement type="headerRow" dxfId="587"/>
      <tableStyleElement type="firstRowStripe" dxfId="586"/>
      <tableStyleElement type="secondRowStripe" dxfId="585"/>
    </tableStyle>
    <tableStyle name="Disal Nila-style" pivot="0" count="4" xr9:uid="{00000000-0011-0000-FFFF-FFFF3A000000}">
      <tableStyleElement type="wholeTable" size="0" dxfId="580"/>
      <tableStyleElement type="headerRow" dxfId="583"/>
      <tableStyleElement type="firstRowStripe" dxfId="582"/>
      <tableStyleElement type="secondRowStripe" dxfId="581"/>
    </tableStyle>
    <tableStyle name="Dual Cenryia-style" pivot="0" count="4" xr9:uid="{00000000-0011-0000-FFFF-FFFF3B000000}">
      <tableStyleElement type="wholeTable" size="0" dxfId="576"/>
      <tableStyleElement type="headerRow" dxfId="579"/>
      <tableStyleElement type="firstRowStripe" dxfId="578"/>
      <tableStyleElement type="secondRowStripe" dxfId="577"/>
    </tableStyle>
    <tableStyle name="Ealdorii-style" pivot="0" count="4" xr9:uid="{00000000-0011-0000-FFFF-FFFF3C000000}">
      <tableStyleElement type="wholeTable" size="0" dxfId="572"/>
      <tableStyleElement type="headerRow" dxfId="575"/>
      <tableStyleElement type="firstRowStripe" dxfId="574"/>
      <tableStyleElement type="secondRowStripe" dxfId="573"/>
    </tableStyle>
    <tableStyle name="Easuhura-style" pivot="0" count="4" xr9:uid="{00000000-0011-0000-FFFF-FFFF3D000000}">
      <tableStyleElement type="wholeTable" size="0" dxfId="568"/>
      <tableStyleElement type="headerRow" dxfId="571"/>
      <tableStyleElement type="firstRowStripe" dxfId="570"/>
      <tableStyleElement type="secondRowStripe" dxfId="569"/>
    </tableStyle>
    <tableStyle name="Eldavpir-style" pivot="0" count="4" xr9:uid="{00000000-0011-0000-FFFF-FFFF3E000000}">
      <tableStyleElement type="wholeTable" size="0" dxfId="564"/>
      <tableStyleElement type="headerRow" dxfId="567"/>
      <tableStyleElement type="firstRowStripe" dxfId="566"/>
      <tableStyleElement type="secondRowStripe" dxfId="565"/>
    </tableStyle>
    <tableStyle name="Eldjo-style" pivot="0" count="4" xr9:uid="{00000000-0011-0000-FFFF-FFFF3F000000}">
      <tableStyleElement type="wholeTable" size="0" dxfId="560"/>
      <tableStyleElement type="headerRow" dxfId="563"/>
      <tableStyleElement type="firstRowStripe" dxfId="562"/>
      <tableStyleElement type="secondRowStripe" dxfId="561"/>
    </tableStyle>
    <tableStyle name="Elja and Munusia-style" pivot="0" count="4" xr9:uid="{00000000-0011-0000-FFFF-FFFF40000000}">
      <tableStyleElement type="wholeTable" size="0" dxfId="556"/>
      <tableStyleElement type="headerRow" dxfId="559"/>
      <tableStyleElement type="firstRowStripe" dxfId="558"/>
      <tableStyleElement type="secondRowStripe" dxfId="557"/>
    </tableStyle>
    <tableStyle name="Emara-style" pivot="0" count="4" xr9:uid="{00000000-0011-0000-FFFF-FFFF41000000}">
      <tableStyleElement type="wholeTable" size="0" dxfId="552"/>
      <tableStyleElement type="headerRow" dxfId="555"/>
      <tableStyleElement type="firstRowStripe" dxfId="554"/>
      <tableStyleElement type="secondRowStripe" dxfId="553"/>
    </tableStyle>
    <tableStyle name="Enina-style" pivot="0" count="4" xr9:uid="{00000000-0011-0000-FFFF-FFFF42000000}">
      <tableStyleElement type="wholeTable" size="0" dxfId="548"/>
      <tableStyleElement type="headerRow" dxfId="551"/>
      <tableStyleElement type="firstRowStripe" dxfId="550"/>
      <tableStyleElement type="secondRowStripe" dxfId="549"/>
    </tableStyle>
    <tableStyle name="Eparia-style" pivot="0" count="4" xr9:uid="{00000000-0011-0000-FFFF-FFFF43000000}">
      <tableStyleElement type="wholeTable" size="0" dxfId="544"/>
      <tableStyleElement type="headerRow" dxfId="547"/>
      <tableStyleElement type="firstRowStripe" dxfId="546"/>
      <tableStyleElement type="secondRowStripe" dxfId="545"/>
    </tableStyle>
    <tableStyle name="Erkizil-style" pivot="0" count="4" xr9:uid="{00000000-0011-0000-FFFF-FFFF44000000}">
      <tableStyleElement type="wholeTable" size="0" dxfId="540"/>
      <tableStyleElement type="headerRow" dxfId="543"/>
      <tableStyleElement type="firstRowStripe" dxfId="542"/>
      <tableStyleElement type="secondRowStripe" dxfId="541"/>
    </tableStyle>
    <tableStyle name="Estijan-style" pivot="0" count="4" xr9:uid="{00000000-0011-0000-FFFF-FFFF45000000}">
      <tableStyleElement type="wholeTable" size="0" dxfId="536"/>
      <tableStyleElement type="headerRow" dxfId="539"/>
      <tableStyleElement type="firstRowStripe" dxfId="538"/>
      <tableStyleElement type="secondRowStripe" dxfId="537"/>
    </tableStyle>
    <tableStyle name="Etirha-style" pivot="0" count="4" xr9:uid="{00000000-0011-0000-FFFF-FFFF46000000}">
      <tableStyleElement type="wholeTable" size="0" dxfId="532"/>
      <tableStyleElement type="headerRow" dxfId="535"/>
      <tableStyleElement type="firstRowStripe" dxfId="534"/>
      <tableStyleElement type="secondRowStripe" dxfId="533"/>
    </tableStyle>
    <tableStyle name="Etretes-style" pivot="0" count="4" xr9:uid="{00000000-0011-0000-FFFF-FFFF47000000}">
      <tableStyleElement type="wholeTable" size="0" dxfId="528"/>
      <tableStyleElement type="headerRow" dxfId="531"/>
      <tableStyleElement type="firstRowStripe" dxfId="530"/>
      <tableStyleElement type="secondRowStripe" dxfId="529"/>
    </tableStyle>
    <tableStyle name="Exilium-style" pivot="0" count="4" xr9:uid="{00000000-0011-0000-FFFF-FFFF48000000}">
      <tableStyleElement type="wholeTable" size="0" dxfId="524"/>
      <tableStyleElement type="headerRow" dxfId="527"/>
      <tableStyleElement type="firstRowStripe" dxfId="526"/>
      <tableStyleElement type="secondRowStripe" dxfId="525"/>
    </tableStyle>
    <tableStyle name="Far Lands-style" pivot="0" count="4" xr9:uid="{00000000-0011-0000-FFFF-FFFF49000000}">
      <tableStyleElement type="wholeTable" size="0" dxfId="520"/>
      <tableStyleElement type="headerRow" dxfId="523"/>
      <tableStyleElement type="firstRowStripe" dxfId="522"/>
      <tableStyleElement type="secondRowStripe" dxfId="521"/>
    </tableStyle>
    <tableStyle name="Feio Lie-style" pivot="0" count="4" xr9:uid="{00000000-0011-0000-FFFF-FFFF4A000000}">
      <tableStyleElement type="wholeTable" size="0" dxfId="516"/>
      <tableStyleElement type="headerRow" dxfId="519"/>
      <tableStyleElement type="firstRowStripe" dxfId="518"/>
      <tableStyleElement type="secondRowStripe" dxfId="517"/>
    </tableStyle>
    <tableStyle name="Fermori-style" pivot="0" count="4" xr9:uid="{00000000-0011-0000-FFFF-FFFF4B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Finae-style" pivot="0" count="4" xr9:uid="{00000000-0011-0000-FFFF-FFFF4C000000}">
      <tableStyleElement type="wholeTable" size="0" dxfId="508"/>
      <tableStyleElement type="headerRow" dxfId="511"/>
      <tableStyleElement type="firstRowStripe" dxfId="510"/>
      <tableStyleElement type="secondRowStripe" dxfId="509"/>
    </tableStyle>
    <tableStyle name="Fincen-style" pivot="0" count="4" xr9:uid="{00000000-0011-0000-FFFF-FFFF4D000000}">
      <tableStyleElement type="wholeTable" size="0" dxfId="504"/>
      <tableStyleElement type="headerRow" dxfId="507"/>
      <tableStyleElement type="firstRowStripe" dxfId="506"/>
      <tableStyleElement type="secondRowStripe" dxfId="505"/>
    </tableStyle>
    <tableStyle name="Fire Coast-style" pivot="0" count="4" xr9:uid="{00000000-0011-0000-FFFF-FFFF4E000000}">
      <tableStyleElement type="wholeTable" size="0" dxfId="500"/>
      <tableStyleElement type="headerRow" dxfId="503"/>
      <tableStyleElement type="firstRowStripe" dxfId="502"/>
      <tableStyleElement type="secondRowStripe" dxfId="501"/>
    </tableStyle>
    <tableStyle name="Gaeiya-style" pivot="0" count="4" xr9:uid="{00000000-0011-0000-FFFF-FFFF4F000000}">
      <tableStyleElement type="wholeTable" size="0" dxfId="496"/>
      <tableStyleElement type="headerRow" dxfId="499"/>
      <tableStyleElement type="firstRowStripe" dxfId="498"/>
      <tableStyleElement type="secondRowStripe" dxfId="497"/>
    </tableStyle>
    <tableStyle name="Galca-style" pivot="0" count="4" xr9:uid="{00000000-0011-0000-FFFF-FFFF50000000}">
      <tableStyleElement type="wholeTable" size="0" dxfId="492"/>
      <tableStyleElement type="headerRow" dxfId="495"/>
      <tableStyleElement type="firstRowStripe" dxfId="494"/>
      <tableStyleElement type="secondRowStripe" dxfId="493"/>
    </tableStyle>
    <tableStyle name="Genaire-style" pivot="0" count="4" xr9:uid="{00000000-0011-0000-FFFF-FFFF51000000}">
      <tableStyleElement type="wholeTable" size="0" dxfId="488"/>
      <tableStyleElement type="headerRow" dxfId="491"/>
      <tableStyleElement type="firstRowStripe" dxfId="490"/>
      <tableStyleElement type="secondRowStripe" dxfId="489"/>
    </tableStyle>
    <tableStyle name="Grazail-style" pivot="0" count="4" xr9:uid="{00000000-0011-0000-FFFF-FFFF52000000}">
      <tableStyleElement type="wholeTable" size="0" dxfId="484"/>
      <tableStyleElement type="headerRow" dxfId="487"/>
      <tableStyleElement type="firstRowStripe" dxfId="486"/>
      <tableStyleElement type="secondRowStripe" dxfId="485"/>
    </tableStyle>
    <tableStyle name="Guise-style" pivot="0" count="4" xr9:uid="{00000000-0011-0000-FFFF-FFFF53000000}">
      <tableStyleElement type="wholeTable" size="0" dxfId="480"/>
      <tableStyleElement type="headerRow" dxfId="483"/>
      <tableStyleElement type="firstRowStripe" dxfId="482"/>
      <tableStyleElement type="secondRowStripe" dxfId="481"/>
    </tableStyle>
    <tableStyle name="Haiza-style" pivot="0" count="4" xr9:uid="{00000000-0011-0000-FFFF-FFFF54000000}">
      <tableStyleElement type="wholeTable" size="0" dxfId="476"/>
      <tableStyleElement type="headerRow" dxfId="479"/>
      <tableStyleElement type="firstRowStripe" dxfId="478"/>
      <tableStyleElement type="secondRowStripe" dxfId="477"/>
    </tableStyle>
    <tableStyle name="Heiso-style" pivot="0" count="4" xr9:uid="{00000000-0011-0000-FFFF-FFFF55000000}">
      <tableStyleElement type="wholeTable" size="0" dxfId="472"/>
      <tableStyleElement type="headerRow" dxfId="475"/>
      <tableStyleElement type="firstRowStripe" dxfId="474"/>
      <tableStyleElement type="secondRowStripe" dxfId="473"/>
    </tableStyle>
    <tableStyle name="Hiwush-style" pivot="0" count="4" xr9:uid="{00000000-0011-0000-FFFF-FFFF56000000}">
      <tableStyleElement type="wholeTable" size="0" dxfId="468"/>
      <tableStyleElement type="headerRow" dxfId="471"/>
      <tableStyleElement type="firstRowStripe" dxfId="470"/>
      <tableStyleElement type="secondRowStripe" dxfId="469"/>
    </tableStyle>
    <tableStyle name="Hkuqo-style" pivot="0" count="4" xr9:uid="{00000000-0011-0000-FFFF-FFFF57000000}">
      <tableStyleElement type="wholeTable" size="0" dxfId="464"/>
      <tableStyleElement type="headerRow" dxfId="467"/>
      <tableStyleElement type="firstRowStripe" dxfId="466"/>
      <tableStyleElement type="secondRowStripe" dxfId="465"/>
    </tableStyle>
    <tableStyle name="Hyelen-style" pivot="0" count="4" xr9:uid="{00000000-0011-0000-FFFF-FFFF58000000}">
      <tableStyleElement type="wholeTable" size="0" dxfId="460"/>
      <tableStyleElement type="headerRow" dxfId="463"/>
      <tableStyleElement type="firstRowStripe" dxfId="462"/>
      <tableStyleElement type="secondRowStripe" dxfId="461"/>
    </tableStyle>
    <tableStyle name="Iainoa-style" pivot="0" count="4" xr9:uid="{00000000-0011-0000-FFFF-FFFF59000000}">
      <tableStyleElement type="wholeTable" size="0" dxfId="456"/>
      <tableStyleElement type="headerRow" dxfId="459"/>
      <tableStyleElement type="firstRowStripe" dxfId="458"/>
      <tableStyleElement type="secondRowStripe" dxfId="457"/>
    </tableStyle>
    <tableStyle name="Iareva-style" pivot="0" count="4" xr9:uid="{00000000-0011-0000-FFFF-FFFF5A000000}">
      <tableStyleElement type="wholeTable" size="0" dxfId="452"/>
      <tableStyleElement type="headerRow" dxfId="455"/>
      <tableStyleElement type="firstRowStripe" dxfId="454"/>
      <tableStyleElement type="secondRowStripe" dxfId="453"/>
    </tableStyle>
    <tableStyle name="Ihner-style" pivot="0" count="4" xr9:uid="{00000000-0011-0000-FFFF-FFFF5B000000}">
      <tableStyleElement type="wholeTable" size="0" dxfId="448"/>
      <tableStyleElement type="headerRow" dxfId="451"/>
      <tableStyleElement type="firstRowStripe" dxfId="450"/>
      <tableStyleElement type="secondRowStripe" dxfId="449"/>
    </tableStyle>
    <tableStyle name="Ikzen-style" pivot="0" count="4" xr9:uid="{00000000-0011-0000-FFFF-FFFF5C000000}">
      <tableStyleElement type="wholeTable" size="0" dxfId="444"/>
      <tableStyleElement type="headerRow" dxfId="447"/>
      <tableStyleElement type="firstRowStripe" dxfId="446"/>
      <tableStyleElement type="secondRowStripe" dxfId="445"/>
    </tableStyle>
    <tableStyle name="Ilicuhe-style" pivot="0" count="4" xr9:uid="{00000000-0011-0000-FFFF-FFFF5D000000}">
      <tableStyleElement type="wholeTable" size="0" dxfId="440"/>
      <tableStyleElement type="headerRow" dxfId="443"/>
      <tableStyleElement type="firstRowStripe" dxfId="442"/>
      <tableStyleElement type="secondRowStripe" dxfId="441"/>
    </tableStyle>
    <tableStyle name="Inania-style" pivot="0" count="4" xr9:uid="{00000000-0011-0000-FFFF-FFFF5E000000}">
      <tableStyleElement type="wholeTable" size="0" dxfId="436"/>
      <tableStyleElement type="headerRow" dxfId="439"/>
      <tableStyleElement type="firstRowStripe" dxfId="438"/>
      <tableStyleElement type="secondRowStripe" dxfId="437"/>
    </tableStyle>
    <tableStyle name="Inrea-style" pivot="0" count="4" xr9:uid="{00000000-0011-0000-FFFF-FFFF5F000000}">
      <tableStyleElement type="wholeTable" size="0" dxfId="432"/>
      <tableStyleElement type="headerRow" dxfId="435"/>
      <tableStyleElement type="firstRowStripe" dxfId="434"/>
      <tableStyleElement type="secondRowStripe" dxfId="433"/>
    </tableStyle>
    <tableStyle name="Iquir-style" pivot="0" count="4" xr9:uid="{00000000-0011-0000-FFFF-FFFF60000000}">
      <tableStyleElement type="wholeTable" size="0" dxfId="428"/>
      <tableStyleElement type="headerRow" dxfId="431"/>
      <tableStyleElement type="firstRowStripe" dxfId="430"/>
      <tableStyleElement type="secondRowStripe" dxfId="429"/>
    </tableStyle>
    <tableStyle name="Isari-style" pivot="0" count="4" xr9:uid="{00000000-0011-0000-FFFF-FFFF61000000}">
      <tableStyleElement type="wholeTable" size="0" dxfId="424"/>
      <tableStyleElement type="headerRow" dxfId="427"/>
      <tableStyleElement type="firstRowStripe" dxfId="426"/>
      <tableStyleElement type="secondRowStripe" dxfId="425"/>
    </tableStyle>
    <tableStyle name="Isnti-style" pivot="0" count="4" xr9:uid="{00000000-0011-0000-FFFF-FFFF62000000}">
      <tableStyleElement type="wholeTable" size="0" dxfId="420"/>
      <tableStyleElement type="headerRow" dxfId="423"/>
      <tableStyleElement type="firstRowStripe" dxfId="422"/>
      <tableStyleElement type="secondRowStripe" dxfId="421"/>
    </tableStyle>
    <tableStyle name="Isuibul-style" pivot="0" count="4" xr9:uid="{00000000-0011-0000-FFFF-FFFF63000000}">
      <tableStyleElement type="wholeTable" size="0" dxfId="416"/>
      <tableStyleElement type="headerRow" dxfId="419"/>
      <tableStyleElement type="firstRowStripe" dxfId="418"/>
      <tableStyleElement type="secondRowStripe" dxfId="417"/>
    </tableStyle>
    <tableStyle name="Jathua-style" pivot="0" count="4" xr9:uid="{00000000-0011-0000-FFFF-FFFF64000000}">
      <tableStyleElement type="wholeTable" size="0" dxfId="412"/>
      <tableStyleElement type="headerRow" dxfId="415"/>
      <tableStyleElement type="firstRowStripe" dxfId="414"/>
      <tableStyleElement type="secondRowStripe" dxfId="413"/>
    </tableStyle>
    <tableStyle name="Jau-style" pivot="0" count="4" xr9:uid="{00000000-0011-0000-FFFF-FFFF65000000}">
      <tableStyleElement type="wholeTable" size="0" dxfId="408"/>
      <tableStyleElement type="headerRow" dxfId="411"/>
      <tableStyleElement type="firstRowStripe" dxfId="410"/>
      <tableStyleElement type="secondRowStripe" dxfId="409"/>
    </tableStyle>
    <tableStyle name="Jshain-style" pivot="0" count="4" xr9:uid="{00000000-0011-0000-FFFF-FFFF66000000}">
      <tableStyleElement type="wholeTable" size="0" dxfId="404"/>
      <tableStyleElement type="headerRow" dxfId="407"/>
      <tableStyleElement type="firstRowStripe" dxfId="406"/>
      <tableStyleElement type="secondRowStripe" dxfId="405"/>
    </tableStyle>
    <tableStyle name="Kaastini-style" pivot="0" count="4" xr9:uid="{00000000-0011-0000-FFFF-FFFF67000000}">
      <tableStyleElement type="wholeTable" size="0" dxfId="400"/>
      <tableStyleElement type="headerRow" dxfId="403"/>
      <tableStyleElement type="firstRowStripe" dxfId="402"/>
      <tableStyleElement type="secondRowStripe" dxfId="401"/>
    </tableStyle>
    <tableStyle name="Koruch-style" pivot="0" count="4" xr9:uid="{00000000-0011-0000-FFFF-FFFF68000000}">
      <tableStyleElement type="wholeTable" size="0" dxfId="396"/>
      <tableStyleElement type="headerRow" dxfId="399"/>
      <tableStyleElement type="firstRowStripe" dxfId="398"/>
      <tableStyleElement type="secondRowStripe" dxfId="397"/>
    </tableStyle>
    <tableStyle name="Kusierna-style" pivot="0" count="4" xr9:uid="{00000000-0011-0000-FFFF-FFFF69000000}">
      <tableStyleElement type="wholeTable" size="0" dxfId="392"/>
      <tableStyleElement type="headerRow" dxfId="395"/>
      <tableStyleElement type="firstRowStripe" dxfId="394"/>
      <tableStyleElement type="secondRowStripe" dxfId="393"/>
    </tableStyle>
    <tableStyle name="Laselteh-style" pivot="0" count="4" xr9:uid="{00000000-0011-0000-FFFF-FFFF6A000000}">
      <tableStyleElement type="wholeTable" size="0" dxfId="388"/>
      <tableStyleElement type="headerRow" dxfId="391"/>
      <tableStyleElement type="firstRowStripe" dxfId="390"/>
      <tableStyleElement type="secondRowStripe" dxfId="389"/>
    </tableStyle>
    <tableStyle name="Lasri-style" pivot="0" count="4" xr9:uid="{00000000-0011-0000-FFFF-FFFF6B000000}">
      <tableStyleElement type="wholeTable" size="0" dxfId="384"/>
      <tableStyleElement type="headerRow" dxfId="387"/>
      <tableStyleElement type="firstRowStripe" dxfId="386"/>
      <tableStyleElement type="secondRowStripe" dxfId="385"/>
    </tableStyle>
    <tableStyle name="Letan-style" pivot="0" count="4" xr9:uid="{00000000-0011-0000-FFFF-FFFF6C000000}">
      <tableStyleElement type="wholeTable" size="0" dxfId="380"/>
      <tableStyleElement type="headerRow" dxfId="383"/>
      <tableStyleElement type="firstRowStripe" dxfId="382"/>
      <tableStyleElement type="secondRowStripe" dxfId="381"/>
    </tableStyle>
    <tableStyle name="Lieri-style" pivot="0" count="4" xr9:uid="{00000000-0011-0000-FFFF-FFFF6D000000}">
      <tableStyleElement type="wholeTable" size="0" dxfId="376"/>
      <tableStyleElement type="headerRow" dxfId="379"/>
      <tableStyleElement type="firstRowStripe" dxfId="378"/>
      <tableStyleElement type="secondRowStripe" dxfId="377"/>
    </tableStyle>
    <tableStyle name="Lycroa-style" pivot="0" count="4" xr9:uid="{00000000-0011-0000-FFFF-FFFF6E000000}">
      <tableStyleElement type="wholeTable" size="0" dxfId="372"/>
      <tableStyleElement type="headerRow" dxfId="375"/>
      <tableStyleElement type="firstRowStripe" dxfId="374"/>
      <tableStyleElement type="secondRowStripe" dxfId="373"/>
    </tableStyle>
    <tableStyle name="Lydroa-style" pivot="0" count="4" xr9:uid="{00000000-0011-0000-FFFF-FFFF6F000000}">
      <tableStyleElement type="wholeTable" size="0" dxfId="368"/>
      <tableStyleElement type="headerRow" dxfId="371"/>
      <tableStyleElement type="firstRowStripe" dxfId="370"/>
      <tableStyleElement type="secondRowStripe" dxfId="369"/>
    </tableStyle>
    <tableStyle name="Maalle-style" pivot="0" count="4" xr9:uid="{00000000-0011-0000-FFFF-FFFF70000000}">
      <tableStyleElement type="wholeTable" size="0" dxfId="364"/>
      <tableStyleElement type="headerRow" dxfId="367"/>
      <tableStyleElement type="firstRowStripe" dxfId="366"/>
      <tableStyleElement type="secondRowStripe" dxfId="365"/>
    </tableStyle>
    <tableStyle name="Mendereide-style" pivot="0" count="4" xr9:uid="{00000000-0011-0000-FFFF-FFFF71000000}">
      <tableStyleElement type="wholeTable" size="0" dxfId="360"/>
      <tableStyleElement type="headerRow" dxfId="363"/>
      <tableStyleElement type="firstRowStripe" dxfId="362"/>
      <tableStyleElement type="secondRowStripe" dxfId="361"/>
    </tableStyle>
    <tableStyle name="Merela Sta-style" pivot="0" count="4" xr9:uid="{00000000-0011-0000-FFFF-FFFF72000000}">
      <tableStyleElement type="wholeTable" size="0" dxfId="356"/>
      <tableStyleElement type="headerRow" dxfId="359"/>
      <tableStyleElement type="firstRowStripe" dxfId="358"/>
      <tableStyleElement type="secondRowStripe" dxfId="357"/>
    </tableStyle>
    <tableStyle name="Mesjan Hyaa-style" pivot="0" count="4" xr9:uid="{00000000-0011-0000-FFFF-FFFF73000000}">
      <tableStyleElement type="wholeTable" size="0" dxfId="352"/>
      <tableStyleElement type="headerRow" dxfId="355"/>
      <tableStyleElement type="firstRowStripe" dxfId="354"/>
      <tableStyleElement type="secondRowStripe" dxfId="353"/>
    </tableStyle>
    <tableStyle name="Metndria-style" pivot="0" count="4" xr9:uid="{00000000-0011-0000-FFFF-FFFF74000000}">
      <tableStyleElement type="wholeTable" size="0" dxfId="348"/>
      <tableStyleElement type="headerRow" dxfId="351"/>
      <tableStyleElement type="firstRowStripe" dxfId="350"/>
      <tableStyleElement type="secondRowStripe" dxfId="349"/>
    </tableStyle>
    <tableStyle name="Migoku-style" pivot="0" count="4" xr9:uid="{00000000-0011-0000-FFFF-FFFF75000000}">
      <tableStyleElement type="wholeTable" size="0" dxfId="344"/>
      <tableStyleElement type="headerRow" dxfId="347"/>
      <tableStyleElement type="firstRowStripe" dxfId="346"/>
      <tableStyleElement type="secondRowStripe" dxfId="345"/>
    </tableStyle>
    <tableStyle name="Myla-style" pivot="0" count="4" xr9:uid="{00000000-0011-0000-FFFF-FFFF76000000}">
      <tableStyleElement type="wholeTable" size="0" dxfId="340"/>
      <tableStyleElement type="headerRow" dxfId="343"/>
      <tableStyleElement type="firstRowStripe" dxfId="342"/>
      <tableStyleElement type="secondRowStripe" dxfId="341"/>
    </tableStyle>
    <tableStyle name="New Kizura-style" pivot="0" count="4" xr9:uid="{00000000-0011-0000-FFFF-FFFF77000000}">
      <tableStyleElement type="wholeTable" size="0" dxfId="336"/>
      <tableStyleElement type="headerRow" dxfId="339"/>
      <tableStyleElement type="firstRowStripe" dxfId="338"/>
      <tableStyleElement type="secondRowStripe" dxfId="337"/>
    </tableStyle>
    <tableStyle name="New Misos-style" pivot="0" count="4" xr9:uid="{00000000-0011-0000-FFFF-FFFF78000000}">
      <tableStyleElement type="wholeTable" size="0" dxfId="332"/>
      <tableStyleElement type="headerRow" dxfId="335"/>
      <tableStyleElement type="firstRowStripe" dxfId="334"/>
      <tableStyleElement type="secondRowStripe" dxfId="333"/>
    </tableStyle>
    <tableStyle name="Nheyes Si-style" pivot="0" count="4" xr9:uid="{00000000-0011-0000-FFFF-FFFF79000000}">
      <tableStyleElement type="wholeTable" size="0" dxfId="328"/>
      <tableStyleElement type="headerRow" dxfId="331"/>
      <tableStyleElement type="firstRowStripe" dxfId="330"/>
      <tableStyleElement type="secondRowStripe" dxfId="329"/>
    </tableStyle>
    <tableStyle name="Nia-style" pivot="0" count="4" xr9:uid="{00000000-0011-0000-FFFF-FFFF7A000000}">
      <tableStyleElement type="wholeTable" size="0" dxfId="324"/>
      <tableStyleElement type="headerRow" dxfId="327"/>
      <tableStyleElement type="firstRowStripe" dxfId="326"/>
      <tableStyleElement type="secondRowStripe" dxfId="325"/>
    </tableStyle>
    <tableStyle name="Niretui and Anulan-style" pivot="0" count="4" xr9:uid="{00000000-0011-0000-FFFF-FFFF7B000000}">
      <tableStyleElement type="wholeTable" size="0" dxfId="320"/>
      <tableStyleElement type="headerRow" dxfId="323"/>
      <tableStyleElement type="firstRowStripe" dxfId="322"/>
      <tableStyleElement type="secondRowStripe" dxfId="321"/>
    </tableStyle>
    <tableStyle name="Niul Spijan-style" pivot="0" count="4" xr9:uid="{00000000-0011-0000-FFFF-FFFF7C000000}">
      <tableStyleElement type="wholeTable" size="0" dxfId="316"/>
      <tableStyleElement type="headerRow" dxfId="319"/>
      <tableStyleElement type="firstRowStripe" dxfId="318"/>
      <tableStyleElement type="secondRowStripe" dxfId="317"/>
    </tableStyle>
    <tableStyle name="North Ayre-style" pivot="0" count="4" xr9:uid="{00000000-0011-0000-FFFF-FFFF7D000000}">
      <tableStyleElement type="wholeTable" size="0" dxfId="312"/>
      <tableStyleElement type="headerRow" dxfId="315"/>
      <tableStyleElement type="firstRowStripe" dxfId="314"/>
      <tableStyleElement type="secondRowStripe" dxfId="313"/>
    </tableStyle>
    <tableStyle name="Ocaun-style" pivot="0" count="4" xr9:uid="{00000000-0011-0000-FFFF-FFFF7E000000}">
      <tableStyleElement type="wholeTable" size="0" dxfId="308"/>
      <tableStyleElement type="headerRow" dxfId="311"/>
      <tableStyleElement type="firstRowStripe" dxfId="310"/>
      <tableStyleElement type="secondRowStripe" dxfId="309"/>
    </tableStyle>
    <tableStyle name="Ohtina-style" pivot="0" count="4" xr9:uid="{00000000-0011-0000-FFFF-FFFF7F000000}">
      <tableStyleElement type="wholeTable" size="0" dxfId="304"/>
      <tableStyleElement type="headerRow" dxfId="307"/>
      <tableStyleElement type="firstRowStripe" dxfId="306"/>
      <tableStyleElement type="secondRowStripe" dxfId="305"/>
    </tableStyle>
    <tableStyle name="Onphello-style" pivot="0" count="4" xr9:uid="{00000000-0011-0000-FFFF-FFFF80000000}">
      <tableStyleElement type="wholeTable" size="0" dxfId="300"/>
      <tableStyleElement type="headerRow" dxfId="303"/>
      <tableStyleElement type="firstRowStripe" dxfId="302"/>
      <tableStyleElement type="secondRowStripe" dxfId="301"/>
    </tableStyle>
    <tableStyle name="Oscairia-style" pivot="0" count="4" xr9:uid="{00000000-0011-0000-FFFF-FFFF81000000}">
      <tableStyleElement type="wholeTable" size="0" dxfId="296"/>
      <tableStyleElement type="headerRow" dxfId="299"/>
      <tableStyleElement type="firstRowStripe" dxfId="298"/>
      <tableStyleElement type="secondRowStripe" dxfId="297"/>
    </tableStyle>
    <tableStyle name="Othya-style" pivot="0" count="4" xr9:uid="{00000000-0011-0000-FFFF-FFFF82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Otiiric-style" pivot="0" count="4" xr9:uid="{00000000-0011-0000-FFFF-FFFF83000000}">
      <tableStyleElement type="wholeTable" size="0" dxfId="288"/>
      <tableStyleElement type="headerRow" dxfId="291"/>
      <tableStyleElement type="firstRowStripe" dxfId="290"/>
      <tableStyleElement type="secondRowStripe" dxfId="289"/>
    </tableStyle>
    <tableStyle name="Oyreain-style" pivot="0" count="4" xr9:uid="{00000000-0011-0000-FFFF-FFFF84000000}">
      <tableStyleElement type="wholeTable" size="0" dxfId="284"/>
      <tableStyleElement type="headerRow" dxfId="287"/>
      <tableStyleElement type="firstRowStripe" dxfId="286"/>
      <tableStyleElement type="secondRowStripe" dxfId="285"/>
    </tableStyle>
    <tableStyle name="Ozinia-style" pivot="0" count="4" xr9:uid="{00000000-0011-0000-FFFF-FFFF85000000}">
      <tableStyleElement type="wholeTable" size="0" dxfId="280"/>
      <tableStyleElement type="headerRow" dxfId="283"/>
      <tableStyleElement type="firstRowStripe" dxfId="282"/>
      <tableStyleElement type="secondRowStripe" dxfId="281"/>
    </tableStyle>
    <tableStyle name="Palina-style" pivot="0" count="4" xr9:uid="{00000000-0011-0000-FFFF-FFFF86000000}">
      <tableStyleElement type="wholeTable" size="0" dxfId="276"/>
      <tableStyleElement type="headerRow" dxfId="279"/>
      <tableStyleElement type="firstRowStripe" dxfId="278"/>
      <tableStyleElement type="secondRowStripe" dxfId="277"/>
    </tableStyle>
    <tableStyle name="Peka-style" pivot="0" count="4" xr9:uid="{00000000-0011-0000-FFFF-FFFF87000000}">
      <tableStyleElement type="wholeTable" size="0" dxfId="272"/>
      <tableStyleElement type="headerRow" dxfId="275"/>
      <tableStyleElement type="firstRowStripe" dxfId="274"/>
      <tableStyleElement type="secondRowStripe" dxfId="273"/>
    </tableStyle>
    <tableStyle name="Pelan-style" pivot="0" count="4" xr9:uid="{00000000-0011-0000-FFFF-FFFF88000000}">
      <tableStyleElement type="wholeTable" size="0" dxfId="268"/>
      <tableStyleElement type="headerRow" dxfId="271"/>
      <tableStyleElement type="firstRowStripe" dxfId="270"/>
      <tableStyleElement type="secondRowStripe" dxfId="269"/>
    </tableStyle>
    <tableStyle name="Pelines-style" pivot="0" count="4" xr9:uid="{00000000-0011-0000-FFFF-FFFF89000000}">
      <tableStyleElement type="wholeTable" size="0" dxfId="264"/>
      <tableStyleElement type="headerRow" dxfId="267"/>
      <tableStyleElement type="firstRowStripe" dxfId="266"/>
      <tableStyleElement type="secondRowStripe" dxfId="265"/>
    </tableStyle>
    <tableStyle name="Pelugrotoa-style" pivot="0" count="4" xr9:uid="{00000000-0011-0000-FFFF-FFFF8A000000}">
      <tableStyleElement type="wholeTable" size="0" dxfId="260"/>
      <tableStyleElement type="headerRow" dxfId="263"/>
      <tableStyleElement type="firstRowStripe" dxfId="262"/>
      <tableStyleElement type="secondRowStripe" dxfId="261"/>
    </tableStyle>
    <tableStyle name="Pha Hii-style" pivot="0" count="4" xr9:uid="{00000000-0011-0000-FFFF-FFFF8B000000}">
      <tableStyleElement type="wholeTable" size="0" dxfId="256"/>
      <tableStyleElement type="headerRow" dxfId="259"/>
      <tableStyleElement type="firstRowStripe" dxfId="258"/>
      <tableStyleElement type="secondRowStripe" dxfId="257"/>
    </tableStyle>
    <tableStyle name="Phuris-style" pivot="0" count="4" xr9:uid="{00000000-0011-0000-FFFF-FFFF8C000000}">
      <tableStyleElement type="wholeTable" size="0" dxfId="252"/>
      <tableStyleElement type="headerRow" dxfId="255"/>
      <tableStyleElement type="firstRowStripe" dxfId="254"/>
      <tableStyleElement type="secondRowStripe" dxfId="253"/>
    </tableStyle>
    <tableStyle name="Praesyu-style" pivot="0" count="4" xr9:uid="{00000000-0011-0000-FFFF-FFFF8D000000}">
      <tableStyleElement type="wholeTable" size="0" dxfId="248"/>
      <tableStyleElement type="headerRow" dxfId="251"/>
      <tableStyleElement type="firstRowStripe" dxfId="250"/>
      <tableStyleElement type="secondRowStripe" dxfId="249"/>
    </tableStyle>
    <tableStyle name="Prstreula-style" pivot="0" count="4" xr9:uid="{00000000-0011-0000-FFFF-FFFF8E000000}">
      <tableStyleElement type="wholeTable" size="0" dxfId="244"/>
      <tableStyleElement type="headerRow" dxfId="247"/>
      <tableStyleElement type="firstRowStripe" dxfId="246"/>
      <tableStyleElement type="secondRowStripe" dxfId="245"/>
    </tableStyle>
    <tableStyle name="Pruim Fijan-style" pivot="0" count="4" xr9:uid="{00000000-0011-0000-FFFF-FFFF8F000000}">
      <tableStyleElement type="wholeTable" size="0" dxfId="240"/>
      <tableStyleElement type="headerRow" dxfId="243"/>
      <tableStyleElement type="firstRowStripe" dxfId="242"/>
      <tableStyleElement type="secondRowStripe" dxfId="241"/>
    </tableStyle>
    <tableStyle name="Prystr Hii-style" pivot="0" count="4" xr9:uid="{00000000-0011-0000-FFFF-FFFF90000000}">
      <tableStyleElement type="wholeTable" size="0" dxfId="236"/>
      <tableStyleElement type="headerRow" dxfId="239"/>
      <tableStyleElement type="firstRowStripe" dxfId="238"/>
      <tableStyleElement type="secondRowStripe" dxfId="237"/>
    </tableStyle>
    <tableStyle name="Quidic-style" pivot="0" count="4" xr9:uid="{00000000-0011-0000-FFFF-FFFF91000000}">
      <tableStyleElement type="wholeTable" size="0" dxfId="232"/>
      <tableStyleElement type="headerRow" dxfId="235"/>
      <tableStyleElement type="firstRowStripe" dxfId="234"/>
      <tableStyleElement type="secondRowStripe" dxfId="233"/>
    </tableStyle>
    <tableStyle name="Raledria-style" pivot="0" count="4" xr9:uid="{00000000-0011-0000-FFFF-FFFF92000000}">
      <tableStyleElement type="wholeTable" size="0" dxfId="228"/>
      <tableStyleElement type="headerRow" dxfId="231"/>
      <tableStyleElement type="firstRowStripe" dxfId="230"/>
      <tableStyleElement type="secondRowStripe" dxfId="229"/>
    </tableStyle>
    <tableStyle name="Reerica-style" pivot="0" count="4" xr9:uid="{00000000-0011-0000-FFFF-FFFF93000000}">
      <tableStyleElement type="wholeTable" size="0" dxfId="224"/>
      <tableStyleElement type="headerRow" dxfId="227"/>
      <tableStyleElement type="firstRowStripe" dxfId="226"/>
      <tableStyleElement type="secondRowStripe" dxfId="225"/>
    </tableStyle>
    <tableStyle name="Rethern-style" pivot="0" count="4" xr9:uid="{00000000-0011-0000-FFFF-FFFF94000000}">
      <tableStyleElement type="wholeTable" size="0" dxfId="220"/>
      <tableStyleElement type="headerRow" dxfId="223"/>
      <tableStyleElement type="firstRowStripe" dxfId="222"/>
      <tableStyleElement type="secondRowStripe" dxfId="221"/>
    </tableStyle>
    <tableStyle name="Rijan bu-style" pivot="0" count="4" xr9:uid="{00000000-0011-0000-FFFF-FFFF95000000}">
      <tableStyleElement type="wholeTable" size="0" dxfId="216"/>
      <tableStyleElement type="headerRow" dxfId="219"/>
      <tableStyleElement type="firstRowStripe" dxfId="218"/>
      <tableStyleElement type="secondRowStripe" dxfId="217"/>
    </tableStyle>
    <tableStyle name="Rinew-style" pivot="0" count="4" xr9:uid="{00000000-0011-0000-FFFF-FFFF96000000}">
      <tableStyleElement type="wholeTable" size="0" dxfId="212"/>
      <tableStyleElement type="headerRow" dxfId="215"/>
      <tableStyleElement type="firstRowStripe" dxfId="214"/>
      <tableStyleElement type="secondRowStripe" dxfId="213"/>
    </tableStyle>
    <tableStyle name="Rkmepuia-style" pivot="0" count="4" xr9:uid="{00000000-0011-0000-FFFF-FFFF97000000}">
      <tableStyleElement type="wholeTable" size="0" dxfId="208"/>
      <tableStyleElement type="headerRow" dxfId="211"/>
      <tableStyleElement type="firstRowStripe" dxfId="210"/>
      <tableStyleElement type="secondRowStripe" dxfId="209"/>
    </tableStyle>
    <tableStyle name="Rtesania-style" pivot="0" count="4" xr9:uid="{00000000-0011-0000-FFFF-FFFF98000000}">
      <tableStyleElement type="wholeTable" size="0" dxfId="204"/>
      <tableStyleElement type="headerRow" dxfId="207"/>
      <tableStyleElement type="firstRowStripe" dxfId="206"/>
      <tableStyleElement type="secondRowStripe" dxfId="205"/>
    </tableStyle>
    <tableStyle name="Ruylku-style" pivot="0" count="4" xr9:uid="{00000000-0011-0000-FFFF-FFFF99000000}">
      <tableStyleElement type="wholeTable" size="0" dxfId="200"/>
      <tableStyleElement type="headerRow" dxfId="203"/>
      <tableStyleElement type="firstRowStripe" dxfId="202"/>
      <tableStyleElement type="secondRowStripe" dxfId="201"/>
    </tableStyle>
    <tableStyle name="Saa-style" pivot="0" count="4" xr9:uid="{00000000-0011-0000-FFFF-FFFF9A000000}">
      <tableStyleElement type="wholeTable" size="0" dxfId="196"/>
      <tableStyleElement type="headerRow" dxfId="199"/>
      <tableStyleElement type="firstRowStripe" dxfId="198"/>
      <tableStyleElement type="secondRowStripe" dxfId="197"/>
    </tableStyle>
    <tableStyle name="Sadain-style" pivot="0" count="4" xr9:uid="{00000000-0011-0000-FFFF-FFFF9B000000}">
      <tableStyleElement type="wholeTable" size="0" dxfId="192"/>
      <tableStyleElement type="headerRow" dxfId="195"/>
      <tableStyleElement type="firstRowStripe" dxfId="194"/>
      <tableStyleElement type="secondRowStripe" dxfId="193"/>
    </tableStyle>
    <tableStyle name="Sanagara-style" pivot="0" count="4" xr9:uid="{00000000-0011-0000-FFFF-FFFF9C000000}">
      <tableStyleElement type="wholeTable" size="0" dxfId="188"/>
      <tableStyleElement type="headerRow" dxfId="191"/>
      <tableStyleElement type="firstRowStripe" dxfId="190"/>
      <tableStyleElement type="secondRowStripe" dxfId="189"/>
    </tableStyle>
    <tableStyle name="Sattle-style" pivot="0" count="4" xr9:uid="{00000000-0011-0000-FFFF-FFFF9D000000}">
      <tableStyleElement type="wholeTable" size="0" dxfId="184"/>
      <tableStyleElement type="headerRow" dxfId="187"/>
      <tableStyleElement type="firstRowStripe" dxfId="186"/>
      <tableStyleElement type="secondRowStripe" dxfId="185"/>
    </tableStyle>
    <tableStyle name="Selaja-style" pivot="0" count="4" xr9:uid="{00000000-0011-0000-FFFF-FFFF9E000000}">
      <tableStyleElement type="wholeTable" size="0" dxfId="180"/>
      <tableStyleElement type="headerRow" dxfId="183"/>
      <tableStyleElement type="firstRowStripe" dxfId="182"/>
      <tableStyleElement type="secondRowStripe" dxfId="181"/>
    </tableStyle>
    <tableStyle name="Seytinemas-style" pivot="0" count="4" xr9:uid="{00000000-0011-0000-FFFF-FFFF9F000000}">
      <tableStyleElement type="wholeTable" size="0" dxfId="176"/>
      <tableStyleElement type="headerRow" dxfId="179"/>
      <tableStyleElement type="firstRowStripe" dxfId="178"/>
      <tableStyleElement type="secondRowStripe" dxfId="177"/>
    </tableStyle>
    <tableStyle name="Shinam-style" pivot="0" count="4" xr9:uid="{00000000-0011-0000-FFFF-FFFFA0000000}">
      <tableStyleElement type="wholeTable" size="0" dxfId="172"/>
      <tableStyleElement type="headerRow" dxfId="175"/>
      <tableStyleElement type="firstRowStripe" dxfId="174"/>
      <tableStyleElement type="secondRowStripe" dxfId="173"/>
    </tableStyle>
    <tableStyle name="Shomjind-style" pivot="0" count="4" xr9:uid="{00000000-0011-0000-FFFF-FFFFA1000000}">
      <tableStyleElement type="wholeTable" size="0" dxfId="168"/>
      <tableStyleElement type="headerRow" dxfId="171"/>
      <tableStyleElement type="firstRowStripe" dxfId="170"/>
      <tableStyleElement type="secondRowStripe" dxfId="169"/>
    </tableStyle>
    <tableStyle name="Siana-style" pivot="0" count="4" xr9:uid="{00000000-0011-0000-FFFF-FFFFA2000000}">
      <tableStyleElement type="wholeTable" size="0" dxfId="164"/>
      <tableStyleElement type="headerRow" dxfId="167"/>
      <tableStyleElement type="firstRowStripe" dxfId="166"/>
      <tableStyleElement type="secondRowStripe" dxfId="165"/>
    </tableStyle>
    <tableStyle name="Sivoso-style" pivot="0" count="4" xr9:uid="{00000000-0011-0000-FFFF-FFFFA3000000}">
      <tableStyleElement type="wholeTable" size="0" dxfId="160"/>
      <tableStyleElement type="headerRow" dxfId="163"/>
      <tableStyleElement type="firstRowStripe" dxfId="162"/>
      <tableStyleElement type="secondRowStripe" dxfId="161"/>
    </tableStyle>
    <tableStyle name="Slyiaduun-style" pivot="0" count="4" xr9:uid="{00000000-0011-0000-FFFF-FFFFA4000000}">
      <tableStyleElement type="wholeTable" size="0" dxfId="156"/>
      <tableStyleElement type="headerRow" dxfId="159"/>
      <tableStyleElement type="firstRowStripe" dxfId="158"/>
      <tableStyleElement type="secondRowStripe" dxfId="157"/>
    </tableStyle>
    <tableStyle name="Stinebar-style" pivot="0" count="4" xr9:uid="{00000000-0011-0000-FFFF-FFFFA5000000}">
      <tableStyleElement type="wholeTable" size="0" dxfId="152"/>
      <tableStyleElement type="headerRow" dxfId="155"/>
      <tableStyleElement type="firstRowStripe" dxfId="154"/>
      <tableStyleElement type="secondRowStripe" dxfId="153"/>
    </tableStyle>
    <tableStyle name="Suenan-style" pivot="0" count="4" xr9:uid="{00000000-0011-0000-FFFF-FFFFA6000000}">
      <tableStyleElement type="wholeTable" size="0" dxfId="148"/>
      <tableStyleElement type="headerRow" dxfId="151"/>
      <tableStyleElement type="firstRowStripe" dxfId="150"/>
      <tableStyleElement type="secondRowStripe" dxfId="149"/>
    </tableStyle>
    <tableStyle name="Sunsokua-style" pivot="0" count="4" xr9:uid="{00000000-0011-0000-FFFF-FFFFA7000000}">
      <tableStyleElement type="wholeTable" size="0" dxfId="144"/>
      <tableStyleElement type="headerRow" dxfId="147"/>
      <tableStyleElement type="firstRowStripe" dxfId="146"/>
      <tableStyleElement type="secondRowStripe" dxfId="145"/>
    </tableStyle>
    <tableStyle name="Taing-style" pivot="0" count="4" xr9:uid="{00000000-0011-0000-FFFF-FFFFA8000000}">
      <tableStyleElement type="wholeTable" size="0" dxfId="140"/>
      <tableStyleElement type="headerRow" dxfId="143"/>
      <tableStyleElement type="firstRowStripe" dxfId="142"/>
      <tableStyleElement type="secondRowStripe" dxfId="141"/>
    </tableStyle>
    <tableStyle name="Taniduna-style" pivot="0" count="4" xr9:uid="{00000000-0011-0000-FFFF-FFFFA9000000}">
      <tableStyleElement type="wholeTable" size="0" dxfId="136"/>
      <tableStyleElement type="headerRow" dxfId="139"/>
      <tableStyleElement type="firstRowStripe" dxfId="138"/>
      <tableStyleElement type="secondRowStripe" dxfId="137"/>
    </tableStyle>
    <tableStyle name="Taoisia-style" pivot="0" count="4" xr9:uid="{00000000-0011-0000-FFFF-FFFFAA000000}">
      <tableStyleElement type="wholeTable" size="0" dxfId="132"/>
      <tableStyleElement type="headerRow" dxfId="135"/>
      <tableStyleElement type="firstRowStripe" dxfId="134"/>
      <tableStyleElement type="secondRowStripe" dxfId="133"/>
    </tableStyle>
    <tableStyle name="Taval-style" pivot="0" count="4" xr9:uid="{00000000-0011-0000-FFFF-FFFFAB000000}">
      <tableStyleElement type="wholeTable" size="0" dxfId="128"/>
      <tableStyleElement type="headerRow" dxfId="131"/>
      <tableStyleElement type="firstRowStripe" dxfId="130"/>
      <tableStyleElement type="secondRowStripe" dxfId="129"/>
    </tableStyle>
    <tableStyle name="Terressin-style" pivot="0" count="4" xr9:uid="{00000000-0011-0000-FFFF-FFFFAC000000}">
      <tableStyleElement type="wholeTable" size="0" dxfId="124"/>
      <tableStyleElement type="headerRow" dxfId="127"/>
      <tableStyleElement type="firstRowStripe" dxfId="126"/>
      <tableStyleElement type="secondRowStripe" dxfId="125"/>
    </tableStyle>
    <tableStyle name="Tomscilus-style" pivot="0" count="4" xr9:uid="{00000000-0011-0000-FFFF-FFFFAD000000}">
      <tableStyleElement type="wholeTable" size="0" dxfId="120"/>
      <tableStyleElement type="headerRow" dxfId="123"/>
      <tableStyleElement type="firstRowStripe" dxfId="122"/>
      <tableStyleElement type="secondRowStripe" dxfId="121"/>
    </tableStyle>
    <tableStyle name="Tonder-style" pivot="0" count="4" xr9:uid="{00000000-0011-0000-FFFF-FFFFAE000000}">
      <tableStyleElement type="wholeTable" size="0" dxfId="116"/>
      <tableStyleElement type="headerRow" dxfId="119"/>
      <tableStyleElement type="firstRowStripe" dxfId="118"/>
      <tableStyleElement type="secondRowStripe" dxfId="117"/>
    </tableStyle>
    <tableStyle name="Trevilla-style" pivot="0" count="4" xr9:uid="{00000000-0011-0000-FFFF-FFFFAF000000}">
      <tableStyleElement type="wholeTable" size="0" dxfId="112"/>
      <tableStyleElement type="headerRow" dxfId="115"/>
      <tableStyleElement type="firstRowStripe" dxfId="114"/>
      <tableStyleElement type="secondRowStripe" dxfId="113"/>
    </tableStyle>
    <tableStyle name="Trian-style" pivot="0" count="4" xr9:uid="{00000000-0011-0000-FFFF-FFFFB0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Tvecoca-style" pivot="0" count="4" xr9:uid="{00000000-0011-0000-FFFF-FFFFB1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Ucrua-style" pivot="0" count="4" xr9:uid="{00000000-0011-0000-FFFF-FFFFB2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Ukhdari-style" pivot="0" count="4" xr9:uid="{00000000-0011-0000-FFFF-FFFFB3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Umarcia-style" pivot="0" count="4" xr9:uid="{00000000-0011-0000-FFFF-FFFFB4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Umendel-style" pivot="0" count="4" xr9:uid="{00000000-0011-0000-FFFF-FFFFB5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United Delet-style" pivot="0" count="4" xr9:uid="{00000000-0011-0000-FFFF-FFFFB6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United Mihili-style" pivot="0" count="4" xr9:uid="{00000000-0011-0000-FFFF-FFFFB7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Urbiqu-style" pivot="0" count="4" xr9:uid="{00000000-0011-0000-FFFF-FFFFB8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Uularin-style" pivot="0" count="4" xr9:uid="{00000000-0011-0000-FFFF-FFFFB9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Vayvele-style" pivot="0" count="4" xr9:uid="{00000000-0011-0000-FFFF-FFFFBA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Veelmit-style" pivot="0" count="4" xr9:uid="{00000000-0011-0000-FFFF-FFFFBB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Verste-style" pivot="0" count="4" xr9:uid="{00000000-0011-0000-FFFF-FFFFBC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Verusa-style" pivot="0" count="4" xr9:uid="{00000000-0011-0000-FFFF-FFFFBD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Vesozata-style" pivot="0" count="4" xr9:uid="{00000000-0011-0000-FFFF-FFFFBE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Viussi-style" pivot="0" count="4" xr9:uid="{00000000-0011-0000-FFFF-FFFFBF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Volver-style" pivot="0" count="4" xr9:uid="{00000000-0011-0000-FFFF-FFFFC0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Walporein-style" pivot="0" count="4" xr9:uid="{00000000-0011-0000-FFFF-FFFFC1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Welenu Fana-style" pivot="0" count="4" xr9:uid="{00000000-0011-0000-FFFF-FFFFC2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Western Migoku-style" pivot="0" count="4" xr9:uid="{00000000-0011-0000-FFFF-FFFFC3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Wundry-style" pivot="0" count="4" xr9:uid="{00000000-0011-0000-FFFF-FFFFC4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Yaxuto-style" pivot="0" count="4" xr9:uid="{00000000-0011-0000-FFFF-FFFFC5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Yihnurda-style" pivot="0" count="4" xr9:uid="{00000000-0011-0000-FFFF-FFFFC6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Yoprioq-style" pivot="0" count="4" xr9:uid="{00000000-0011-0000-FFFF-FFFFC7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Yutnitu-style" pivot="0" count="4" xr9:uid="{00000000-0011-0000-FFFF-FFFFC8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Zenashan-style" pivot="0" count="4" xr9:uid="{00000000-0011-0000-FFFF-FFFFC9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Zhanshe-style" pivot="0" count="4" xr9:uid="{00000000-0011-0000-FFFF-FFFFCA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Ztesh-style" pivot="0" count="4" xr9:uid="{00000000-0011-0000-FFFF-FFFFCB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Global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9.5970216014784337E-3</c:v>
                </c:pt>
                <c:pt idx="2">
                  <c:v>9.775063187399834E-3</c:v>
                </c:pt>
                <c:pt idx="3">
                  <c:v>9.767101234825026E-3</c:v>
                </c:pt>
                <c:pt idx="4">
                  <c:v>9.9807088805101418E-3</c:v>
                </c:pt>
                <c:pt idx="5">
                  <c:v>1.0017077690113077E-2</c:v>
                </c:pt>
                <c:pt idx="6">
                  <c:v>1.03548475285569E-2</c:v>
                </c:pt>
                <c:pt idx="7">
                  <c:v>1.0842017656342316E-2</c:v>
                </c:pt>
                <c:pt idx="8">
                  <c:v>1.1492962111562182E-2</c:v>
                </c:pt>
                <c:pt idx="9">
                  <c:v>1.1118298934828193E-2</c:v>
                </c:pt>
                <c:pt idx="10">
                  <c:v>1.1275767828846019E-2</c:v>
                </c:pt>
                <c:pt idx="11">
                  <c:v>1.1238076933805519E-2</c:v>
                </c:pt>
                <c:pt idx="12">
                  <c:v>1.1334229231707431E-2</c:v>
                </c:pt>
                <c:pt idx="13">
                  <c:v>1.1445243835614268E-2</c:v>
                </c:pt>
                <c:pt idx="14">
                  <c:v>1.1659760981753366E-2</c:v>
                </c:pt>
                <c:pt idx="15">
                  <c:v>1.1927712979379225E-2</c:v>
                </c:pt>
                <c:pt idx="16">
                  <c:v>1.1879836063783468E-2</c:v>
                </c:pt>
                <c:pt idx="17">
                  <c:v>1.1971402545189469E-2</c:v>
                </c:pt>
                <c:pt idx="18">
                  <c:v>1.2046776098881027E-2</c:v>
                </c:pt>
                <c:pt idx="19">
                  <c:v>1.2335749880559587E-2</c:v>
                </c:pt>
                <c:pt idx="20">
                  <c:v>1.2755837456237479E-2</c:v>
                </c:pt>
                <c:pt idx="21">
                  <c:v>1.307628882847053E-2</c:v>
                </c:pt>
                <c:pt idx="22">
                  <c:v>1.3151345482118149E-2</c:v>
                </c:pt>
                <c:pt idx="23">
                  <c:v>1.2968056891963235E-2</c:v>
                </c:pt>
                <c:pt idx="24">
                  <c:v>1.3484154449169311E-2</c:v>
                </c:pt>
                <c:pt idx="25">
                  <c:v>1.4085256761843133E-2</c:v>
                </c:pt>
                <c:pt idx="26">
                  <c:v>1.4217724359724543E-2</c:v>
                </c:pt>
                <c:pt idx="27">
                  <c:v>1.4780844277549917E-2</c:v>
                </c:pt>
                <c:pt idx="28">
                  <c:v>1.5159035170536477E-2</c:v>
                </c:pt>
                <c:pt idx="29">
                  <c:v>1.5236054786111923E-2</c:v>
                </c:pt>
                <c:pt idx="30">
                  <c:v>1.5547970986555373E-2</c:v>
                </c:pt>
                <c:pt idx="31">
                  <c:v>1.5839009997982274E-2</c:v>
                </c:pt>
                <c:pt idx="32">
                  <c:v>1.6010655521446523E-2</c:v>
                </c:pt>
                <c:pt idx="33">
                  <c:v>1.6370005623381999E-2</c:v>
                </c:pt>
                <c:pt idx="34">
                  <c:v>1.6876660305443464E-2</c:v>
                </c:pt>
                <c:pt idx="35">
                  <c:v>1.7002245694723774E-2</c:v>
                </c:pt>
                <c:pt idx="36">
                  <c:v>1.7062009853949917E-2</c:v>
                </c:pt>
                <c:pt idx="37">
                  <c:v>1.7087873184267754E-2</c:v>
                </c:pt>
                <c:pt idx="38">
                  <c:v>1.7040711155025649E-2</c:v>
                </c:pt>
                <c:pt idx="39">
                  <c:v>1.7115529076990144E-2</c:v>
                </c:pt>
                <c:pt idx="40">
                  <c:v>1.7007835337554487E-2</c:v>
                </c:pt>
                <c:pt idx="41">
                  <c:v>1.6958150590889197E-2</c:v>
                </c:pt>
                <c:pt idx="42">
                  <c:v>1.7851089820900272E-2</c:v>
                </c:pt>
                <c:pt idx="43">
                  <c:v>1.7628738049633594E-2</c:v>
                </c:pt>
                <c:pt idx="44">
                  <c:v>1.7624164741996681E-2</c:v>
                </c:pt>
                <c:pt idx="45">
                  <c:v>1.8370459995812747E-2</c:v>
                </c:pt>
                <c:pt idx="46">
                  <c:v>1.7890029856534644E-2</c:v>
                </c:pt>
                <c:pt idx="47">
                  <c:v>1.8095664338655098E-2</c:v>
                </c:pt>
                <c:pt idx="48">
                  <c:v>1.8303750570720201E-2</c:v>
                </c:pt>
                <c:pt idx="49">
                  <c:v>1.8438977547179838E-2</c:v>
                </c:pt>
                <c:pt idx="50">
                  <c:v>1.9444300975475871E-2</c:v>
                </c:pt>
                <c:pt idx="51">
                  <c:v>1.9527612749616213E-2</c:v>
                </c:pt>
                <c:pt idx="52">
                  <c:v>1.9850666291378678E-2</c:v>
                </c:pt>
                <c:pt idx="53">
                  <c:v>1.9966412956023485E-2</c:v>
                </c:pt>
                <c:pt idx="54">
                  <c:v>2.0357243397523764E-2</c:v>
                </c:pt>
                <c:pt idx="55">
                  <c:v>1.9918775252385671E-2</c:v>
                </c:pt>
                <c:pt idx="56">
                  <c:v>2.0245001324829266E-2</c:v>
                </c:pt>
                <c:pt idx="57">
                  <c:v>2.0239838961790796E-2</c:v>
                </c:pt>
                <c:pt idx="58">
                  <c:v>2.0292839866622121E-2</c:v>
                </c:pt>
                <c:pt idx="59">
                  <c:v>2.0383910442590088E-2</c:v>
                </c:pt>
                <c:pt idx="60">
                  <c:v>2.0151681986547283E-2</c:v>
                </c:pt>
                <c:pt idx="61">
                  <c:v>2.0028125633084065E-2</c:v>
                </c:pt>
                <c:pt idx="62">
                  <c:v>1.9559744449577997E-2</c:v>
                </c:pt>
                <c:pt idx="63">
                  <c:v>1.9362706539855487E-2</c:v>
                </c:pt>
                <c:pt idx="64">
                  <c:v>1.90577792405189E-2</c:v>
                </c:pt>
                <c:pt idx="65">
                  <c:v>1.874386648942384E-2</c:v>
                </c:pt>
                <c:pt idx="66">
                  <c:v>1.9400000000000001E-2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09-4488-83D6-8BA9BDB78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462602"/>
        <c:axId val="677007830"/>
      </c:lineChart>
      <c:catAx>
        <c:axId val="136246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7007830"/>
        <c:crosses val="autoZero"/>
        <c:auto val="1"/>
        <c:lblAlgn val="ctr"/>
        <c:lblOffset val="100"/>
        <c:noMultiLvlLbl val="1"/>
      </c:catAx>
      <c:valAx>
        <c:axId val="677007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24626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Global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Population'!$C$1</c:f>
              <c:strCache>
                <c:ptCount val="1"/>
                <c:pt idx="0">
                  <c:v>Global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Population'!$C$2:$C$67</c:f>
              <c:numCache>
                <c:formatCode>#,###</c:formatCode>
                <c:ptCount val="66"/>
                <c:pt idx="0">
                  <c:v>6813753981.0332737</c:v>
                </c:pt>
                <c:pt idx="1">
                  <c:v>6748983837.358119</c:v>
                </c:pt>
                <c:pt idx="2">
                  <c:v>6683650729.1580877</c:v>
                </c:pt>
                <c:pt idx="3">
                  <c:v>6619002263.9723339</c:v>
                </c:pt>
                <c:pt idx="4">
                  <c:v>6553592762.4885178</c:v>
                </c:pt>
                <c:pt idx="5">
                  <c:v>6488595992.3335562</c:v>
                </c:pt>
                <c:pt idx="6">
                  <c:v>6422096165.7237568</c:v>
                </c:pt>
                <c:pt idx="7">
                  <c:v>6353214501.9194164</c:v>
                </c:pt>
                <c:pt idx="8">
                  <c:v>6281026897.7617378</c:v>
                </c:pt>
                <c:pt idx="9">
                  <c:v>6211960464.347785</c:v>
                </c:pt>
                <c:pt idx="10">
                  <c:v>6142696840.9265118</c:v>
                </c:pt>
                <c:pt idx="11">
                  <c:v>6074431907.8172979</c:v>
                </c:pt>
                <c:pt idx="12">
                  <c:v>6006354508.9657803</c:v>
                </c:pt>
                <c:pt idx="13">
                  <c:v>5938388207.9354229</c:v>
                </c:pt>
                <c:pt idx="14">
                  <c:v>5869946040.1316977</c:v>
                </c:pt>
                <c:pt idx="15">
                  <c:v>5800756284.1114855</c:v>
                </c:pt>
                <c:pt idx="16">
                  <c:v>5732653302.6653147</c:v>
                </c:pt>
                <c:pt idx="17">
                  <c:v>5664837255.5264215</c:v>
                </c:pt>
                <c:pt idx="18">
                  <c:v>5597406552.0593529</c:v>
                </c:pt>
                <c:pt idx="19">
                  <c:v>5529199727.1851387</c:v>
                </c:pt>
                <c:pt idx="20">
                  <c:v>5459558486.5479116</c:v>
                </c:pt>
                <c:pt idx="21">
                  <c:v>5389089199.6508856</c:v>
                </c:pt>
                <c:pt idx="22">
                  <c:v>5319135412.1791487</c:v>
                </c:pt>
                <c:pt idx="23">
                  <c:v>5251039631.4959555</c:v>
                </c:pt>
                <c:pt idx="24">
                  <c:v>5181175856.0250072</c:v>
                </c:pt>
                <c:pt idx="25">
                  <c:v>5109211302.9721336</c:v>
                </c:pt>
                <c:pt idx="26">
                  <c:v>5037588261.6304874</c:v>
                </c:pt>
                <c:pt idx="27">
                  <c:v>4964213002.2831516</c:v>
                </c:pt>
                <c:pt idx="28">
                  <c:v>4890084046.2393303</c:v>
                </c:pt>
                <c:pt idx="29">
                  <c:v>4816696593.0593987</c:v>
                </c:pt>
                <c:pt idx="30">
                  <c:v>4742953292.8712492</c:v>
                </c:pt>
                <c:pt idx="31">
                  <c:v>4669000940.2972918</c:v>
                </c:pt>
                <c:pt idx="32">
                  <c:v>4595425170.9112473</c:v>
                </c:pt>
                <c:pt idx="33">
                  <c:v>4521409669.2008162</c:v>
                </c:pt>
                <c:pt idx="34">
                  <c:v>4446369796.5520239</c:v>
                </c:pt>
                <c:pt idx="35">
                  <c:v>4372035376.8881474</c:v>
                </c:pt>
                <c:pt idx="36">
                  <c:v>4298691067.5347824</c:v>
                </c:pt>
                <c:pt idx="37">
                  <c:v>4226469689.4640689</c:v>
                </c:pt>
                <c:pt idx="38">
                  <c:v>4155654383.4554877</c:v>
                </c:pt>
                <c:pt idx="39">
                  <c:v>4085725037.7709327</c:v>
                </c:pt>
                <c:pt idx="40">
                  <c:v>4017397797.544836</c:v>
                </c:pt>
                <c:pt idx="41">
                  <c:v>3950406214.0714283</c:v>
                </c:pt>
                <c:pt idx="42">
                  <c:v>3881123922.327908</c:v>
                </c:pt>
                <c:pt idx="43">
                  <c:v>3813889857.0871639</c:v>
                </c:pt>
                <c:pt idx="44">
                  <c:v>3747837354.1317372</c:v>
                </c:pt>
                <c:pt idx="45">
                  <c:v>3680229839.0972056</c:v>
                </c:pt>
                <c:pt idx="46">
                  <c:v>3615547584.8564029</c:v>
                </c:pt>
                <c:pt idx="47">
                  <c:v>3551284728.4395685</c:v>
                </c:pt>
                <c:pt idx="48">
                  <c:v>3487451289.9016719</c:v>
                </c:pt>
                <c:pt idx="49">
                  <c:v>3424310505.378427</c:v>
                </c:pt>
                <c:pt idx="50">
                  <c:v>3358997153.7452378</c:v>
                </c:pt>
                <c:pt idx="51">
                  <c:v>3294660303.2027612</c:v>
                </c:pt>
                <c:pt idx="52">
                  <c:v>3230532088.7650948</c:v>
                </c:pt>
                <c:pt idx="53">
                  <c:v>3167292616.4328327</c:v>
                </c:pt>
                <c:pt idx="54">
                  <c:v>3104101663.3415308</c:v>
                </c:pt>
                <c:pt idx="55">
                  <c:v>3043479283.5080423</c:v>
                </c:pt>
                <c:pt idx="56">
                  <c:v>2983086689.5264978</c:v>
                </c:pt>
                <c:pt idx="57">
                  <c:v>2923907277.0988097</c:v>
                </c:pt>
                <c:pt idx="58">
                  <c:v>2865753010.1662164</c:v>
                </c:pt>
                <c:pt idx="59">
                  <c:v>2808504701.8461905</c:v>
                </c:pt>
                <c:pt idx="60">
                  <c:v>2753026585.592814</c:v>
                </c:pt>
                <c:pt idx="61">
                  <c:v>2698971250.3114934</c:v>
                </c:pt>
                <c:pt idx="62">
                  <c:v>2647192834.9510961</c:v>
                </c:pt>
                <c:pt idx="63">
                  <c:v>2596909635.7632885</c:v>
                </c:pt>
                <c:pt idx="64">
                  <c:v>2548343861.0308313</c:v>
                </c:pt>
                <c:pt idx="65">
                  <c:v>2501456887.1097956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7-45FA-BECA-5F483ED5A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337715"/>
        <c:axId val="2047883077"/>
      </c:lineChart>
      <c:catAx>
        <c:axId val="711337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7883077"/>
        <c:crosses val="autoZero"/>
        <c:auto val="1"/>
        <c:lblAlgn val="ctr"/>
        <c:lblOffset val="100"/>
        <c:noMultiLvlLbl val="1"/>
      </c:catAx>
      <c:valAx>
        <c:axId val="2047883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13377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Acrolan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Population'!$N$1:$N$66</c:f>
              <c:numCache>
                <c:formatCode>0.00%</c:formatCode>
                <c:ptCount val="66"/>
                <c:pt idx="0" formatCode="General">
                  <c:v>0</c:v>
                </c:pt>
                <c:pt idx="1">
                  <c:v>1.126224272040326E-2</c:v>
                </c:pt>
                <c:pt idx="2">
                  <c:v>1.150541935697354E-2</c:v>
                </c:pt>
                <c:pt idx="3">
                  <c:v>1.0900739951253484E-2</c:v>
                </c:pt>
                <c:pt idx="4">
                  <c:v>1.0325600171785111E-2</c:v>
                </c:pt>
                <c:pt idx="5">
                  <c:v>1.1230748420836005E-2</c:v>
                </c:pt>
                <c:pt idx="6">
                  <c:v>1.1963867540491707E-2</c:v>
                </c:pt>
                <c:pt idx="7">
                  <c:v>1.191561679132413E-2</c:v>
                </c:pt>
                <c:pt idx="8">
                  <c:v>1.5459808320127701E-2</c:v>
                </c:pt>
                <c:pt idx="9">
                  <c:v>1.2877017815734247E-2</c:v>
                </c:pt>
                <c:pt idx="10">
                  <c:v>1.3679742737287464E-2</c:v>
                </c:pt>
                <c:pt idx="11">
                  <c:v>1.3582159361626387E-2</c:v>
                </c:pt>
                <c:pt idx="12">
                  <c:v>1.3715449995704281E-2</c:v>
                </c:pt>
                <c:pt idx="13">
                  <c:v>1.3861931068732916E-2</c:v>
                </c:pt>
                <c:pt idx="14">
                  <c:v>1.4100212407840797E-2</c:v>
                </c:pt>
                <c:pt idx="15">
                  <c:v>1.450432110120178E-2</c:v>
                </c:pt>
                <c:pt idx="16">
                  <c:v>1.4845310813488612E-2</c:v>
                </c:pt>
                <c:pt idx="17">
                  <c:v>1.4959041906895775E-2</c:v>
                </c:pt>
                <c:pt idx="18">
                  <c:v>1.4953279972028109E-2</c:v>
                </c:pt>
                <c:pt idx="19">
                  <c:v>1.4790118797666705E-2</c:v>
                </c:pt>
                <c:pt idx="20">
                  <c:v>1.4587429675202856E-2</c:v>
                </c:pt>
                <c:pt idx="21">
                  <c:v>1.4367789037885291E-2</c:v>
                </c:pt>
                <c:pt idx="22">
                  <c:v>1.3525783574635278E-2</c:v>
                </c:pt>
                <c:pt idx="23">
                  <c:v>1.3682018501768367E-2</c:v>
                </c:pt>
                <c:pt idx="24">
                  <c:v>1.4412547112482747E-2</c:v>
                </c:pt>
                <c:pt idx="25">
                  <c:v>1.458677159786005E-2</c:v>
                </c:pt>
                <c:pt idx="26">
                  <c:v>1.5143059131790365E-2</c:v>
                </c:pt>
                <c:pt idx="27">
                  <c:v>1.5367427945537275E-2</c:v>
                </c:pt>
                <c:pt idx="28">
                  <c:v>1.5781707170567979E-2</c:v>
                </c:pt>
                <c:pt idx="29">
                  <c:v>1.6094945111510876E-2</c:v>
                </c:pt>
                <c:pt idx="30">
                  <c:v>1.6269393268035701E-2</c:v>
                </c:pt>
                <c:pt idx="31">
                  <c:v>1.6832018035996685E-2</c:v>
                </c:pt>
                <c:pt idx="32">
                  <c:v>1.7005170408681054E-2</c:v>
                </c:pt>
                <c:pt idx="33">
                  <c:v>1.7499398272969532E-2</c:v>
                </c:pt>
                <c:pt idx="34">
                  <c:v>1.8118728442074666E-2</c:v>
                </c:pt>
                <c:pt idx="35">
                  <c:v>1.8505147146558959E-2</c:v>
                </c:pt>
                <c:pt idx="36">
                  <c:v>1.8873155781131863E-2</c:v>
                </c:pt>
                <c:pt idx="37">
                  <c:v>1.8965388783039331E-2</c:v>
                </c:pt>
                <c:pt idx="38">
                  <c:v>1.9068385226947794E-2</c:v>
                </c:pt>
                <c:pt idx="39">
                  <c:v>1.9311402510205803E-2</c:v>
                </c:pt>
                <c:pt idx="40">
                  <c:v>1.9539592789791727E-2</c:v>
                </c:pt>
                <c:pt idx="41">
                  <c:v>2.0049224046144662E-2</c:v>
                </c:pt>
                <c:pt idx="42">
                  <c:v>2.0518198196049092E-2</c:v>
                </c:pt>
                <c:pt idx="43">
                  <c:v>2.0901647794853088E-2</c:v>
                </c:pt>
                <c:pt idx="44">
                  <c:v>2.1082475958206434E-2</c:v>
                </c:pt>
                <c:pt idx="45">
                  <c:v>2.115237310591795E-2</c:v>
                </c:pt>
                <c:pt idx="46">
                  <c:v>2.1317174554207809E-2</c:v>
                </c:pt>
                <c:pt idx="47">
                  <c:v>2.1636601958953918E-2</c:v>
                </c:pt>
                <c:pt idx="48">
                  <c:v>2.2181379047255936E-2</c:v>
                </c:pt>
                <c:pt idx="49">
                  <c:v>2.2728840690005692E-2</c:v>
                </c:pt>
                <c:pt idx="50">
                  <c:v>2.3392144965403455E-2</c:v>
                </c:pt>
                <c:pt idx="51">
                  <c:v>2.400841644623267E-2</c:v>
                </c:pt>
                <c:pt idx="52">
                  <c:v>2.4453763041511603E-2</c:v>
                </c:pt>
                <c:pt idx="53">
                  <c:v>2.4771101811414412E-2</c:v>
                </c:pt>
                <c:pt idx="54">
                  <c:v>2.4928571789812989E-2</c:v>
                </c:pt>
                <c:pt idx="55">
                  <c:v>2.5103359283416799E-2</c:v>
                </c:pt>
                <c:pt idx="56">
                  <c:v>2.5170490067307084E-2</c:v>
                </c:pt>
                <c:pt idx="57">
                  <c:v>2.5286971351608383E-2</c:v>
                </c:pt>
                <c:pt idx="58">
                  <c:v>2.5374274958128426E-2</c:v>
                </c:pt>
                <c:pt idx="59">
                  <c:v>2.5342039767939212E-2</c:v>
                </c:pt>
                <c:pt idx="60">
                  <c:v>2.5268353755831564E-2</c:v>
                </c:pt>
                <c:pt idx="61">
                  <c:v>2.5193823304247125E-2</c:v>
                </c:pt>
                <c:pt idx="62">
                  <c:v>2.5046834811386174E-2</c:v>
                </c:pt>
                <c:pt idx="63">
                  <c:v>2.4879994028622378E-2</c:v>
                </c:pt>
                <c:pt idx="64">
                  <c:v>2.4722785930462666E-2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AC-48B9-A8B2-61673F813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628286"/>
        <c:axId val="1877007496"/>
      </c:lineChart>
      <c:catAx>
        <c:axId val="2058628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7007496"/>
        <c:crosses val="autoZero"/>
        <c:auto val="1"/>
        <c:lblAlgn val="ctr"/>
        <c:lblOffset val="100"/>
        <c:noMultiLvlLbl val="1"/>
      </c:catAx>
      <c:valAx>
        <c:axId val="1877007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86282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Acrolan Population (Includes Heiso)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Population'!$M$1</c:f>
              <c:strCache>
                <c:ptCount val="1"/>
                <c:pt idx="0">
                  <c:v>Acrolan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Population'!$M$2:$M$67</c:f>
              <c:numCache>
                <c:formatCode>#,###</c:formatCode>
                <c:ptCount val="66"/>
                <c:pt idx="0">
                  <c:v>1039646767.1931727</c:v>
                </c:pt>
                <c:pt idx="1">
                  <c:v>1028068411.2129135</c:v>
                </c:pt>
                <c:pt idx="2">
                  <c:v>1016374595.2705516</c:v>
                </c:pt>
                <c:pt idx="3">
                  <c:v>1005414829.6691939</c:v>
                </c:pt>
                <c:pt idx="4">
                  <c:v>995139417.92452228</c:v>
                </c:pt>
                <c:pt idx="5">
                  <c:v>984087380.13411641</c:v>
                </c:pt>
                <c:pt idx="6">
                  <c:v>972453080.29215789</c:v>
                </c:pt>
                <c:pt idx="7">
                  <c:v>961002146.97318566</c:v>
                </c:pt>
                <c:pt idx="8">
                  <c:v>946371426.12563741</c:v>
                </c:pt>
                <c:pt idx="9">
                  <c:v>934339914.40193212</c:v>
                </c:pt>
                <c:pt idx="10">
                  <c:v>921730873.18376291</c:v>
                </c:pt>
                <c:pt idx="11">
                  <c:v>909379535.41357398</c:v>
                </c:pt>
                <c:pt idx="12">
                  <c:v>897075737.98685575</c:v>
                </c:pt>
                <c:pt idx="13">
                  <c:v>884810555.06367576</c:v>
                </c:pt>
                <c:pt idx="14">
                  <c:v>872508006.83969426</c:v>
                </c:pt>
                <c:pt idx="15">
                  <c:v>860033800.44022238</c:v>
                </c:pt>
                <c:pt idx="16">
                  <c:v>847453095.83273232</c:v>
                </c:pt>
                <c:pt idx="17">
                  <c:v>834962851.54575813</c:v>
                </c:pt>
                <c:pt idx="18">
                  <c:v>822661365.82047355</c:v>
                </c:pt>
                <c:pt idx="19">
                  <c:v>810671438.93278229</c:v>
                </c:pt>
                <c:pt idx="20">
                  <c:v>799015851.39124024</c:v>
                </c:pt>
                <c:pt idx="21">
                  <c:v>787698367.4226253</c:v>
                </c:pt>
                <c:pt idx="22">
                  <c:v>777186313.548401</c:v>
                </c:pt>
                <c:pt idx="23">
                  <c:v>766696359.76880574</c:v>
                </c:pt>
                <c:pt idx="24">
                  <c:v>755803308.97049809</c:v>
                </c:pt>
                <c:pt idx="25">
                  <c:v>744937081.902017</c:v>
                </c:pt>
                <c:pt idx="26">
                  <c:v>733824730.61395967</c:v>
                </c:pt>
                <c:pt idx="27">
                  <c:v>722718407.56085479</c:v>
                </c:pt>
                <c:pt idx="28">
                  <c:v>711489882.57916856</c:v>
                </c:pt>
                <c:pt idx="29">
                  <c:v>700219882.01219368</c:v>
                </c:pt>
                <c:pt idx="30">
                  <c:v>689010105.63791955</c:v>
                </c:pt>
                <c:pt idx="31">
                  <c:v>677604651.9156009</c:v>
                </c:pt>
                <c:pt idx="32">
                  <c:v>666274539.82687926</c:v>
                </c:pt>
                <c:pt idx="33">
                  <c:v>654815659.80065036</c:v>
                </c:pt>
                <c:pt idx="34">
                  <c:v>643162375.37703419</c:v>
                </c:pt>
                <c:pt idx="35">
                  <c:v>631476804.19575298</c:v>
                </c:pt>
                <c:pt idx="36">
                  <c:v>619779607.12059724</c:v>
                </c:pt>
                <c:pt idx="37">
                  <c:v>608244022.75410581</c:v>
                </c:pt>
                <c:pt idx="38">
                  <c:v>596862812.71364248</c:v>
                </c:pt>
                <c:pt idx="39">
                  <c:v>585554925.84874368</c:v>
                </c:pt>
                <c:pt idx="40">
                  <c:v>574332698.78855324</c:v>
                </c:pt>
                <c:pt idx="41">
                  <c:v>563044101.45070779</c:v>
                </c:pt>
                <c:pt idx="42">
                  <c:v>551723724.71749187</c:v>
                </c:pt>
                <c:pt idx="43">
                  <c:v>540427891.27553546</c:v>
                </c:pt>
                <c:pt idx="44">
                  <c:v>529269578.11942267</c:v>
                </c:pt>
                <c:pt idx="45">
                  <c:v>518306172.57403636</c:v>
                </c:pt>
                <c:pt idx="46">
                  <c:v>507487963.08088183</c:v>
                </c:pt>
                <c:pt idx="47">
                  <c:v>496740193.2426762</c:v>
                </c:pt>
                <c:pt idx="48">
                  <c:v>485960910.09373754</c:v>
                </c:pt>
                <c:pt idx="49">
                  <c:v>475161050.27983147</c:v>
                </c:pt>
                <c:pt idx="50">
                  <c:v>464300075.60385823</c:v>
                </c:pt>
                <c:pt idx="51">
                  <c:v>453414315.88539791</c:v>
                </c:pt>
                <c:pt idx="52">
                  <c:v>442591293.27540499</c:v>
                </c:pt>
                <c:pt idx="53">
                  <c:v>431892831.96322387</c:v>
                </c:pt>
                <c:pt idx="54">
                  <c:v>421388225.33654004</c:v>
                </c:pt>
                <c:pt idx="55">
                  <c:v>411069012.23219597</c:v>
                </c:pt>
                <c:pt idx="56">
                  <c:v>400976243.67358392</c:v>
                </c:pt>
                <c:pt idx="57">
                  <c:v>391086841.90630811</c:v>
                </c:pt>
                <c:pt idx="58">
                  <c:v>381408868.40785849</c:v>
                </c:pt>
                <c:pt idx="59">
                  <c:v>371982083.65101361</c:v>
                </c:pt>
                <c:pt idx="60">
                  <c:v>362814362.00419527</c:v>
                </c:pt>
                <c:pt idx="61">
                  <c:v>353898310.50174278</c:v>
                </c:pt>
                <c:pt idx="62">
                  <c:v>345250869.01698679</c:v>
                </c:pt>
                <c:pt idx="63">
                  <c:v>336869556.46374416</c:v>
                </c:pt>
                <c:pt idx="64">
                  <c:v>328742135.03300005</c:v>
                </c:pt>
                <c:pt idx="65">
                  <c:v>320824711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C-4B56-B5C2-F85FF60C0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4568871"/>
        <c:axId val="1058154277"/>
      </c:lineChart>
      <c:catAx>
        <c:axId val="1834568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8154277"/>
        <c:crosses val="autoZero"/>
        <c:auto val="1"/>
        <c:lblAlgn val="ctr"/>
        <c:lblOffset val="100"/>
        <c:noMultiLvlLbl val="1"/>
      </c:catAx>
      <c:valAx>
        <c:axId val="105815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45688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Atirhan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Population'!$X$1</c:f>
              <c:strCache>
                <c:ptCount val="1"/>
                <c:pt idx="0">
                  <c:v>Atirhan Population 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Population'!$X$2:$X$67</c:f>
              <c:numCache>
                <c:formatCode>#,###</c:formatCode>
                <c:ptCount val="66"/>
                <c:pt idx="0">
                  <c:v>537437811.50561249</c:v>
                </c:pt>
                <c:pt idx="1">
                  <c:v>531512044.02276385</c:v>
                </c:pt>
                <c:pt idx="2">
                  <c:v>525454462.10067666</c:v>
                </c:pt>
                <c:pt idx="3">
                  <c:v>518858472.67428172</c:v>
                </c:pt>
                <c:pt idx="4">
                  <c:v>512159168.21796089</c:v>
                </c:pt>
                <c:pt idx="5">
                  <c:v>506558828.29854625</c:v>
                </c:pt>
                <c:pt idx="6">
                  <c:v>500387506.18337744</c:v>
                </c:pt>
                <c:pt idx="7">
                  <c:v>493030940.37029332</c:v>
                </c:pt>
                <c:pt idx="8">
                  <c:v>485911742.189367</c:v>
                </c:pt>
                <c:pt idx="9">
                  <c:v>479318105.26142985</c:v>
                </c:pt>
                <c:pt idx="10">
                  <c:v>474016242.79383451</c:v>
                </c:pt>
                <c:pt idx="11">
                  <c:v>468927487.33784336</c:v>
                </c:pt>
                <c:pt idx="12">
                  <c:v>464140093.84103578</c:v>
                </c:pt>
                <c:pt idx="13">
                  <c:v>459170408.73972756</c:v>
                </c:pt>
                <c:pt idx="14">
                  <c:v>454322421.33564734</c:v>
                </c:pt>
                <c:pt idx="15">
                  <c:v>449136243.9205566</c:v>
                </c:pt>
                <c:pt idx="16">
                  <c:v>444151781.37073106</c:v>
                </c:pt>
                <c:pt idx="17">
                  <c:v>439115855.63283551</c:v>
                </c:pt>
                <c:pt idx="18">
                  <c:v>434464227.95901883</c:v>
                </c:pt>
                <c:pt idx="19">
                  <c:v>429533387.04448718</c:v>
                </c:pt>
                <c:pt idx="20">
                  <c:v>424599548.92620248</c:v>
                </c:pt>
                <c:pt idx="21">
                  <c:v>420038843.00037163</c:v>
                </c:pt>
                <c:pt idx="22">
                  <c:v>415464362.39081264</c:v>
                </c:pt>
                <c:pt idx="23">
                  <c:v>411170248.57150751</c:v>
                </c:pt>
                <c:pt idx="24">
                  <c:v>406338282.21398753</c:v>
                </c:pt>
                <c:pt idx="25">
                  <c:v>401354648.2099638</c:v>
                </c:pt>
                <c:pt idx="26">
                  <c:v>396201214.03939545</c:v>
                </c:pt>
                <c:pt idx="27">
                  <c:v>390647635.18319672</c:v>
                </c:pt>
                <c:pt idx="28">
                  <c:v>385276401.09883267</c:v>
                </c:pt>
                <c:pt idx="29">
                  <c:v>380122374.84148616</c:v>
                </c:pt>
                <c:pt idx="30">
                  <c:v>375176751.87588757</c:v>
                </c:pt>
                <c:pt idx="31">
                  <c:v>370339164.72787088</c:v>
                </c:pt>
                <c:pt idx="32">
                  <c:v>365642097.84151113</c:v>
                </c:pt>
                <c:pt idx="33">
                  <c:v>360702546.03164661</c:v>
                </c:pt>
                <c:pt idx="34">
                  <c:v>355022279.28820962</c:v>
                </c:pt>
                <c:pt idx="35">
                  <c:v>349626497.72511512</c:v>
                </c:pt>
                <c:pt idx="36">
                  <c:v>344801103.70608813</c:v>
                </c:pt>
                <c:pt idx="37">
                  <c:v>340273330.98314476</c:v>
                </c:pt>
                <c:pt idx="38">
                  <c:v>335881665.4393847</c:v>
                </c:pt>
                <c:pt idx="39">
                  <c:v>331411746.81418508</c:v>
                </c:pt>
                <c:pt idx="40">
                  <c:v>327203937.96070743</c:v>
                </c:pt>
                <c:pt idx="41">
                  <c:v>322611595.25545484</c:v>
                </c:pt>
                <c:pt idx="42">
                  <c:v>315911996.86198807</c:v>
                </c:pt>
                <c:pt idx="43">
                  <c:v>310979265.81776488</c:v>
                </c:pt>
                <c:pt idx="44">
                  <c:v>305594727.00323421</c:v>
                </c:pt>
                <c:pt idx="45">
                  <c:v>297855084.48697311</c:v>
                </c:pt>
                <c:pt idx="46">
                  <c:v>292359054.35431856</c:v>
                </c:pt>
                <c:pt idx="47">
                  <c:v>286691899.14971495</c:v>
                </c:pt>
                <c:pt idx="48">
                  <c:v>281538057.25478119</c:v>
                </c:pt>
                <c:pt idx="49">
                  <c:v>277094120.28562886</c:v>
                </c:pt>
                <c:pt idx="50">
                  <c:v>271194374.71141201</c:v>
                </c:pt>
                <c:pt idx="51">
                  <c:v>266068612.36409873</c:v>
                </c:pt>
                <c:pt idx="52">
                  <c:v>261125067.8828392</c:v>
                </c:pt>
                <c:pt idx="53">
                  <c:v>256257339.39082995</c:v>
                </c:pt>
                <c:pt idx="54">
                  <c:v>250700226.98089236</c:v>
                </c:pt>
                <c:pt idx="55">
                  <c:v>246617246.30292773</c:v>
                </c:pt>
                <c:pt idx="56">
                  <c:v>241632489.95639729</c:v>
                </c:pt>
                <c:pt idx="57">
                  <c:v>236822111.20945472</c:v>
                </c:pt>
                <c:pt idx="58">
                  <c:v>232046014.61165535</c:v>
                </c:pt>
                <c:pt idx="59">
                  <c:v>227300233.15318215</c:v>
                </c:pt>
                <c:pt idx="60">
                  <c:v>222633209.31669569</c:v>
                </c:pt>
                <c:pt idx="61">
                  <c:v>218074394.63065955</c:v>
                </c:pt>
                <c:pt idx="62">
                  <c:v>213593421.84303319</c:v>
                </c:pt>
                <c:pt idx="63">
                  <c:v>209182108.30373085</c:v>
                </c:pt>
                <c:pt idx="64">
                  <c:v>204723409.42049998</c:v>
                </c:pt>
                <c:pt idx="65">
                  <c:v>200253995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B-4542-898E-AB45A283F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699537"/>
        <c:axId val="98450236"/>
      </c:lineChart>
      <c:catAx>
        <c:axId val="1310699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450236"/>
        <c:crosses val="autoZero"/>
        <c:auto val="1"/>
        <c:lblAlgn val="ctr"/>
        <c:lblOffset val="100"/>
        <c:noMultiLvlLbl val="1"/>
      </c:catAx>
      <c:valAx>
        <c:axId val="98450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06995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Atirhan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Population'!$Y$1:$Y$67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1.1148886557676674E-2</c:v>
                </c:pt>
                <c:pt idx="2">
                  <c:v>1.1528271922689591E-2</c:v>
                </c:pt>
                <c:pt idx="3">
                  <c:v>1.2712502105628395E-2</c:v>
                </c:pt>
                <c:pt idx="4">
                  <c:v>1.3080512606326675E-2</c:v>
                </c:pt>
                <c:pt idx="5">
                  <c:v>1.1055655545922131E-2</c:v>
                </c:pt>
                <c:pt idx="6">
                  <c:v>1.2333085936216801E-2</c:v>
                </c:pt>
                <c:pt idx="7">
                  <c:v>1.4921103749713843E-2</c:v>
                </c:pt>
                <c:pt idx="8">
                  <c:v>1.4651216595115469E-2</c:v>
                </c:pt>
                <c:pt idx="9">
                  <c:v>1.3756285972842286E-2</c:v>
                </c:pt>
                <c:pt idx="10">
                  <c:v>1.1184980574392038E-2</c:v>
                </c:pt>
                <c:pt idx="11">
                  <c:v>1.0851902678771539E-2</c:v>
                </c:pt>
                <c:pt idx="12">
                  <c:v>1.0314544165295099E-2</c:v>
                </c:pt>
                <c:pt idx="13">
                  <c:v>1.0823182432309576E-2</c:v>
                </c:pt>
                <c:pt idx="14">
                  <c:v>1.0670808167089301E-2</c:v>
                </c:pt>
                <c:pt idx="15">
                  <c:v>1.154700268635651E-2</c:v>
                </c:pt>
                <c:pt idx="16">
                  <c:v>1.1222430616944988E-2</c:v>
                </c:pt>
                <c:pt idx="17">
                  <c:v>1.1468330449234137E-2</c:v>
                </c:pt>
                <c:pt idx="18">
                  <c:v>1.0706583820878917E-2</c:v>
                </c:pt>
                <c:pt idx="19">
                  <c:v>1.1479528863773647E-2</c:v>
                </c:pt>
                <c:pt idx="20">
                  <c:v>1.1619979650855041E-2</c:v>
                </c:pt>
                <c:pt idx="21">
                  <c:v>1.0857819465584057E-2</c:v>
                </c:pt>
                <c:pt idx="22">
                  <c:v>1.1010524665063685E-2</c:v>
                </c:pt>
                <c:pt idx="23">
                  <c:v>1.0443639427278073E-2</c:v>
                </c:pt>
                <c:pt idx="24">
                  <c:v>1.1891486894103062E-2</c:v>
                </c:pt>
                <c:pt idx="25">
                  <c:v>1.241703323046256E-2</c:v>
                </c:pt>
                <c:pt idx="26">
                  <c:v>1.3007113527057305E-2</c:v>
                </c:pt>
                <c:pt idx="27">
                  <c:v>1.4216338090961031E-2</c:v>
                </c:pt>
                <c:pt idx="28">
                  <c:v>1.3941248592036671E-2</c:v>
                </c:pt>
                <c:pt idx="29">
                  <c:v>1.3558860510370583E-2</c:v>
                </c:pt>
                <c:pt idx="30">
                  <c:v>1.318211467227225E-2</c:v>
                </c:pt>
                <c:pt idx="31">
                  <c:v>1.3062585890885726E-2</c:v>
                </c:pt>
                <c:pt idx="32">
                  <c:v>1.284607793820205E-2</c:v>
                </c:pt>
                <c:pt idx="33">
                  <c:v>1.3694252686065445E-2</c:v>
                </c:pt>
                <c:pt idx="34">
                  <c:v>1.5999747268891008E-2</c:v>
                </c:pt>
                <c:pt idx="35">
                  <c:v>1.5432988054975146E-2</c:v>
                </c:pt>
                <c:pt idx="36">
                  <c:v>1.3994717439014372E-2</c:v>
                </c:pt>
                <c:pt idx="37">
                  <c:v>1.330628148218776E-2</c:v>
                </c:pt>
                <c:pt idx="38">
                  <c:v>1.307503801380492E-2</c:v>
                </c:pt>
                <c:pt idx="39">
                  <c:v>1.3487508116921988E-2</c:v>
                </c:pt>
                <c:pt idx="40">
                  <c:v>1.2859896735053828E-2</c:v>
                </c:pt>
                <c:pt idx="41">
                  <c:v>1.423489661497199E-2</c:v>
                </c:pt>
                <c:pt idx="42">
                  <c:v>2.1207166742685028E-2</c:v>
                </c:pt>
                <c:pt idx="43">
                  <c:v>1.586192903006527E-2</c:v>
                </c:pt>
                <c:pt idx="44">
                  <c:v>1.7619868206933047E-2</c:v>
                </c:pt>
                <c:pt idx="45">
                  <c:v>2.5984590894568393E-2</c:v>
                </c:pt>
                <c:pt idx="46">
                  <c:v>1.8798905150355791E-2</c:v>
                </c:pt>
                <c:pt idx="47">
                  <c:v>1.9767406129756516E-2</c:v>
                </c:pt>
                <c:pt idx="48">
                  <c:v>1.8306022088764112E-2</c:v>
                </c:pt>
                <c:pt idx="49">
                  <c:v>1.603764440967393E-2</c:v>
                </c:pt>
                <c:pt idx="50">
                  <c:v>2.1754675333863323E-2</c:v>
                </c:pt>
                <c:pt idx="51">
                  <c:v>1.9264814070962231E-2</c:v>
                </c:pt>
                <c:pt idx="52">
                  <c:v>1.8931711617505752E-2</c:v>
                </c:pt>
                <c:pt idx="53">
                  <c:v>1.8995469568133048E-2</c:v>
                </c:pt>
                <c:pt idx="54">
                  <c:v>2.216636369603741E-2</c:v>
                </c:pt>
                <c:pt idx="55">
                  <c:v>1.6555941399772886E-2</c:v>
                </c:pt>
                <c:pt idx="56">
                  <c:v>2.0629495426835766E-2</c:v>
                </c:pt>
                <c:pt idx="57">
                  <c:v>2.0312202785356021E-2</c:v>
                </c:pt>
                <c:pt idx="58">
                  <c:v>2.0582540949011689E-2</c:v>
                </c:pt>
                <c:pt idx="59">
                  <c:v>2.0878911528766135E-2</c:v>
                </c:pt>
                <c:pt idx="60">
                  <c:v>2.0962837713252466E-2</c:v>
                </c:pt>
                <c:pt idx="61">
                  <c:v>2.0904859984855858E-2</c:v>
                </c:pt>
                <c:pt idx="62">
                  <c:v>2.0978983102388611E-2</c:v>
                </c:pt>
                <c:pt idx="63">
                  <c:v>2.1088388366834677E-2</c:v>
                </c:pt>
                <c:pt idx="64">
                  <c:v>2.1779135546110114E-2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35-454C-AC88-BD8DFD4DA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510928"/>
        <c:axId val="24319049"/>
      </c:lineChart>
      <c:catAx>
        <c:axId val="47451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319049"/>
        <c:crosses val="autoZero"/>
        <c:auto val="1"/>
        <c:lblAlgn val="ctr"/>
        <c:lblOffset val="100"/>
        <c:noMultiLvlLbl val="1"/>
      </c:catAx>
      <c:valAx>
        <c:axId val="24319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45109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Ayuman Population (Includes Heiso)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Population'!$AI$1</c:f>
              <c:strCache>
                <c:ptCount val="1"/>
                <c:pt idx="0">
                  <c:v>Ayuman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Population'!$AI$2:$AI$67</c:f>
              <c:numCache>
                <c:formatCode>#,###</c:formatCode>
                <c:ptCount val="66"/>
                <c:pt idx="0">
                  <c:v>994654309.58714616</c:v>
                </c:pt>
                <c:pt idx="1">
                  <c:v>987653384.98564851</c:v>
                </c:pt>
                <c:pt idx="2">
                  <c:v>980826603.60248709</c:v>
                </c:pt>
                <c:pt idx="3">
                  <c:v>974384417.06424284</c:v>
                </c:pt>
                <c:pt idx="4">
                  <c:v>967744637.54560709</c:v>
                </c:pt>
                <c:pt idx="5">
                  <c:v>961004602.22211981</c:v>
                </c:pt>
                <c:pt idx="6">
                  <c:v>954261049.67245913</c:v>
                </c:pt>
                <c:pt idx="7">
                  <c:v>947508879.4798007</c:v>
                </c:pt>
                <c:pt idx="8">
                  <c:v>940692540.30126381</c:v>
                </c:pt>
                <c:pt idx="9">
                  <c:v>934333808.44188774</c:v>
                </c:pt>
                <c:pt idx="10">
                  <c:v>927746955.46530902</c:v>
                </c:pt>
                <c:pt idx="11">
                  <c:v>921241375.31164944</c:v>
                </c:pt>
                <c:pt idx="12">
                  <c:v>914671473.0976907</c:v>
                </c:pt>
                <c:pt idx="13">
                  <c:v>908147089.06958508</c:v>
                </c:pt>
                <c:pt idx="14">
                  <c:v>901797626.79368973</c:v>
                </c:pt>
                <c:pt idx="15">
                  <c:v>895363771.11127841</c:v>
                </c:pt>
                <c:pt idx="16">
                  <c:v>890070935.27947819</c:v>
                </c:pt>
                <c:pt idx="17">
                  <c:v>885951733.64819753</c:v>
                </c:pt>
                <c:pt idx="18">
                  <c:v>881929748.35086942</c:v>
                </c:pt>
                <c:pt idx="19">
                  <c:v>877876344.52301693</c:v>
                </c:pt>
                <c:pt idx="20">
                  <c:v>872835187.61253536</c:v>
                </c:pt>
                <c:pt idx="21">
                  <c:v>867931305.13470984</c:v>
                </c:pt>
                <c:pt idx="22">
                  <c:v>863748411.22962153</c:v>
                </c:pt>
                <c:pt idx="23">
                  <c:v>860537372.60543466</c:v>
                </c:pt>
                <c:pt idx="24">
                  <c:v>856200662.22316003</c:v>
                </c:pt>
                <c:pt idx="25">
                  <c:v>850663341.34597385</c:v>
                </c:pt>
                <c:pt idx="26">
                  <c:v>845119223.95934427</c:v>
                </c:pt>
                <c:pt idx="27">
                  <c:v>838136988.24116802</c:v>
                </c:pt>
                <c:pt idx="28">
                  <c:v>831248094.86043942</c:v>
                </c:pt>
                <c:pt idx="29">
                  <c:v>824696236.37840116</c:v>
                </c:pt>
                <c:pt idx="30">
                  <c:v>818715499.19781327</c:v>
                </c:pt>
                <c:pt idx="31">
                  <c:v>812979383.45264697</c:v>
                </c:pt>
                <c:pt idx="32">
                  <c:v>807396308.93948531</c:v>
                </c:pt>
                <c:pt idx="33">
                  <c:v>801805243.05851555</c:v>
                </c:pt>
                <c:pt idx="34">
                  <c:v>795768126.27472365</c:v>
                </c:pt>
                <c:pt idx="35">
                  <c:v>789231841.45062482</c:v>
                </c:pt>
                <c:pt idx="36">
                  <c:v>782594023.77820528</c:v>
                </c:pt>
                <c:pt idx="37">
                  <c:v>776343374.2522949</c:v>
                </c:pt>
                <c:pt idx="38">
                  <c:v>769866721.98585355</c:v>
                </c:pt>
                <c:pt idx="39">
                  <c:v>763327604.67435682</c:v>
                </c:pt>
                <c:pt idx="40">
                  <c:v>757083142.36257374</c:v>
                </c:pt>
                <c:pt idx="41">
                  <c:v>750659479.92024088</c:v>
                </c:pt>
                <c:pt idx="42">
                  <c:v>743847629.48435926</c:v>
                </c:pt>
                <c:pt idx="43">
                  <c:v>736705596.17851818</c:v>
                </c:pt>
                <c:pt idx="44">
                  <c:v>729461853.94160497</c:v>
                </c:pt>
                <c:pt idx="45">
                  <c:v>722169933.06285512</c:v>
                </c:pt>
                <c:pt idx="46">
                  <c:v>714342360.88187981</c:v>
                </c:pt>
                <c:pt idx="47">
                  <c:v>706685155.75705278</c:v>
                </c:pt>
                <c:pt idx="48">
                  <c:v>698444644.3067143</c:v>
                </c:pt>
                <c:pt idx="49">
                  <c:v>689560007.01078987</c:v>
                </c:pt>
                <c:pt idx="50">
                  <c:v>680690504.29640758</c:v>
                </c:pt>
                <c:pt idx="51">
                  <c:v>671710219.22710013</c:v>
                </c:pt>
                <c:pt idx="52">
                  <c:v>662313158.44628334</c:v>
                </c:pt>
                <c:pt idx="53">
                  <c:v>652848359.43623877</c:v>
                </c:pt>
                <c:pt idx="54">
                  <c:v>643384097.32361758</c:v>
                </c:pt>
                <c:pt idx="55">
                  <c:v>634053612.01504898</c:v>
                </c:pt>
                <c:pt idx="56">
                  <c:v>624944589.0266726</c:v>
                </c:pt>
                <c:pt idx="57">
                  <c:v>616020232.1791296</c:v>
                </c:pt>
                <c:pt idx="58">
                  <c:v>607176817.38679922</c:v>
                </c:pt>
                <c:pt idx="59">
                  <c:v>598637116.57676983</c:v>
                </c:pt>
                <c:pt idx="60">
                  <c:v>590649559.34302318</c:v>
                </c:pt>
                <c:pt idx="61">
                  <c:v>582661039.32972479</c:v>
                </c:pt>
                <c:pt idx="62">
                  <c:v>575458557.06351626</c:v>
                </c:pt>
                <c:pt idx="63">
                  <c:v>568396838.20018208</c:v>
                </c:pt>
                <c:pt idx="64">
                  <c:v>561915096.59479988</c:v>
                </c:pt>
                <c:pt idx="65">
                  <c:v>555878420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C-46CE-9511-C5EB16C3F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195096"/>
        <c:axId val="347037387"/>
      </c:lineChart>
      <c:catAx>
        <c:axId val="2001195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037387"/>
        <c:crosses val="autoZero"/>
        <c:auto val="1"/>
        <c:lblAlgn val="ctr"/>
        <c:lblOffset val="100"/>
        <c:noMultiLvlLbl val="1"/>
      </c:catAx>
      <c:valAx>
        <c:axId val="347037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11950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Ayuman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Population'!$AJ$1:$AJ$67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7.0884428767480807E-3</c:v>
                </c:pt>
                <c:pt idx="2">
                  <c:v>6.9602326834195538E-3</c:v>
                </c:pt>
                <c:pt idx="3">
                  <c:v>6.6115451206148583E-3</c:v>
                </c:pt>
                <c:pt idx="4">
                  <c:v>6.8610863455420964E-3</c:v>
                </c:pt>
                <c:pt idx="5">
                  <c:v>7.0135307447044227E-3</c:v>
                </c:pt>
                <c:pt idx="6">
                  <c:v>7.0667796322351649E-3</c:v>
                </c:pt>
                <c:pt idx="7">
                  <c:v>7.126234211509961E-3</c:v>
                </c:pt>
                <c:pt idx="8">
                  <c:v>7.2460861402748114E-3</c:v>
                </c:pt>
                <c:pt idx="9">
                  <c:v>6.8056317794814806E-3</c:v>
                </c:pt>
                <c:pt idx="10">
                  <c:v>7.0998378790422369E-3</c:v>
                </c:pt>
                <c:pt idx="11">
                  <c:v>7.0617542025387106E-3</c:v>
                </c:pt>
                <c:pt idx="12">
                  <c:v>7.182799952980547E-3</c:v>
                </c:pt>
                <c:pt idx="13">
                  <c:v>7.184281166159965E-3</c:v>
                </c:pt>
                <c:pt idx="14">
                  <c:v>7.0408948607135402E-3</c:v>
                </c:pt>
                <c:pt idx="15">
                  <c:v>7.1857449340684736E-3</c:v>
                </c:pt>
                <c:pt idx="16">
                  <c:v>5.9465325987060752E-3</c:v>
                </c:pt>
                <c:pt idx="17">
                  <c:v>4.6494650609446792E-3</c:v>
                </c:pt>
                <c:pt idx="18">
                  <c:v>4.5604372738858971E-3</c:v>
                </c:pt>
                <c:pt idx="19">
                  <c:v>4.6172833487782994E-3</c:v>
                </c:pt>
                <c:pt idx="20">
                  <c:v>5.7756114579553559E-3</c:v>
                </c:pt>
                <c:pt idx="21">
                  <c:v>5.6500813472379601E-3</c:v>
                </c:pt>
                <c:pt idx="22">
                  <c:v>4.8427225459478293E-3</c:v>
                </c:pt>
                <c:pt idx="23">
                  <c:v>3.73143424842185E-3</c:v>
                </c:pt>
                <c:pt idx="24">
                  <c:v>5.0650631021636706E-3</c:v>
                </c:pt>
                <c:pt idx="25">
                  <c:v>6.5094151917075406E-3</c:v>
                </c:pt>
                <c:pt idx="26">
                  <c:v>6.5601600690795431E-3</c:v>
                </c:pt>
                <c:pt idx="27">
                  <c:v>8.3306617129837932E-3</c:v>
                </c:pt>
                <c:pt idx="28">
                  <c:v>8.2874095270981628E-3</c:v>
                </c:pt>
                <c:pt idx="29">
                  <c:v>7.9445718229663714E-3</c:v>
                </c:pt>
                <c:pt idx="30">
                  <c:v>7.3050249890809224E-3</c:v>
                </c:pt>
                <c:pt idx="31">
                  <c:v>7.0556718434919685E-3</c:v>
                </c:pt>
                <c:pt idx="32">
                  <c:v>6.9149121086459079E-3</c:v>
                </c:pt>
                <c:pt idx="33">
                  <c:v>6.973097182106763E-3</c:v>
                </c:pt>
                <c:pt idx="34">
                  <c:v>7.586527512799251E-3</c:v>
                </c:pt>
                <c:pt idx="35">
                  <c:v>8.2818311183251239E-3</c:v>
                </c:pt>
                <c:pt idx="36">
                  <c:v>8.4818149266889485E-3</c:v>
                </c:pt>
                <c:pt idx="37">
                  <c:v>8.0513980452663093E-3</c:v>
                </c:pt>
                <c:pt idx="38">
                  <c:v>8.4126928486205621E-3</c:v>
                </c:pt>
                <c:pt idx="39">
                  <c:v>8.5665935195496923E-3</c:v>
                </c:pt>
                <c:pt idx="40">
                  <c:v>8.2480535655521797E-3</c:v>
                </c:pt>
                <c:pt idx="41">
                  <c:v>8.5573587147868852E-3</c:v>
                </c:pt>
                <c:pt idx="42">
                  <c:v>9.1575884171381169E-3</c:v>
                </c:pt>
                <c:pt idx="43">
                  <c:v>9.6945555224348182E-3</c:v>
                </c:pt>
                <c:pt idx="44">
                  <c:v>9.9302550198780946E-3</c:v>
                </c:pt>
                <c:pt idx="45">
                  <c:v>1.0097236875846483E-2</c:v>
                </c:pt>
                <c:pt idx="46">
                  <c:v>1.0957732047854359E-2</c:v>
                </c:pt>
                <c:pt idx="47">
                  <c:v>1.0835384134571314E-2</c:v>
                </c:pt>
                <c:pt idx="48">
                  <c:v>1.1798374456028835E-2</c:v>
                </c:pt>
                <c:pt idx="49">
                  <c:v>1.2884502009388435E-2</c:v>
                </c:pt>
                <c:pt idx="50">
                  <c:v>1.3030154906524235E-2</c:v>
                </c:pt>
                <c:pt idx="51">
                  <c:v>1.3369284569826204E-2</c:v>
                </c:pt>
                <c:pt idx="52">
                  <c:v>1.4188244127387268E-2</c:v>
                </c:pt>
                <c:pt idx="53">
                  <c:v>1.4497699003514102E-2</c:v>
                </c:pt>
                <c:pt idx="54">
                  <c:v>1.4710127514794218E-2</c:v>
                </c:pt>
                <c:pt idx="55">
                  <c:v>1.4715609424439556E-2</c:v>
                </c:pt>
                <c:pt idx="56">
                  <c:v>1.4575729029934214E-2</c:v>
                </c:pt>
                <c:pt idx="57">
                  <c:v>1.4487116463648761E-2</c:v>
                </c:pt>
                <c:pt idx="58">
                  <c:v>1.4564809688207723E-2</c:v>
                </c:pt>
                <c:pt idx="59">
                  <c:v>1.4265237776873208E-2</c:v>
                </c:pt>
                <c:pt idx="60">
                  <c:v>1.3523344100402228E-2</c:v>
                </c:pt>
                <c:pt idx="61">
                  <c:v>1.3710407036118527E-2</c:v>
                </c:pt>
                <c:pt idx="62">
                  <c:v>1.251607466393719E-2</c:v>
                </c:pt>
                <c:pt idx="63">
                  <c:v>1.242392354907353E-2</c:v>
                </c:pt>
                <c:pt idx="64">
                  <c:v>1.1535090700822058E-2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A3-489A-9EFA-CA511F6AF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282139"/>
        <c:axId val="948445589"/>
      </c:lineChart>
      <c:catAx>
        <c:axId val="2132282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8445589"/>
        <c:crosses val="autoZero"/>
        <c:auto val="1"/>
        <c:lblAlgn val="ctr"/>
        <c:lblOffset val="100"/>
        <c:noMultiLvlLbl val="1"/>
      </c:catAx>
      <c:valAx>
        <c:axId val="948445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22821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Mahean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Population'!$AT$1</c:f>
              <c:strCache>
                <c:ptCount val="1"/>
                <c:pt idx="0">
                  <c:v>Mahean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Population'!$AT$2:$AT$67</c:f>
              <c:numCache>
                <c:formatCode>#,###</c:formatCode>
                <c:ptCount val="66"/>
                <c:pt idx="0">
                  <c:v>1387328172.9613781</c:v>
                </c:pt>
                <c:pt idx="1">
                  <c:v>1373870008.7810304</c:v>
                </c:pt>
                <c:pt idx="2">
                  <c:v>1360332621.4072871</c:v>
                </c:pt>
                <c:pt idx="3">
                  <c:v>1346979845.7444108</c:v>
                </c:pt>
                <c:pt idx="4">
                  <c:v>1333467199.1338906</c:v>
                </c:pt>
                <c:pt idx="5">
                  <c:v>1320520526.088022</c:v>
                </c:pt>
                <c:pt idx="6">
                  <c:v>1307988355.0322883</c:v>
                </c:pt>
                <c:pt idx="7">
                  <c:v>1294899980.8701372</c:v>
                </c:pt>
                <c:pt idx="8">
                  <c:v>1281942088.7732134</c:v>
                </c:pt>
                <c:pt idx="9">
                  <c:v>1269068273.8525493</c:v>
                </c:pt>
                <c:pt idx="10">
                  <c:v>1255331558.8889918</c:v>
                </c:pt>
                <c:pt idx="11">
                  <c:v>1241950592.8449247</c:v>
                </c:pt>
                <c:pt idx="12">
                  <c:v>1228654216.0228879</c:v>
                </c:pt>
                <c:pt idx="13">
                  <c:v>1215491669.9507289</c:v>
                </c:pt>
                <c:pt idx="14">
                  <c:v>1201718588.6585157</c:v>
                </c:pt>
                <c:pt idx="15">
                  <c:v>1187932128.6855237</c:v>
                </c:pt>
                <c:pt idx="16">
                  <c:v>1174331113.0572026</c:v>
                </c:pt>
                <c:pt idx="17">
                  <c:v>1159676242.6509273</c:v>
                </c:pt>
                <c:pt idx="18">
                  <c:v>1144902875.8192308</c:v>
                </c:pt>
                <c:pt idx="19">
                  <c:v>1129532637.9340529</c:v>
                </c:pt>
                <c:pt idx="20">
                  <c:v>1113811149.3999712</c:v>
                </c:pt>
                <c:pt idx="21">
                  <c:v>1096431317.940264</c:v>
                </c:pt>
                <c:pt idx="22">
                  <c:v>1078345916.9228034</c:v>
                </c:pt>
                <c:pt idx="23">
                  <c:v>1061169323.202337</c:v>
                </c:pt>
                <c:pt idx="24">
                  <c:v>1043793283.5134417</c:v>
                </c:pt>
                <c:pt idx="25">
                  <c:v>1026292248.1504858</c:v>
                </c:pt>
                <c:pt idx="26">
                  <c:v>1009099285.9693369</c:v>
                </c:pt>
                <c:pt idx="27">
                  <c:v>991683778.37794018</c:v>
                </c:pt>
                <c:pt idx="28">
                  <c:v>973378323.72131538</c:v>
                </c:pt>
                <c:pt idx="29">
                  <c:v>955414047.96783495</c:v>
                </c:pt>
                <c:pt idx="30">
                  <c:v>936501528.76493192</c:v>
                </c:pt>
                <c:pt idx="31">
                  <c:v>917582203.06501377</c:v>
                </c:pt>
                <c:pt idx="32">
                  <c:v>898649892.65958655</c:v>
                </c:pt>
                <c:pt idx="33">
                  <c:v>879514597.08164966</c:v>
                </c:pt>
                <c:pt idx="34">
                  <c:v>860332806.22561979</c:v>
                </c:pt>
                <c:pt idx="35">
                  <c:v>841461931.76739335</c:v>
                </c:pt>
                <c:pt idx="36">
                  <c:v>822379391.29034674</c:v>
                </c:pt>
                <c:pt idx="37">
                  <c:v>802829404.90725517</c:v>
                </c:pt>
                <c:pt idx="38">
                  <c:v>783858070.74713588</c:v>
                </c:pt>
                <c:pt idx="39">
                  <c:v>765456938.52163863</c:v>
                </c:pt>
                <c:pt idx="40">
                  <c:v>747537183.66912377</c:v>
                </c:pt>
                <c:pt idx="41">
                  <c:v>731155590.50352836</c:v>
                </c:pt>
                <c:pt idx="42">
                  <c:v>714542616.43034005</c:v>
                </c:pt>
                <c:pt idx="43">
                  <c:v>697963784.69456518</c:v>
                </c:pt>
                <c:pt idx="44">
                  <c:v>681589588.38839459</c:v>
                </c:pt>
                <c:pt idx="45">
                  <c:v>665477367.43749797</c:v>
                </c:pt>
                <c:pt idx="46">
                  <c:v>650407865.32554483</c:v>
                </c:pt>
                <c:pt idx="47">
                  <c:v>635174380.60163665</c:v>
                </c:pt>
                <c:pt idx="48">
                  <c:v>620132431.80270076</c:v>
                </c:pt>
                <c:pt idx="49">
                  <c:v>605137770.39800417</c:v>
                </c:pt>
                <c:pt idx="50">
                  <c:v>588930583.00145054</c:v>
                </c:pt>
                <c:pt idx="51">
                  <c:v>572870765.2461499</c:v>
                </c:pt>
                <c:pt idx="52">
                  <c:v>557086582.60149562</c:v>
                </c:pt>
                <c:pt idx="53">
                  <c:v>541542497.15044272</c:v>
                </c:pt>
                <c:pt idx="54">
                  <c:v>526268575.6944688</c:v>
                </c:pt>
                <c:pt idx="55">
                  <c:v>511234623.4704833</c:v>
                </c:pt>
                <c:pt idx="56">
                  <c:v>496509315.39753634</c:v>
                </c:pt>
                <c:pt idx="57">
                  <c:v>482025042.33901185</c:v>
                </c:pt>
                <c:pt idx="58">
                  <c:v>467848656.91997117</c:v>
                </c:pt>
                <c:pt idx="59">
                  <c:v>453887652.54689634</c:v>
                </c:pt>
                <c:pt idx="60">
                  <c:v>440424125.01470399</c:v>
                </c:pt>
                <c:pt idx="61">
                  <c:v>427601572.05904925</c:v>
                </c:pt>
                <c:pt idx="62">
                  <c:v>415434555.95667285</c:v>
                </c:pt>
                <c:pt idx="63">
                  <c:v>403795684.39406741</c:v>
                </c:pt>
                <c:pt idx="64">
                  <c:v>392623001.2389999</c:v>
                </c:pt>
                <c:pt idx="65">
                  <c:v>381997123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E-46EE-B339-B3FF80237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690997"/>
        <c:axId val="714511066"/>
      </c:lineChart>
      <c:catAx>
        <c:axId val="2134690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4511066"/>
        <c:crosses val="autoZero"/>
        <c:auto val="1"/>
        <c:lblAlgn val="ctr"/>
        <c:lblOffset val="100"/>
        <c:noMultiLvlLbl val="1"/>
      </c:catAx>
      <c:valAx>
        <c:axId val="714511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46909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Mahean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Population'!$AU$1:$AU$67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9.7958060765068085E-3</c:v>
                </c:pt>
                <c:pt idx="2">
                  <c:v>9.9515274137428524E-3</c:v>
                </c:pt>
                <c:pt idx="3">
                  <c:v>9.913122089437747E-3</c:v>
                </c:pt>
                <c:pt idx="4">
                  <c:v>1.0133467564329153E-2</c:v>
                </c:pt>
                <c:pt idx="5">
                  <c:v>9.8042194650487767E-3</c:v>
                </c:pt>
                <c:pt idx="6">
                  <c:v>9.5812558326823314E-3</c:v>
                </c:pt>
                <c:pt idx="7">
                  <c:v>1.0107633296400291E-2</c:v>
                </c:pt>
                <c:pt idx="8">
                  <c:v>1.0108016743037284E-2</c:v>
                </c:pt>
                <c:pt idx="9">
                  <c:v>1.0144304436500204E-2</c:v>
                </c:pt>
                <c:pt idx="10">
                  <c:v>1.0942698657010511E-2</c:v>
                </c:pt>
                <c:pt idx="11">
                  <c:v>1.0774153272406344E-2</c:v>
                </c:pt>
                <c:pt idx="12">
                  <c:v>1.0821903061608875E-2</c:v>
                </c:pt>
                <c:pt idx="13">
                  <c:v>1.0828989122313448E-2</c:v>
                </c:pt>
                <c:pt idx="14">
                  <c:v>1.1461153569728965E-2</c:v>
                </c:pt>
                <c:pt idx="15">
                  <c:v>1.1605427313635334E-2</c:v>
                </c:pt>
                <c:pt idx="16">
                  <c:v>1.1581925640131325E-2</c:v>
                </c:pt>
                <c:pt idx="17">
                  <c:v>1.2637035982366431E-2</c:v>
                </c:pt>
                <c:pt idx="18">
                  <c:v>1.2903598325862782E-2</c:v>
                </c:pt>
                <c:pt idx="19">
                  <c:v>1.3607608464763311E-2</c:v>
                </c:pt>
                <c:pt idx="20">
                  <c:v>1.4115039647925168E-2</c:v>
                </c:pt>
                <c:pt idx="21">
                  <c:v>1.5851272373682921E-2</c:v>
                </c:pt>
                <c:pt idx="22">
                  <c:v>1.6771428104508029E-2</c:v>
                </c:pt>
                <c:pt idx="23">
                  <c:v>1.6186477826773033E-2</c:v>
                </c:pt>
                <c:pt idx="24">
                  <c:v>1.6647012357089555E-2</c:v>
                </c:pt>
                <c:pt idx="25">
                  <c:v>1.7052682015766079E-2</c:v>
                </c:pt>
                <c:pt idx="26">
                  <c:v>1.7037929191113632E-2</c:v>
                </c:pt>
                <c:pt idx="27">
                  <c:v>1.7561553361175857E-2</c:v>
                </c:pt>
                <c:pt idx="28">
                  <c:v>1.8806104687683352E-2</c:v>
                </c:pt>
                <c:pt idx="29">
                  <c:v>1.8802607928667614E-2</c:v>
                </c:pt>
                <c:pt idx="30">
                  <c:v>2.0194862071229145E-2</c:v>
                </c:pt>
                <c:pt idx="31">
                  <c:v>2.0618671151992313E-2</c:v>
                </c:pt>
                <c:pt idx="32">
                  <c:v>2.1067504219464565E-2</c:v>
                </c:pt>
                <c:pt idx="33">
                  <c:v>2.1756654911050288E-2</c:v>
                </c:pt>
                <c:pt idx="34">
                  <c:v>2.2295779862426285E-2</c:v>
                </c:pt>
                <c:pt idx="35">
                  <c:v>2.2426296123213032E-2</c:v>
                </c:pt>
                <c:pt idx="36">
                  <c:v>2.3204059682363058E-2</c:v>
                </c:pt>
                <c:pt idx="37">
                  <c:v>2.4351358163506767E-2</c:v>
                </c:pt>
                <c:pt idx="38">
                  <c:v>2.420251174046946E-2</c:v>
                </c:pt>
                <c:pt idx="39">
                  <c:v>2.403940874980659E-2</c:v>
                </c:pt>
                <c:pt idx="40">
                  <c:v>2.3971723740295624E-2</c:v>
                </c:pt>
                <c:pt idx="41">
                  <c:v>2.2405071339622561E-2</c:v>
                </c:pt>
                <c:pt idx="42">
                  <c:v>2.3249801609009958E-2</c:v>
                </c:pt>
                <c:pt idx="43">
                  <c:v>2.375314034814845E-2</c:v>
                </c:pt>
                <c:pt idx="44">
                  <c:v>2.4023542297480004E-2</c:v>
                </c:pt>
                <c:pt idx="45">
                  <c:v>2.4211523545779923E-2</c:v>
                </c:pt>
                <c:pt idx="46">
                  <c:v>2.3169311005195932E-2</c:v>
                </c:pt>
                <c:pt idx="47">
                  <c:v>2.3983153586073547E-2</c:v>
                </c:pt>
                <c:pt idx="48">
                  <c:v>2.4256026660643328E-2</c:v>
                </c:pt>
                <c:pt idx="49">
                  <c:v>2.477892165751688E-2</c:v>
                </c:pt>
                <c:pt idx="50">
                  <c:v>2.7519690544774641E-2</c:v>
                </c:pt>
                <c:pt idx="51">
                  <c:v>2.803392794603525E-2</c:v>
                </c:pt>
                <c:pt idx="52">
                  <c:v>2.8333446070348593E-2</c:v>
                </c:pt>
                <c:pt idx="53">
                  <c:v>2.8703352983089514E-2</c:v>
                </c:pt>
                <c:pt idx="54">
                  <c:v>2.9023054313699649E-2</c:v>
                </c:pt>
                <c:pt idx="55">
                  <c:v>2.9407147978218841E-2</c:v>
                </c:pt>
                <c:pt idx="56">
                  <c:v>2.9657667270868757E-2</c:v>
                </c:pt>
                <c:pt idx="57">
                  <c:v>3.0048797855480692E-2</c:v>
                </c:pt>
                <c:pt idx="58">
                  <c:v>3.0301220724602083E-2</c:v>
                </c:pt>
                <c:pt idx="59">
                  <c:v>3.0758722548929349E-2</c:v>
                </c:pt>
                <c:pt idx="60">
                  <c:v>3.0569459681035541E-2</c:v>
                </c:pt>
                <c:pt idx="61">
                  <c:v>2.9987151108705517E-2</c:v>
                </c:pt>
                <c:pt idx="62">
                  <c:v>2.9287443540554538E-2</c:v>
                </c:pt>
                <c:pt idx="63">
                  <c:v>2.8823665067323933E-2</c:v>
                </c:pt>
                <c:pt idx="64">
                  <c:v>2.8456517116444736E-2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E3-4546-9753-568146A57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836482"/>
        <c:axId val="526409492"/>
      </c:lineChart>
      <c:catAx>
        <c:axId val="724836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409492"/>
        <c:crosses val="autoZero"/>
        <c:auto val="1"/>
        <c:lblAlgn val="ctr"/>
        <c:lblOffset val="100"/>
        <c:noMultiLvlLbl val="1"/>
      </c:catAx>
      <c:valAx>
        <c:axId val="526409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48364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Massiran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Population'!$BE$1</c:f>
              <c:strCache>
                <c:ptCount val="1"/>
                <c:pt idx="0">
                  <c:v>Massiran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Population'!$BE$2:$BE$67</c:f>
              <c:numCache>
                <c:formatCode>#,###</c:formatCode>
                <c:ptCount val="66"/>
                <c:pt idx="0">
                  <c:v>1389098831.6190045</c:v>
                </c:pt>
                <c:pt idx="1">
                  <c:v>1379283836.3407638</c:v>
                </c:pt>
                <c:pt idx="2">
                  <c:v>1369694763.5636797</c:v>
                </c:pt>
                <c:pt idx="3">
                  <c:v>1360484041.0501602</c:v>
                </c:pt>
                <c:pt idx="4">
                  <c:v>1350850699.0829256</c:v>
                </c:pt>
                <c:pt idx="5">
                  <c:v>1341366762.268122</c:v>
                </c:pt>
                <c:pt idx="6">
                  <c:v>1331773404.9895725</c:v>
                </c:pt>
                <c:pt idx="7">
                  <c:v>1321861073.0824304</c:v>
                </c:pt>
                <c:pt idx="8">
                  <c:v>1311644115.8884954</c:v>
                </c:pt>
                <c:pt idx="9">
                  <c:v>1301056376.9971545</c:v>
                </c:pt>
                <c:pt idx="10">
                  <c:v>1290414182.1811116</c:v>
                </c:pt>
                <c:pt idx="11">
                  <c:v>1279687665.4241264</c:v>
                </c:pt>
                <c:pt idx="12">
                  <c:v>1268818587.2284713</c:v>
                </c:pt>
                <c:pt idx="13">
                  <c:v>1258032442.5055695</c:v>
                </c:pt>
                <c:pt idx="14">
                  <c:v>1247209104.8686066</c:v>
                </c:pt>
                <c:pt idx="15">
                  <c:v>1236263711.186379</c:v>
                </c:pt>
                <c:pt idx="16">
                  <c:v>1225414828.2896118</c:v>
                </c:pt>
                <c:pt idx="17">
                  <c:v>1214850560.1106474</c:v>
                </c:pt>
                <c:pt idx="18">
                  <c:v>1204242319.6715665</c:v>
                </c:pt>
                <c:pt idx="19">
                  <c:v>1193468169.8623068</c:v>
                </c:pt>
                <c:pt idx="20">
                  <c:v>1182368801.8725729</c:v>
                </c:pt>
                <c:pt idx="21">
                  <c:v>1170995954.2311809</c:v>
                </c:pt>
                <c:pt idx="22">
                  <c:v>1159431916.7348332</c:v>
                </c:pt>
                <c:pt idx="23">
                  <c:v>1147763415.896167</c:v>
                </c:pt>
                <c:pt idx="24">
                  <c:v>1136168416.6996331</c:v>
                </c:pt>
                <c:pt idx="25">
                  <c:v>1123933068.8485961</c:v>
                </c:pt>
                <c:pt idx="26">
                  <c:v>1111559605.2088702</c:v>
                </c:pt>
                <c:pt idx="27">
                  <c:v>1099170673.0234354</c:v>
                </c:pt>
                <c:pt idx="28">
                  <c:v>1086481202.4863</c:v>
                </c:pt>
                <c:pt idx="29">
                  <c:v>1073427527.6963418</c:v>
                </c:pt>
                <c:pt idx="30">
                  <c:v>1059987033.0415171</c:v>
                </c:pt>
                <c:pt idx="31">
                  <c:v>1046166796.8745072</c:v>
                </c:pt>
                <c:pt idx="32">
                  <c:v>1032198257.041173</c:v>
                </c:pt>
                <c:pt idx="33">
                  <c:v>1018072607.6697615</c:v>
                </c:pt>
                <c:pt idx="34">
                  <c:v>1003885941.0323787</c:v>
                </c:pt>
                <c:pt idx="35">
                  <c:v>989765251.71138251</c:v>
                </c:pt>
                <c:pt idx="36">
                  <c:v>975772547.1126039</c:v>
                </c:pt>
                <c:pt idx="37">
                  <c:v>961927813.65186286</c:v>
                </c:pt>
                <c:pt idx="38">
                  <c:v>948395290.64026904</c:v>
                </c:pt>
                <c:pt idx="39">
                  <c:v>935076496.10047472</c:v>
                </c:pt>
                <c:pt idx="40">
                  <c:v>922135452.47215378</c:v>
                </c:pt>
                <c:pt idx="41">
                  <c:v>909314871.50228357</c:v>
                </c:pt>
                <c:pt idx="42">
                  <c:v>896650660.14608943</c:v>
                </c:pt>
                <c:pt idx="43">
                  <c:v>884167322.87435722</c:v>
                </c:pt>
                <c:pt idx="44">
                  <c:v>872075920.36540055</c:v>
                </c:pt>
                <c:pt idx="45">
                  <c:v>860178652.4597373</c:v>
                </c:pt>
                <c:pt idx="46">
                  <c:v>848430589.51505089</c:v>
                </c:pt>
                <c:pt idx="47">
                  <c:v>836962407.79582322</c:v>
                </c:pt>
                <c:pt idx="48">
                  <c:v>825671410.377792</c:v>
                </c:pt>
                <c:pt idx="49">
                  <c:v>814300546.09160101</c:v>
                </c:pt>
                <c:pt idx="50">
                  <c:v>803290184.02018261</c:v>
                </c:pt>
                <c:pt idx="51">
                  <c:v>792197950.6101495</c:v>
                </c:pt>
                <c:pt idx="52">
                  <c:v>780948159.35151529</c:v>
                </c:pt>
                <c:pt idx="53">
                  <c:v>769776160.94948494</c:v>
                </c:pt>
                <c:pt idx="54">
                  <c:v>758511736.92907882</c:v>
                </c:pt>
                <c:pt idx="55">
                  <c:v>747452929.93462753</c:v>
                </c:pt>
                <c:pt idx="56">
                  <c:v>736456551.38928628</c:v>
                </c:pt>
                <c:pt idx="57">
                  <c:v>725582752.19005466</c:v>
                </c:pt>
                <c:pt idx="58">
                  <c:v>714763175.63534844</c:v>
                </c:pt>
                <c:pt idx="59">
                  <c:v>703814948.51587677</c:v>
                </c:pt>
                <c:pt idx="60">
                  <c:v>692997857.76165056</c:v>
                </c:pt>
                <c:pt idx="61">
                  <c:v>682332793.8360467</c:v>
                </c:pt>
                <c:pt idx="62">
                  <c:v>671864303.71396625</c:v>
                </c:pt>
                <c:pt idx="63">
                  <c:v>661591250.65738964</c:v>
                </c:pt>
                <c:pt idx="64">
                  <c:v>651454186.48775351</c:v>
                </c:pt>
                <c:pt idx="65">
                  <c:v>641434971.10979581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2-46EE-A1DE-960C2DF0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266428"/>
        <c:axId val="1854854873"/>
      </c:lineChart>
      <c:catAx>
        <c:axId val="979266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4854873"/>
        <c:crosses val="autoZero"/>
        <c:auto val="1"/>
        <c:lblAlgn val="ctr"/>
        <c:lblOffset val="100"/>
        <c:noMultiLvlLbl val="1"/>
      </c:catAx>
      <c:valAx>
        <c:axId val="1854854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92664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Massiran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Population'!$BF$1:$BF$67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7.1160083368190814E-3</c:v>
                </c:pt>
                <c:pt idx="2">
                  <c:v>7.0008829939126058E-3</c:v>
                </c:pt>
                <c:pt idx="3">
                  <c:v>6.7701804913564085E-3</c:v>
                </c:pt>
                <c:pt idx="4">
                  <c:v>7.131315084468297E-3</c:v>
                </c:pt>
                <c:pt idx="5">
                  <c:v>7.0703532259642227E-3</c:v>
                </c:pt>
                <c:pt idx="6">
                  <c:v>7.203445603138881E-3</c:v>
                </c:pt>
                <c:pt idx="7">
                  <c:v>7.4987698094684989E-3</c:v>
                </c:pt>
                <c:pt idx="8">
                  <c:v>7.7894278411137817E-3</c:v>
                </c:pt>
                <c:pt idx="9">
                  <c:v>8.1378017728774617E-3</c:v>
                </c:pt>
                <c:pt idx="10">
                  <c:v>8.2471155098861517E-3</c:v>
                </c:pt>
                <c:pt idx="11">
                  <c:v>8.3821365531644015E-3</c:v>
                </c:pt>
                <c:pt idx="12">
                  <c:v>8.5662980547887846E-3</c:v>
                </c:pt>
                <c:pt idx="13">
                  <c:v>8.5738208002168192E-3</c:v>
                </c:pt>
                <c:pt idx="14">
                  <c:v>8.6780457220147766E-3</c:v>
                </c:pt>
                <c:pt idx="15">
                  <c:v>8.8536075136621765E-3</c:v>
                </c:pt>
                <c:pt idx="16">
                  <c:v>8.8532329186105929E-3</c:v>
                </c:pt>
                <c:pt idx="17">
                  <c:v>8.6959404932917782E-3</c:v>
                </c:pt>
                <c:pt idx="18">
                  <c:v>8.8090579992024728E-3</c:v>
                </c:pt>
                <c:pt idx="19">
                  <c:v>9.0275971168151826E-3</c:v>
                </c:pt>
                <c:pt idx="20">
                  <c:v>9.3873992380003133E-3</c:v>
                </c:pt>
                <c:pt idx="21">
                  <c:v>9.7121152300298531E-3</c:v>
                </c:pt>
                <c:pt idx="22">
                  <c:v>9.973882320674813E-3</c:v>
                </c:pt>
                <c:pt idx="23">
                  <c:v>1.016629444453542E-2</c:v>
                </c:pt>
                <c:pt idx="24">
                  <c:v>1.020535250417832E-2</c:v>
                </c:pt>
                <c:pt idx="25">
                  <c:v>1.0886189035768318E-2</c:v>
                </c:pt>
                <c:pt idx="26">
                  <c:v>1.1131624054834971E-2</c:v>
                </c:pt>
                <c:pt idx="27">
                  <c:v>1.1271163332039404E-2</c:v>
                </c:pt>
                <c:pt idx="28">
                  <c:v>1.1679420231198497E-2</c:v>
                </c:pt>
                <c:pt idx="29">
                  <c:v>1.216074159936296E-2</c:v>
                </c:pt>
                <c:pt idx="30">
                  <c:v>1.2679867051070033E-2</c:v>
                </c:pt>
                <c:pt idx="31">
                  <c:v>1.3210356329696969E-2</c:v>
                </c:pt>
                <c:pt idx="32">
                  <c:v>1.3532807033965977E-2</c:v>
                </c:pt>
                <c:pt idx="33">
                  <c:v>1.3874893858251676E-2</c:v>
                </c:pt>
                <c:pt idx="34">
                  <c:v>1.413175148443014E-2</c:v>
                </c:pt>
                <c:pt idx="35">
                  <c:v>1.426670546029008E-2</c:v>
                </c:pt>
                <c:pt idx="36">
                  <c:v>1.4340129408420272E-2</c:v>
                </c:pt>
                <c:pt idx="37">
                  <c:v>1.4392694819979159E-2</c:v>
                </c:pt>
                <c:pt idx="38">
                  <c:v>1.4268863568963851E-2</c:v>
                </c:pt>
                <c:pt idx="39">
                  <c:v>1.4243534721851473E-2</c:v>
                </c:pt>
                <c:pt idx="40">
                  <c:v>1.4033777351935962E-2</c:v>
                </c:pt>
                <c:pt idx="41">
                  <c:v>1.4099165615414674E-2</c:v>
                </c:pt>
                <c:pt idx="42">
                  <c:v>1.412390791540909E-2</c:v>
                </c:pt>
                <c:pt idx="43">
                  <c:v>1.4118749866427862E-2</c:v>
                </c:pt>
                <c:pt idx="44">
                  <c:v>1.3865080122714962E-2</c:v>
                </c:pt>
                <c:pt idx="45">
                  <c:v>1.38311592267981E-2</c:v>
                </c:pt>
                <c:pt idx="46">
                  <c:v>1.384681680489787E-2</c:v>
                </c:pt>
                <c:pt idx="47">
                  <c:v>1.3702146730137648E-2</c:v>
                </c:pt>
                <c:pt idx="48">
                  <c:v>1.3674928399016429E-2</c:v>
                </c:pt>
                <c:pt idx="49">
                  <c:v>1.3963964952212955E-2</c:v>
                </c:pt>
                <c:pt idx="50">
                  <c:v>1.3706581121551176E-2</c:v>
                </c:pt>
                <c:pt idx="51">
                  <c:v>1.4001845626449662E-2</c:v>
                </c:pt>
                <c:pt idx="52">
                  <c:v>1.4405298384947633E-2</c:v>
                </c:pt>
                <c:pt idx="53">
                  <c:v>1.4513307853350747E-2</c:v>
                </c:pt>
                <c:pt idx="54">
                  <c:v>1.4850691784956987E-2</c:v>
                </c:pt>
                <c:pt idx="55">
                  <c:v>1.4795322289282473E-2</c:v>
                </c:pt>
                <c:pt idx="56">
                  <c:v>1.4931469513845953E-2</c:v>
                </c:pt>
                <c:pt idx="57">
                  <c:v>1.4986297794994181E-2</c:v>
                </c:pt>
                <c:pt idx="58">
                  <c:v>1.5137288718167052E-2</c:v>
                </c:pt>
                <c:pt idx="59">
                  <c:v>1.5555547864616997E-2</c:v>
                </c:pt>
                <c:pt idx="60">
                  <c:v>1.5609125819183462E-2</c:v>
                </c:pt>
                <c:pt idx="61">
                  <c:v>1.5630296567816004E-2</c:v>
                </c:pt>
                <c:pt idx="62">
                  <c:v>1.5581256608235002E-2</c:v>
                </c:pt>
                <c:pt idx="63">
                  <c:v>1.5527794610900307E-2</c:v>
                </c:pt>
                <c:pt idx="64">
                  <c:v>1.5560670849763114E-2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95-4FF6-B946-00DD8D3EB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337156"/>
        <c:axId val="1315460883"/>
      </c:lineChart>
      <c:catAx>
        <c:axId val="1179337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5460883"/>
        <c:crosses val="autoZero"/>
        <c:auto val="1"/>
        <c:lblAlgn val="ctr"/>
        <c:lblOffset val="100"/>
        <c:noMultiLvlLbl val="1"/>
      </c:catAx>
      <c:valAx>
        <c:axId val="1315460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93371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Population'!$BP$1</c:f>
              <c:strCache>
                <c:ptCount val="1"/>
                <c:pt idx="0">
                  <c:v>New Ayren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Population'!$BP$2:$BP$67</c:f>
              <c:numCache>
                <c:formatCode>#,###</c:formatCode>
                <c:ptCount val="66"/>
                <c:pt idx="0">
                  <c:v>276067197.87794554</c:v>
                </c:pt>
                <c:pt idx="1">
                  <c:v>273039906.45336241</c:v>
                </c:pt>
                <c:pt idx="2">
                  <c:v>269922380.43654996</c:v>
                </c:pt>
                <c:pt idx="3">
                  <c:v>266766284.59934169</c:v>
                </c:pt>
                <c:pt idx="4">
                  <c:v>263465882.19171301</c:v>
                </c:pt>
                <c:pt idx="5">
                  <c:v>259922299.77839929</c:v>
                </c:pt>
                <c:pt idx="6">
                  <c:v>256085148.36562413</c:v>
                </c:pt>
                <c:pt idx="7">
                  <c:v>252170064.21175572</c:v>
                </c:pt>
                <c:pt idx="8">
                  <c:v>248389439.9310455</c:v>
                </c:pt>
                <c:pt idx="9">
                  <c:v>244674240.01449135</c:v>
                </c:pt>
                <c:pt idx="10">
                  <c:v>241040458.80751324</c:v>
                </c:pt>
                <c:pt idx="11">
                  <c:v>237435375.20211598</c:v>
                </c:pt>
                <c:pt idx="12">
                  <c:v>233788228.71097904</c:v>
                </c:pt>
                <c:pt idx="13">
                  <c:v>230182028.16062737</c:v>
                </c:pt>
                <c:pt idx="14">
                  <c:v>226619991.69371688</c:v>
                </c:pt>
                <c:pt idx="15">
                  <c:v>223111636.4038108</c:v>
                </c:pt>
                <c:pt idx="16">
                  <c:v>219603713.75112718</c:v>
                </c:pt>
                <c:pt idx="17">
                  <c:v>216033794.66290209</c:v>
                </c:pt>
                <c:pt idx="18">
                  <c:v>212435699.71278945</c:v>
                </c:pt>
                <c:pt idx="19">
                  <c:v>208817650.19440669</c:v>
                </c:pt>
                <c:pt idx="20">
                  <c:v>205105361.26999035</c:v>
                </c:pt>
                <c:pt idx="21">
                  <c:v>201712149.92637166</c:v>
                </c:pt>
                <c:pt idx="22">
                  <c:v>198134351.67015663</c:v>
                </c:pt>
                <c:pt idx="23">
                  <c:v>194321574.97903427</c:v>
                </c:pt>
                <c:pt idx="24">
                  <c:v>190739338.14579394</c:v>
                </c:pt>
                <c:pt idx="25">
                  <c:v>186786849.83144936</c:v>
                </c:pt>
                <c:pt idx="26">
                  <c:v>182626607.10299546</c:v>
                </c:pt>
                <c:pt idx="27">
                  <c:v>178481524.87664983</c:v>
                </c:pt>
                <c:pt idx="28">
                  <c:v>174418972.2290116</c:v>
                </c:pt>
                <c:pt idx="29">
                  <c:v>170443009.46760285</c:v>
                </c:pt>
                <c:pt idx="30">
                  <c:v>166548450.45075437</c:v>
                </c:pt>
                <c:pt idx="31">
                  <c:v>162771998.78236696</c:v>
                </c:pt>
                <c:pt idx="32">
                  <c:v>159089846.83563313</c:v>
                </c:pt>
                <c:pt idx="33">
                  <c:v>155508044.16763845</c:v>
                </c:pt>
                <c:pt idx="34">
                  <c:v>152029163.03585806</c:v>
                </c:pt>
                <c:pt idx="35">
                  <c:v>148622273.91874942</c:v>
                </c:pt>
                <c:pt idx="36">
                  <c:v>145302021.9862259</c:v>
                </c:pt>
                <c:pt idx="37">
                  <c:v>142078620.19590959</c:v>
                </c:pt>
                <c:pt idx="38">
                  <c:v>138942808.88418838</c:v>
                </c:pt>
                <c:pt idx="39">
                  <c:v>135865777.77762634</c:v>
                </c:pt>
                <c:pt idx="40">
                  <c:v>132862672.19189258</c:v>
                </c:pt>
                <c:pt idx="41">
                  <c:v>129928205.84598725</c:v>
                </c:pt>
                <c:pt idx="42">
                  <c:v>127065497.10534208</c:v>
                </c:pt>
                <c:pt idx="43">
                  <c:v>124285209.28680275</c:v>
                </c:pt>
                <c:pt idx="44">
                  <c:v>121592389.44559319</c:v>
                </c:pt>
                <c:pt idx="45">
                  <c:v>118987554.64855686</c:v>
                </c:pt>
                <c:pt idx="46">
                  <c:v>116450861.79181993</c:v>
                </c:pt>
                <c:pt idx="47">
                  <c:v>113984090.29183654</c:v>
                </c:pt>
                <c:pt idx="48">
                  <c:v>111589365.16310756</c:v>
                </c:pt>
                <c:pt idx="49">
                  <c:v>109253984.19647087</c:v>
                </c:pt>
                <c:pt idx="50">
                  <c:v>106971831.70333277</c:v>
                </c:pt>
                <c:pt idx="51">
                  <c:v>104730300.57391748</c:v>
                </c:pt>
                <c:pt idx="52">
                  <c:v>102531347.66877449</c:v>
                </c:pt>
                <c:pt idx="53">
                  <c:v>100366629.61286131</c:v>
                </c:pt>
                <c:pt idx="54">
                  <c:v>98300355.957318127</c:v>
                </c:pt>
                <c:pt idx="55">
                  <c:v>96283438.834950835</c:v>
                </c:pt>
                <c:pt idx="56">
                  <c:v>94268635.139781266</c:v>
                </c:pt>
                <c:pt idx="57">
                  <c:v>92307165.999119774</c:v>
                </c:pt>
                <c:pt idx="58">
                  <c:v>90405002.604925483</c:v>
                </c:pt>
                <c:pt idx="59">
                  <c:v>88547473.690363526</c:v>
                </c:pt>
                <c:pt idx="60">
                  <c:v>86745347.943609133</c:v>
                </c:pt>
                <c:pt idx="61">
                  <c:v>84998123.884585485</c:v>
                </c:pt>
                <c:pt idx="62">
                  <c:v>83302561.934023052</c:v>
                </c:pt>
                <c:pt idx="63">
                  <c:v>81662971.462300241</c:v>
                </c:pt>
                <c:pt idx="64">
                  <c:v>80081828.245090455</c:v>
                </c:pt>
                <c:pt idx="65">
                  <c:v>78646235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A-471B-BA1F-575290BAD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804730"/>
        <c:axId val="1027710042"/>
      </c:lineChart>
      <c:catAx>
        <c:axId val="485804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7710042"/>
        <c:crosses val="autoZero"/>
        <c:auto val="1"/>
        <c:lblAlgn val="ctr"/>
        <c:lblOffset val="100"/>
        <c:noMultiLvlLbl val="1"/>
      </c:catAx>
      <c:valAx>
        <c:axId val="1027710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58047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Population'!$BQ$1:$BQ$67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1.1087358854996622E-2</c:v>
                </c:pt>
                <c:pt idx="2">
                  <c:v>1.154971296478053E-2</c:v>
                </c:pt>
                <c:pt idx="3">
                  <c:v>1.1830939737937406E-2</c:v>
                </c:pt>
                <c:pt idx="4">
                  <c:v>1.2526868299505747E-2</c:v>
                </c:pt>
                <c:pt idx="5">
                  <c:v>1.3633237380305006E-2</c:v>
                </c:pt>
                <c:pt idx="6">
                  <c:v>1.4983888902829647E-2</c:v>
                </c:pt>
                <c:pt idx="7">
                  <c:v>1.5525570674323891E-2</c:v>
                </c:pt>
                <c:pt idx="8">
                  <c:v>1.5220551573205954E-2</c:v>
                </c:pt>
                <c:pt idx="9">
                  <c:v>1.5184270793419496E-2</c:v>
                </c:pt>
                <c:pt idx="10">
                  <c:v>1.5075399478391829E-2</c:v>
                </c:pt>
                <c:pt idx="11">
                  <c:v>1.5183430869677444E-2</c:v>
                </c:pt>
                <c:pt idx="12">
                  <c:v>1.5600214395934054E-2</c:v>
                </c:pt>
                <c:pt idx="13">
                  <c:v>1.5666733754883647E-2</c:v>
                </c:pt>
                <c:pt idx="14">
                  <c:v>1.5718103421893472E-2</c:v>
                </c:pt>
                <c:pt idx="15">
                  <c:v>1.5724662982419688E-2</c:v>
                </c:pt>
                <c:pt idx="16">
                  <c:v>1.5973876728965882E-2</c:v>
                </c:pt>
                <c:pt idx="17">
                  <c:v>1.6524817766570169E-2</c:v>
                </c:pt>
                <c:pt idx="18">
                  <c:v>1.6937336591623831E-2</c:v>
                </c:pt>
                <c:pt idx="19">
                  <c:v>1.7326358739380498E-2</c:v>
                </c:pt>
                <c:pt idx="20">
                  <c:v>1.809942412733748E-2</c:v>
                </c:pt>
                <c:pt idx="21">
                  <c:v>1.6822047382159529E-2</c:v>
                </c:pt>
                <c:pt idx="22">
                  <c:v>1.8057435402070821E-2</c:v>
                </c:pt>
                <c:pt idx="23">
                  <c:v>1.9620964329533253E-2</c:v>
                </c:pt>
                <c:pt idx="24">
                  <c:v>1.8780797228635678E-2</c:v>
                </c:pt>
                <c:pt idx="25">
                  <c:v>2.1160420650121716E-2</c:v>
                </c:pt>
                <c:pt idx="26">
                  <c:v>2.2780047192727308E-2</c:v>
                </c:pt>
                <c:pt idx="27">
                  <c:v>2.322415291560475E-2</c:v>
                </c:pt>
                <c:pt idx="28">
                  <c:v>2.3291919426655674E-2</c:v>
                </c:pt>
                <c:pt idx="29">
                  <c:v>2.332722693543194E-2</c:v>
                </c:pt>
                <c:pt idx="30">
                  <c:v>2.3383940266679525E-2</c:v>
                </c:pt>
                <c:pt idx="31">
                  <c:v>2.3200868064762716E-2</c:v>
                </c:pt>
                <c:pt idx="32">
                  <c:v>2.3145109634420111E-2</c:v>
                </c:pt>
                <c:pt idx="33">
                  <c:v>2.3032909243803985E-2</c:v>
                </c:pt>
                <c:pt idx="34">
                  <c:v>2.2882985489828991E-2</c:v>
                </c:pt>
                <c:pt idx="35">
                  <c:v>2.2923139495033978E-2</c:v>
                </c:pt>
                <c:pt idx="36">
                  <c:v>2.2850693246638139E-2</c:v>
                </c:pt>
                <c:pt idx="37">
                  <c:v>2.2687451397484182E-2</c:v>
                </c:pt>
                <c:pt idx="38">
                  <c:v>2.2569079586802994E-2</c:v>
                </c:pt>
                <c:pt idx="39">
                  <c:v>2.2647580258203605E-2</c:v>
                </c:pt>
                <c:pt idx="40">
                  <c:v>2.2603079828143101E-2</c:v>
                </c:pt>
                <c:pt idx="41">
                  <c:v>2.2585291059770012E-2</c:v>
                </c:pt>
                <c:pt idx="42">
                  <c:v>2.2529394728388597E-2</c:v>
                </c:pt>
                <c:pt idx="43">
                  <c:v>2.2370222768209529E-2</c:v>
                </c:pt>
                <c:pt idx="44">
                  <c:v>2.2146286075038185E-2</c:v>
                </c:pt>
                <c:pt idx="45">
                  <c:v>2.1891657532840371E-2</c:v>
                </c:pt>
                <c:pt idx="46">
                  <c:v>2.1783375560344008E-2</c:v>
                </c:pt>
                <c:pt idx="47">
                  <c:v>2.1641366735196496E-2</c:v>
                </c:pt>
                <c:pt idx="48">
                  <c:v>2.1460155501634697E-2</c:v>
                </c:pt>
                <c:pt idx="49">
                  <c:v>2.1375705278051774E-2</c:v>
                </c:pt>
                <c:pt idx="50">
                  <c:v>2.1334144295736154E-2</c:v>
                </c:pt>
                <c:pt idx="51">
                  <c:v>2.1402890253649571E-2</c:v>
                </c:pt>
                <c:pt idx="52">
                  <c:v>2.1446640029024754E-2</c:v>
                </c:pt>
                <c:pt idx="53">
                  <c:v>2.1568105497444999E-2</c:v>
                </c:pt>
                <c:pt idx="54">
                  <c:v>2.1020001763171148E-2</c:v>
                </c:pt>
                <c:pt idx="55">
                  <c:v>2.0947705511689233E-2</c:v>
                </c:pt>
                <c:pt idx="56">
                  <c:v>2.1373001658314274E-2</c:v>
                </c:pt>
                <c:pt idx="57">
                  <c:v>2.1249370180861118E-2</c:v>
                </c:pt>
                <c:pt idx="58">
                  <c:v>2.1040466117863432E-2</c:v>
                </c:pt>
                <c:pt idx="59">
                  <c:v>2.0977774262170835E-2</c:v>
                </c:pt>
                <c:pt idx="60">
                  <c:v>2.0774897899146216E-2</c:v>
                </c:pt>
                <c:pt idx="61">
                  <c:v>2.0556030876588673E-2</c:v>
                </c:pt>
                <c:pt idx="62">
                  <c:v>2.0354259355256615E-2</c:v>
                </c:pt>
                <c:pt idx="63">
                  <c:v>2.0077526476975301E-2</c:v>
                </c:pt>
                <c:pt idx="64">
                  <c:v>1.9744094907157925E-2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8-406E-BF42-997F422CE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2752282"/>
        <c:axId val="957838333"/>
      </c:lineChart>
      <c:catAx>
        <c:axId val="332752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7838333"/>
        <c:crosses val="autoZero"/>
        <c:auto val="1"/>
        <c:lblAlgn val="ctr"/>
        <c:lblOffset val="100"/>
        <c:noMultiLvlLbl val="1"/>
      </c:catAx>
      <c:valAx>
        <c:axId val="95783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27522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'GlobalContinent Population'!$CA$1</c:f>
              <c:strCache>
                <c:ptCount val="1"/>
                <c:pt idx="0">
                  <c:v>Quian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'GlobalContinent Population'!$CA$2:$CA$67</c:f>
              <c:numCache>
                <c:formatCode>#,###</c:formatCode>
                <c:ptCount val="66"/>
                <c:pt idx="0">
                  <c:v>1168914262.0637243</c:v>
                </c:pt>
                <c:pt idx="1">
                  <c:v>1155157682.6777599</c:v>
                </c:pt>
                <c:pt idx="2">
                  <c:v>1140866686.807054</c:v>
                </c:pt>
                <c:pt idx="3">
                  <c:v>1126165173.0028324</c:v>
                </c:pt>
                <c:pt idx="4">
                  <c:v>1111058951.9433413</c:v>
                </c:pt>
                <c:pt idx="5">
                  <c:v>1095714280.398912</c:v>
                </c:pt>
                <c:pt idx="6">
                  <c:v>1080073457.8163221</c:v>
                </c:pt>
                <c:pt idx="7">
                  <c:v>1064010037.7980114</c:v>
                </c:pt>
                <c:pt idx="8">
                  <c:v>1047678982.8420441</c:v>
                </c:pt>
                <c:pt idx="9">
                  <c:v>1031096691.3350489</c:v>
                </c:pt>
                <c:pt idx="10">
                  <c:v>1014654354.3300236</c:v>
                </c:pt>
                <c:pt idx="11">
                  <c:v>998330821.69148839</c:v>
                </c:pt>
                <c:pt idx="12">
                  <c:v>981983731.84573662</c:v>
                </c:pt>
                <c:pt idx="13">
                  <c:v>965571034.23436725</c:v>
                </c:pt>
                <c:pt idx="14">
                  <c:v>949015189.23627782</c:v>
                </c:pt>
                <c:pt idx="15">
                  <c:v>932399358.35134745</c:v>
                </c:pt>
                <c:pt idx="16">
                  <c:v>915364286.08160925</c:v>
                </c:pt>
                <c:pt idx="17">
                  <c:v>898240362.53366184</c:v>
                </c:pt>
                <c:pt idx="18">
                  <c:v>881041290.80491781</c:v>
                </c:pt>
                <c:pt idx="19">
                  <c:v>863865868.56898439</c:v>
                </c:pt>
                <c:pt idx="20">
                  <c:v>846699883.62086678</c:v>
                </c:pt>
                <c:pt idx="21">
                  <c:v>829485544.88888073</c:v>
                </c:pt>
                <c:pt idx="22">
                  <c:v>812359659.17955565</c:v>
                </c:pt>
                <c:pt idx="23">
                  <c:v>795240677.07002354</c:v>
                </c:pt>
                <c:pt idx="24">
                  <c:v>778292239.89454734</c:v>
                </c:pt>
                <c:pt idx="25">
                  <c:v>761681767.41373563</c:v>
                </c:pt>
                <c:pt idx="26">
                  <c:v>745866437.08280599</c:v>
                </c:pt>
                <c:pt idx="27">
                  <c:v>730347279.68738222</c:v>
                </c:pt>
                <c:pt idx="28">
                  <c:v>715023634.87974</c:v>
                </c:pt>
                <c:pt idx="29">
                  <c:v>699862456.99390078</c:v>
                </c:pt>
                <c:pt idx="30">
                  <c:v>684757793.70881557</c:v>
                </c:pt>
                <c:pt idx="31">
                  <c:v>669553871.83517051</c:v>
                </c:pt>
                <c:pt idx="32">
                  <c:v>654422837.86672258</c:v>
                </c:pt>
                <c:pt idx="33">
                  <c:v>639486918.62516594</c:v>
                </c:pt>
                <c:pt idx="34">
                  <c:v>624906081.26710272</c:v>
                </c:pt>
                <c:pt idx="35">
                  <c:v>610815087.25856304</c:v>
                </c:pt>
                <c:pt idx="36">
                  <c:v>597238825.20787299</c:v>
                </c:pt>
                <c:pt idx="37">
                  <c:v>584141998.73084784</c:v>
                </c:pt>
                <c:pt idx="38">
                  <c:v>571386397.0963254</c:v>
                </c:pt>
                <c:pt idx="39">
                  <c:v>558723491.32452321</c:v>
                </c:pt>
                <c:pt idx="40">
                  <c:v>546075971.06305826</c:v>
                </c:pt>
                <c:pt idx="41">
                  <c:v>533658083.13766265</c:v>
                </c:pt>
                <c:pt idx="42">
                  <c:v>521458650.37545574</c:v>
                </c:pt>
                <c:pt idx="43">
                  <c:v>509540750.1393913</c:v>
                </c:pt>
                <c:pt idx="44">
                  <c:v>498571706.78602636</c:v>
                </c:pt>
                <c:pt idx="45">
                  <c:v>487793929.03317738</c:v>
                </c:pt>
                <c:pt idx="46">
                  <c:v>476927686.62732446</c:v>
                </c:pt>
                <c:pt idx="47">
                  <c:v>466309072.18046707</c:v>
                </c:pt>
                <c:pt idx="48">
                  <c:v>455793014.31201351</c:v>
                </c:pt>
                <c:pt idx="49">
                  <c:v>445843719.0426228</c:v>
                </c:pt>
                <c:pt idx="50">
                  <c:v>435955365.38357848</c:v>
                </c:pt>
                <c:pt idx="51">
                  <c:v>426251616.14420021</c:v>
                </c:pt>
                <c:pt idx="52">
                  <c:v>416738068.24911213</c:v>
                </c:pt>
                <c:pt idx="53">
                  <c:v>407607133.4130013</c:v>
                </c:pt>
                <c:pt idx="54">
                  <c:v>398729527.5925898</c:v>
                </c:pt>
                <c:pt idx="55">
                  <c:v>390122302.27041376</c:v>
                </c:pt>
                <c:pt idx="56">
                  <c:v>381812948.62881517</c:v>
                </c:pt>
                <c:pt idx="57">
                  <c:v>373721797.37425673</c:v>
                </c:pt>
                <c:pt idx="58">
                  <c:v>365896609.79155958</c:v>
                </c:pt>
                <c:pt idx="59">
                  <c:v>358257393.82164431</c:v>
                </c:pt>
                <c:pt idx="60">
                  <c:v>350818646.90554982</c:v>
                </c:pt>
                <c:pt idx="61">
                  <c:v>343603105.38695586</c:v>
                </c:pt>
                <c:pt idx="62">
                  <c:v>336637537.19388396</c:v>
                </c:pt>
                <c:pt idx="63">
                  <c:v>329920526.48687309</c:v>
                </c:pt>
                <c:pt idx="64">
                  <c:v>323476014.01068568</c:v>
                </c:pt>
                <c:pt idx="65">
                  <c:v>317248432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8-4B53-9DAC-051D03455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332641"/>
        <c:axId val="157860800"/>
      </c:lineChart>
      <c:catAx>
        <c:axId val="1512332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860800"/>
        <c:crosses val="autoZero"/>
        <c:auto val="1"/>
        <c:lblAlgn val="ctr"/>
        <c:lblOffset val="100"/>
        <c:noMultiLvlLbl val="1"/>
      </c:catAx>
      <c:valAx>
        <c:axId val="157860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23326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Population'!$CB$1:$CB$67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1.1908832527586536E-2</c:v>
                </c:pt>
                <c:pt idx="2">
                  <c:v>1.2526438045712495E-2</c:v>
                </c:pt>
                <c:pt idx="3">
                  <c:v>1.3054491611582323E-2</c:v>
                </c:pt>
                <c:pt idx="4">
                  <c:v>1.359623720511772E-2</c:v>
                </c:pt>
                <c:pt idx="5">
                  <c:v>1.400426353742769E-2</c:v>
                </c:pt>
                <c:pt idx="6">
                  <c:v>1.4481258167580812E-2</c:v>
                </c:pt>
                <c:pt idx="7">
                  <c:v>1.5097056839383031E-2</c:v>
                </c:pt>
                <c:pt idx="8">
                  <c:v>1.5587842481736124E-2</c:v>
                </c:pt>
                <c:pt idx="9">
                  <c:v>1.6082188650537413E-2</c:v>
                </c:pt>
                <c:pt idx="10">
                  <c:v>1.6204865168968938E-2</c:v>
                </c:pt>
                <c:pt idx="11">
                  <c:v>1.635082508108688E-2</c:v>
                </c:pt>
                <c:pt idx="12">
                  <c:v>1.6647006783937015E-2</c:v>
                </c:pt>
                <c:pt idx="13">
                  <c:v>1.6997918360696824E-2</c:v>
                </c:pt>
                <c:pt idx="14">
                  <c:v>1.7445289797113562E-2</c:v>
                </c:pt>
                <c:pt idx="15">
                  <c:v>1.7820508708103575E-2</c:v>
                </c:pt>
                <c:pt idx="16">
                  <c:v>1.8610156119002699E-2</c:v>
                </c:pt>
                <c:pt idx="17">
                  <c:v>1.906385446724532E-2</c:v>
                </c:pt>
                <c:pt idx="18">
                  <c:v>1.9521300429666568E-2</c:v>
                </c:pt>
                <c:pt idx="19">
                  <c:v>1.9882047503954454E-2</c:v>
                </c:pt>
                <c:pt idx="20">
                  <c:v>2.027398996998582E-2</c:v>
                </c:pt>
                <c:pt idx="21">
                  <c:v>2.0753030403070024E-2</c:v>
                </c:pt>
                <c:pt idx="22">
                  <c:v>2.1081654555103586E-2</c:v>
                </c:pt>
                <c:pt idx="23">
                  <c:v>2.1526793841337589E-2</c:v>
                </c:pt>
                <c:pt idx="24">
                  <c:v>2.1776443740172173E-2</c:v>
                </c:pt>
                <c:pt idx="25">
                  <c:v>2.1807627793444508E-2</c:v>
                </c:pt>
                <c:pt idx="26">
                  <c:v>2.1203971039085407E-2</c:v>
                </c:pt>
                <c:pt idx="27">
                  <c:v>2.1249011021259076E-2</c:v>
                </c:pt>
                <c:pt idx="28">
                  <c:v>2.1430962642541893E-2</c:v>
                </c:pt>
                <c:pt idx="29">
                  <c:v>2.1663082130395448E-2</c:v>
                </c:pt>
                <c:pt idx="30">
                  <c:v>2.2058402874503485E-2</c:v>
                </c:pt>
                <c:pt idx="31">
                  <c:v>2.2707540816652824E-2</c:v>
                </c:pt>
                <c:pt idx="32">
                  <c:v>2.3121188768062913E-2</c:v>
                </c:pt>
                <c:pt idx="33">
                  <c:v>2.3356098157046597E-2</c:v>
                </c:pt>
                <c:pt idx="34">
                  <c:v>2.3332845999030939E-2</c:v>
                </c:pt>
                <c:pt idx="35">
                  <c:v>2.3069164960843287E-2</c:v>
                </c:pt>
                <c:pt idx="36">
                  <c:v>2.2731713809738919E-2</c:v>
                </c:pt>
                <c:pt idx="37">
                  <c:v>2.2420621193956831E-2</c:v>
                </c:pt>
                <c:pt idx="38">
                  <c:v>2.2323950481397396E-2</c:v>
                </c:pt>
                <c:pt idx="39">
                  <c:v>2.2663993851024952E-2</c:v>
                </c:pt>
                <c:pt idx="40">
                  <c:v>2.3160733911883623E-2</c:v>
                </c:pt>
                <c:pt idx="41">
                  <c:v>2.3269371003216462E-2</c:v>
                </c:pt>
                <c:pt idx="42">
                  <c:v>2.3394822875070137E-2</c:v>
                </c:pt>
                <c:pt idx="43">
                  <c:v>2.3389493838920916E-2</c:v>
                </c:pt>
                <c:pt idx="44">
                  <c:v>2.2000934276987693E-2</c:v>
                </c:pt>
                <c:pt idx="45">
                  <c:v>2.2094940324925469E-2</c:v>
                </c:pt>
                <c:pt idx="46">
                  <c:v>2.2783836440059501E-2</c:v>
                </c:pt>
                <c:pt idx="47">
                  <c:v>2.2771623115125379E-2</c:v>
                </c:pt>
                <c:pt idx="48">
                  <c:v>2.3072003164258208E-2</c:v>
                </c:pt>
                <c:pt idx="49">
                  <c:v>2.2315656460867504E-2</c:v>
                </c:pt>
                <c:pt idx="50">
                  <c:v>2.26820322542515E-2</c:v>
                </c:pt>
                <c:pt idx="51">
                  <c:v>2.276530779438854E-2</c:v>
                </c:pt>
                <c:pt idx="52">
                  <c:v>2.2828602952109464E-2</c:v>
                </c:pt>
                <c:pt idx="53">
                  <c:v>2.2401312655289225E-2</c:v>
                </c:pt>
                <c:pt idx="54">
                  <c:v>2.2264731368182949E-2</c:v>
                </c:pt>
                <c:pt idx="55">
                  <c:v>2.2062889694037361E-2</c:v>
                </c:pt>
                <c:pt idx="56">
                  <c:v>2.1762891152433485E-2</c:v>
                </c:pt>
                <c:pt idx="57">
                  <c:v>2.1650198921781678E-2</c:v>
                </c:pt>
                <c:pt idx="58">
                  <c:v>2.1386335301534852E-2</c:v>
                </c:pt>
                <c:pt idx="59">
                  <c:v>2.1323261157084161E-2</c:v>
                </c:pt>
                <c:pt idx="60">
                  <c:v>2.1203966726709371E-2</c:v>
                </c:pt>
                <c:pt idx="61">
                  <c:v>2.099964000752564E-2</c:v>
                </c:pt>
                <c:pt idx="62">
                  <c:v>2.0691596816964988E-2</c:v>
                </c:pt>
                <c:pt idx="63">
                  <c:v>2.0359481049985903E-2</c:v>
                </c:pt>
                <c:pt idx="64">
                  <c:v>1.9922690391425808E-2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C2-424D-BD88-B5F8A9916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769027"/>
        <c:axId val="1217522225"/>
      </c:lineChart>
      <c:catAx>
        <c:axId val="609769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522225"/>
        <c:crosses val="autoZero"/>
        <c:auto val="1"/>
        <c:lblAlgn val="ctr"/>
        <c:lblOffset val="100"/>
        <c:noMultiLvlLbl val="1"/>
      </c:catAx>
      <c:valAx>
        <c:axId val="1217522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97690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Population'!$BR$1:$BR$67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4.0516167540889297E-2</c:v>
                </c:pt>
                <c:pt idx="2">
                  <c:v>4.0456446930867675E-2</c:v>
                </c:pt>
                <c:pt idx="3">
                  <c:v>4.0385470661862516E-2</c:v>
                </c:pt>
                <c:pt idx="4">
                  <c:v>4.0303096140541936E-2</c:v>
                </c:pt>
                <c:pt idx="5">
                  <c:v>4.0201747612353969E-2</c:v>
                </c:pt>
                <c:pt idx="6">
                  <c:v>4.0058326960948749E-2</c:v>
                </c:pt>
                <c:pt idx="7">
                  <c:v>3.9875632777411685E-2</c:v>
                </c:pt>
                <c:pt idx="8">
                  <c:v>3.9691728358230434E-2</c:v>
                </c:pt>
                <c:pt idx="9">
                  <c:v>3.9545992076480331E-2</c:v>
                </c:pt>
                <c:pt idx="10">
                  <c:v>3.9387604190133964E-2</c:v>
                </c:pt>
                <c:pt idx="11">
                  <c:v>3.9240168455254056E-2</c:v>
                </c:pt>
                <c:pt idx="12">
                  <c:v>3.9087667588561831E-2</c:v>
                </c:pt>
                <c:pt idx="13">
                  <c:v>3.8923481516450566E-2</c:v>
                </c:pt>
                <c:pt idx="14">
                  <c:v>3.8761701003824048E-2</c:v>
                </c:pt>
                <c:pt idx="15">
                  <c:v>3.8606827072064955E-2</c:v>
                </c:pt>
                <c:pt idx="16">
                  <c:v>3.8462508244816784E-2</c:v>
                </c:pt>
                <c:pt idx="17">
                  <c:v>3.8307516983283392E-2</c:v>
                </c:pt>
                <c:pt idx="18">
                  <c:v>3.8135922519600525E-2</c:v>
                </c:pt>
                <c:pt idx="19">
                  <c:v>3.7952522786580831E-2</c:v>
                </c:pt>
                <c:pt idx="20">
                  <c:v>3.7766342418003716E-2</c:v>
                </c:pt>
                <c:pt idx="21">
                  <c:v>3.7568122362890706E-2</c:v>
                </c:pt>
                <c:pt idx="22">
                  <c:v>3.742972930183433E-2</c:v>
                </c:pt>
                <c:pt idx="23">
                  <c:v>3.7249352820853406E-2</c:v>
                </c:pt>
                <c:pt idx="24">
                  <c:v>3.7006305154028037E-2</c:v>
                </c:pt>
                <c:pt idx="25">
                  <c:v>3.6813909322145448E-2</c:v>
                </c:pt>
                <c:pt idx="26">
                  <c:v>3.6558842207757507E-2</c:v>
                </c:pt>
                <c:pt idx="27">
                  <c:v>3.6252785582735529E-2</c:v>
                </c:pt>
                <c:pt idx="28">
                  <c:v>3.5953639538545627E-2</c:v>
                </c:pt>
                <c:pt idx="29">
                  <c:v>3.5667888441129503E-2</c:v>
                </c:pt>
                <c:pt idx="30">
                  <c:v>3.5385872075314455E-2</c:v>
                </c:pt>
                <c:pt idx="31">
                  <c:v>3.5114925272631277E-2</c:v>
                </c:pt>
                <c:pt idx="32">
                  <c:v>3.4862275862382393E-2</c:v>
                </c:pt>
                <c:pt idx="33">
                  <c:v>3.4619179057176659E-2</c:v>
                </c:pt>
                <c:pt idx="34">
                  <c:v>3.4393708056789589E-2</c:v>
                </c:pt>
                <c:pt idx="35">
                  <c:v>3.4191749672676887E-2</c:v>
                </c:pt>
                <c:pt idx="36">
                  <c:v>3.3993840650148911E-2</c:v>
                </c:pt>
                <c:pt idx="37">
                  <c:v>3.3801457165321222E-2</c:v>
                </c:pt>
                <c:pt idx="38">
                  <c:v>3.3616382142782064E-2</c:v>
                </c:pt>
                <c:pt idx="39">
                  <c:v>3.3434640146531004E-2</c:v>
                </c:pt>
                <c:pt idx="40">
                  <c:v>3.3253774182452386E-2</c:v>
                </c:pt>
                <c:pt idx="41">
                  <c:v>3.3071823824140423E-2</c:v>
                </c:pt>
                <c:pt idx="42">
                  <c:v>3.288983431202095E-2</c:v>
                </c:pt>
                <c:pt idx="43">
                  <c:v>3.2739355827919009E-2</c:v>
                </c:pt>
                <c:pt idx="44">
                  <c:v>3.2587519289748144E-2</c:v>
                </c:pt>
                <c:pt idx="45">
                  <c:v>3.2443347444505777E-2</c:v>
                </c:pt>
                <c:pt idx="46">
                  <c:v>3.2331555324203773E-2</c:v>
                </c:pt>
                <c:pt idx="47">
                  <c:v>3.2208360990620168E-2</c:v>
                </c:pt>
                <c:pt idx="48">
                  <c:v>3.2096578846247864E-2</c:v>
                </c:pt>
                <c:pt idx="49">
                  <c:v>3.199739749375935E-2</c:v>
                </c:pt>
                <c:pt idx="50">
                  <c:v>3.1905396436704564E-2</c:v>
                </c:pt>
                <c:pt idx="51">
                  <c:v>3.1846359733904678E-2</c:v>
                </c:pt>
                <c:pt idx="52">
                  <c:v>3.1787890384968813E-2</c:v>
                </c:pt>
                <c:pt idx="53">
                  <c:v>3.1738222946415054E-2</c:v>
                </c:pt>
                <c:pt idx="54">
                  <c:v>3.1688461335125817E-2</c:v>
                </c:pt>
                <c:pt idx="55">
                  <c:v>3.1667891911600243E-2</c:v>
                </c:pt>
                <c:pt idx="56">
                  <c:v>3.1635976415771913E-2</c:v>
                </c:pt>
                <c:pt idx="57">
                  <c:v>3.1601037767609905E-2</c:v>
                </c:pt>
                <c:pt idx="58">
                  <c:v>3.1569799330541617E-2</c:v>
                </c:pt>
                <c:pt idx="59">
                  <c:v>3.154668329204055E-2</c:v>
                </c:pt>
                <c:pt idx="60">
                  <c:v>3.1528333789918962E-2</c:v>
                </c:pt>
                <c:pt idx="61">
                  <c:v>3.1509084727901419E-2</c:v>
                </c:pt>
                <c:pt idx="62">
                  <c:v>3.1492785954935862E-2</c:v>
                </c:pt>
                <c:pt idx="63">
                  <c:v>3.146826360141685E-2</c:v>
                </c:pt>
                <c:pt idx="64">
                  <c:v>3.1446212196866725E-2</c:v>
                </c:pt>
                <c:pt idx="65">
                  <c:v>3.1425048035980722E-2</c:v>
                </c:pt>
                <c:pt idx="66">
                  <c:v>3.1440172087422433E-2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DF-416E-AE7C-7F6F2E63C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395826"/>
        <c:axId val="33620436"/>
      </c:lineChart>
      <c:catAx>
        <c:axId val="17039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20436"/>
        <c:crosses val="autoZero"/>
        <c:auto val="1"/>
        <c:lblAlgn val="ctr"/>
        <c:lblOffset val="100"/>
        <c:noMultiLvlLbl val="1"/>
      </c:catAx>
      <c:valAx>
        <c:axId val="33620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3958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Population'!$CC$1:$CC$67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0.17155216717796201</c:v>
                </c:pt>
                <c:pt idx="2">
                  <c:v>0.17116023841745409</c:v>
                </c:pt>
                <c:pt idx="3">
                  <c:v>0.17069513848620338</c:v>
                </c:pt>
                <c:pt idx="4">
                  <c:v>0.17014122795101971</c:v>
                </c:pt>
                <c:pt idx="5">
                  <c:v>0.16953432906341467</c:v>
                </c:pt>
                <c:pt idx="6">
                  <c:v>0.16886769983730326</c:v>
                </c:pt>
                <c:pt idx="7">
                  <c:v>0.16818082911634508</c:v>
                </c:pt>
                <c:pt idx="8">
                  <c:v>0.16747585611607407</c:v>
                </c:pt>
                <c:pt idx="9">
                  <c:v>0.1668005884858394</c:v>
                </c:pt>
                <c:pt idx="10">
                  <c:v>0.16598571372963611</c:v>
                </c:pt>
                <c:pt idx="11">
                  <c:v>0.16518060073708307</c:v>
                </c:pt>
                <c:pt idx="12">
                  <c:v>0.16434966048540575</c:v>
                </c:pt>
                <c:pt idx="13">
                  <c:v>0.16349080467693242</c:v>
                </c:pt>
                <c:pt idx="14">
                  <c:v>0.16259816644255121</c:v>
                </c:pt>
                <c:pt idx="15">
                  <c:v>0.16167357974810034</c:v>
                </c:pt>
                <c:pt idx="16">
                  <c:v>0.16073755087853431</c:v>
                </c:pt>
                <c:pt idx="17">
                  <c:v>0.15967550063703029</c:v>
                </c:pt>
                <c:pt idx="18">
                  <c:v>0.15856419558344226</c:v>
                </c:pt>
                <c:pt idx="19">
                  <c:v>0.15740169712717619</c:v>
                </c:pt>
                <c:pt idx="20">
                  <c:v>0.15623705259219675</c:v>
                </c:pt>
                <c:pt idx="21">
                  <c:v>0.15508577950160152</c:v>
                </c:pt>
                <c:pt idx="22">
                  <c:v>0.15391943130995422</c:v>
                </c:pt>
                <c:pt idx="23">
                  <c:v>0.15272400422811333</c:v>
                </c:pt>
                <c:pt idx="24">
                  <c:v>0.15144442489067053</c:v>
                </c:pt>
                <c:pt idx="25">
                  <c:v>0.15021536838775673</c:v>
                </c:pt>
                <c:pt idx="26">
                  <c:v>0.14908010693757168</c:v>
                </c:pt>
                <c:pt idx="27">
                  <c:v>0.14806022214316414</c:v>
                </c:pt>
                <c:pt idx="28">
                  <c:v>0.14712247023878292</c:v>
                </c:pt>
                <c:pt idx="29">
                  <c:v>0.14621908910330933</c:v>
                </c:pt>
                <c:pt idx="30">
                  <c:v>0.14529926132411267</c:v>
                </c:pt>
                <c:pt idx="31">
                  <c:v>0.14437371642221733</c:v>
                </c:pt>
                <c:pt idx="32">
                  <c:v>0.14340409873477936</c:v>
                </c:pt>
                <c:pt idx="33">
                  <c:v>0.14240746253669367</c:v>
                </c:pt>
                <c:pt idx="34">
                  <c:v>0.14143529682374451</c:v>
                </c:pt>
                <c:pt idx="35">
                  <c:v>0.14054298447054303</c:v>
                </c:pt>
                <c:pt idx="36">
                  <c:v>0.13970954820894393</c:v>
                </c:pt>
                <c:pt idx="37">
                  <c:v>0.13893504227796907</c:v>
                </c:pt>
                <c:pt idx="38">
                  <c:v>0.13821038399660665</c:v>
                </c:pt>
                <c:pt idx="39">
                  <c:v>0.13749613042199366</c:v>
                </c:pt>
                <c:pt idx="40">
                  <c:v>0.13675014499491345</c:v>
                </c:pt>
                <c:pt idx="41">
                  <c:v>0.13592778175882489</c:v>
                </c:pt>
                <c:pt idx="42">
                  <c:v>0.13508941972518207</c:v>
                </c:pt>
                <c:pt idx="43">
                  <c:v>0.13435763990310404</c:v>
                </c:pt>
                <c:pt idx="44">
                  <c:v>0.13360132810142294</c:v>
                </c:pt>
                <c:pt idx="45">
                  <c:v>0.13302917380776536</c:v>
                </c:pt>
                <c:pt idx="46">
                  <c:v>0.1325444198759167</c:v>
                </c:pt>
                <c:pt idx="47">
                  <c:v>0.13191022256902929</c:v>
                </c:pt>
                <c:pt idx="48">
                  <c:v>0.13130714877524419</c:v>
                </c:pt>
                <c:pt idx="49">
                  <c:v>0.13069516286344018</c:v>
                </c:pt>
                <c:pt idx="50">
                  <c:v>0.13019955939811942</c:v>
                </c:pt>
                <c:pt idx="51">
                  <c:v>0.12978735778251374</c:v>
                </c:pt>
                <c:pt idx="52">
                  <c:v>0.12937649921900543</c:v>
                </c:pt>
                <c:pt idx="53">
                  <c:v>0.12899982318653108</c:v>
                </c:pt>
                <c:pt idx="54">
                  <c:v>0.12869260367615459</c:v>
                </c:pt>
                <c:pt idx="55">
                  <c:v>0.128452470581573</c:v>
                </c:pt>
                <c:pt idx="56">
                  <c:v>0.1281829991038225</c:v>
                </c:pt>
                <c:pt idx="57">
                  <c:v>0.12799257559941041</c:v>
                </c:pt>
                <c:pt idx="58">
                  <c:v>0.12781588537413366</c:v>
                </c:pt>
                <c:pt idx="59">
                  <c:v>0.12767904578431805</c:v>
                </c:pt>
                <c:pt idx="60">
                  <c:v>0.12756161440147892</c:v>
                </c:pt>
                <c:pt idx="61">
                  <c:v>0.12743017039554214</c:v>
                </c:pt>
                <c:pt idx="62">
                  <c:v>0.12730891644262604</c:v>
                </c:pt>
                <c:pt idx="63">
                  <c:v>0.12716774265525049</c:v>
                </c:pt>
                <c:pt idx="64">
                  <c:v>0.12704351431539213</c:v>
                </c:pt>
                <c:pt idx="65">
                  <c:v>0.12693577933389111</c:v>
                </c:pt>
                <c:pt idx="66">
                  <c:v>0.12682546464614528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97-483D-9F09-504D93563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594536"/>
        <c:axId val="694017078"/>
      </c:lineChart>
      <c:catAx>
        <c:axId val="767594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4017078"/>
        <c:crosses val="autoZero"/>
        <c:auto val="1"/>
        <c:lblAlgn val="ctr"/>
        <c:lblOffset val="100"/>
        <c:noMultiLvlLbl val="1"/>
      </c:catAx>
      <c:valAx>
        <c:axId val="694017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75945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Massiran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Population'!$BG$1:$BG$67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0.20386688974766215</c:v>
                </c:pt>
                <c:pt idx="2">
                  <c:v>0.20436911238487759</c:v>
                </c:pt>
                <c:pt idx="3">
                  <c:v>0.20493212752549303</c:v>
                </c:pt>
                <c:pt idx="4">
                  <c:v>0.20554216282042456</c:v>
                </c:pt>
                <c:pt idx="5">
                  <c:v>0.20612368635642583</c:v>
                </c:pt>
                <c:pt idx="6">
                  <c:v>0.20672681175603805</c:v>
                </c:pt>
                <c:pt idx="7">
                  <c:v>0.20737363169638623</c:v>
                </c:pt>
                <c:pt idx="8">
                  <c:v>0.20806177293133629</c:v>
                </c:pt>
                <c:pt idx="9">
                  <c:v>0.20882638097854725</c:v>
                </c:pt>
                <c:pt idx="10">
                  <c:v>0.20944376327961012</c:v>
                </c:pt>
                <c:pt idx="11">
                  <c:v>0.21007290699804038</c:v>
                </c:pt>
                <c:pt idx="12">
                  <c:v>0.21066787558804848</c:v>
                </c:pt>
                <c:pt idx="13">
                  <c:v>0.21124603706532569</c:v>
                </c:pt>
                <c:pt idx="14">
                  <c:v>0.21184745733269345</c:v>
                </c:pt>
                <c:pt idx="15">
                  <c:v>0.21247369163901619</c:v>
                </c:pt>
                <c:pt idx="16">
                  <c:v>0.21312112604567737</c:v>
                </c:pt>
                <c:pt idx="17">
                  <c:v>0.21376049860190793</c:v>
                </c:pt>
                <c:pt idx="18">
                  <c:v>0.21445462690485606</c:v>
                </c:pt>
                <c:pt idx="19">
                  <c:v>0.21514290742888978</c:v>
                </c:pt>
                <c:pt idx="20">
                  <c:v>0.21584826534560542</c:v>
                </c:pt>
                <c:pt idx="21">
                  <c:v>0.21656857505709895</c:v>
                </c:pt>
                <c:pt idx="22">
                  <c:v>0.21729014140405026</c:v>
                </c:pt>
                <c:pt idx="23">
                  <c:v>0.21797375454666909</c:v>
                </c:pt>
                <c:pt idx="24">
                  <c:v>0.21857831904597216</c:v>
                </c:pt>
                <c:pt idx="25">
                  <c:v>0.21928775402950718</c:v>
                </c:pt>
                <c:pt idx="26">
                  <c:v>0.21998171580705245</c:v>
                </c:pt>
                <c:pt idx="27">
                  <c:v>0.22065312754423047</c:v>
                </c:pt>
                <c:pt idx="28">
                  <c:v>0.22141891826920046</c:v>
                </c:pt>
                <c:pt idx="29">
                  <c:v>0.22218047628891929</c:v>
                </c:pt>
                <c:pt idx="30">
                  <c:v>0.22285554154336673</c:v>
                </c:pt>
                <c:pt idx="31">
                  <c:v>0.22348671125113084</c:v>
                </c:pt>
                <c:pt idx="32">
                  <c:v>0.22406652092211701</c:v>
                </c:pt>
                <c:pt idx="33">
                  <c:v>0.22461431067900378</c:v>
                </c:pt>
                <c:pt idx="34">
                  <c:v>0.22516707888796803</c:v>
                </c:pt>
                <c:pt idx="35">
                  <c:v>0.22577652938602874</c:v>
                </c:pt>
                <c:pt idx="36">
                  <c:v>0.22638546269400517</c:v>
                </c:pt>
                <c:pt idx="37">
                  <c:v>0.22699294547635193</c:v>
                </c:pt>
                <c:pt idx="38">
                  <c:v>0.22759605162904614</c:v>
                </c:pt>
                <c:pt idx="39">
                  <c:v>0.22821803815447819</c:v>
                </c:pt>
                <c:pt idx="40">
                  <c:v>0.22886427438363022</c:v>
                </c:pt>
                <c:pt idx="41">
                  <c:v>0.22953551003480438</c:v>
                </c:pt>
                <c:pt idx="42">
                  <c:v>0.23018262483065294</c:v>
                </c:pt>
                <c:pt idx="43">
                  <c:v>0.23102860874596245</c:v>
                </c:pt>
                <c:pt idx="44">
                  <c:v>0.23182822682499668</c:v>
                </c:pt>
                <c:pt idx="45">
                  <c:v>0.23268777109657543</c:v>
                </c:pt>
                <c:pt idx="46">
                  <c:v>0.23372960115739594</c:v>
                </c:pt>
                <c:pt idx="47">
                  <c:v>0.23466171295011393</c:v>
                </c:pt>
                <c:pt idx="48">
                  <c:v>0.23567876748750127</c:v>
                </c:pt>
                <c:pt idx="49">
                  <c:v>0.23675496565891008</c:v>
                </c:pt>
                <c:pt idx="50">
                  <c:v>0.23779985629592054</c:v>
                </c:pt>
                <c:pt idx="51">
                  <c:v>0.23914583646625737</c:v>
                </c:pt>
                <c:pt idx="52">
                  <c:v>0.24044905322714108</c:v>
                </c:pt>
                <c:pt idx="53">
                  <c:v>0.24173979328898759</c:v>
                </c:pt>
                <c:pt idx="54">
                  <c:v>0.24303916757032898</c:v>
                </c:pt>
                <c:pt idx="55">
                  <c:v>0.24435789133032113</c:v>
                </c:pt>
                <c:pt idx="56">
                  <c:v>0.24559159445734155</c:v>
                </c:pt>
                <c:pt idx="57">
                  <c:v>0.24687735491394092</c:v>
                </c:pt>
                <c:pt idx="58">
                  <c:v>0.24815518531422107</c:v>
                </c:pt>
                <c:pt idx="59">
                  <c:v>0.24941548455143783</c:v>
                </c:pt>
                <c:pt idx="60">
                  <c:v>0.25060130682822751</c:v>
                </c:pt>
                <c:pt idx="61">
                  <c:v>0.25172218146684777</c:v>
                </c:pt>
                <c:pt idx="62">
                  <c:v>0.25281217566037334</c:v>
                </c:pt>
                <c:pt idx="63">
                  <c:v>0.25380255448084055</c:v>
                </c:pt>
                <c:pt idx="64">
                  <c:v>0.25476098264887587</c:v>
                </c:pt>
                <c:pt idx="65">
                  <c:v>0.25563825841942445</c:v>
                </c:pt>
                <c:pt idx="66">
                  <c:v>0.25642455579193102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B8-485E-9208-97A92E0E9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976049"/>
        <c:axId val="276791991"/>
      </c:lineChart>
      <c:catAx>
        <c:axId val="2133976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6791991"/>
        <c:crosses val="autoZero"/>
        <c:auto val="1"/>
        <c:lblAlgn val="ctr"/>
        <c:lblOffset val="100"/>
        <c:noMultiLvlLbl val="1"/>
      </c:catAx>
      <c:valAx>
        <c:axId val="27679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39760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Mahean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Population'!$AV$1:$AV$67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0.20360702438378855</c:v>
                </c:pt>
                <c:pt idx="2">
                  <c:v>0.2035669430968485</c:v>
                </c:pt>
                <c:pt idx="3">
                  <c:v>0.20353137477287697</c:v>
                </c:pt>
                <c:pt idx="4">
                  <c:v>0.20350194667194949</c:v>
                </c:pt>
                <c:pt idx="5">
                  <c:v>0.20347117183820085</c:v>
                </c:pt>
                <c:pt idx="6">
                  <c:v>0.20351406184762483</c:v>
                </c:pt>
                <c:pt idx="7">
                  <c:v>0.20367000450932687</c:v>
                </c:pt>
                <c:pt idx="8">
                  <c:v>0.203818079883644</c:v>
                </c:pt>
                <c:pt idx="9">
                  <c:v>0.20409753208190162</c:v>
                </c:pt>
                <c:pt idx="10">
                  <c:v>0.20429432562169295</c:v>
                </c:pt>
                <c:pt idx="11">
                  <c:v>0.20436163323659132</c:v>
                </c:pt>
                <c:pt idx="12">
                  <c:v>0.20445543084393383</c:v>
                </c:pt>
                <c:pt idx="13">
                  <c:v>0.2045590572765654</c:v>
                </c:pt>
                <c:pt idx="14">
                  <c:v>0.20468376727652743</c:v>
                </c:pt>
                <c:pt idx="15">
                  <c:v>0.20472395835372176</c:v>
                </c:pt>
                <c:pt idx="16">
                  <c:v>0.20478918101408944</c:v>
                </c:pt>
                <c:pt idx="17">
                  <c:v>0.20484949133609986</c:v>
                </c:pt>
                <c:pt idx="18">
                  <c:v>0.20471483828058551</c:v>
                </c:pt>
                <c:pt idx="19">
                  <c:v>0.20454166856934974</c:v>
                </c:pt>
                <c:pt idx="20">
                  <c:v>0.20428501296137605</c:v>
                </c:pt>
                <c:pt idx="21">
                  <c:v>0.20401121302104339</c:v>
                </c:pt>
                <c:pt idx="22">
                  <c:v>0.20345391907992405</c:v>
                </c:pt>
                <c:pt idx="23">
                  <c:v>0.20272954782345456</c:v>
                </c:pt>
                <c:pt idx="24">
                  <c:v>0.20208747175271713</c:v>
                </c:pt>
                <c:pt idx="25">
                  <c:v>0.20145876390195311</c:v>
                </c:pt>
                <c:pt idx="26">
                  <c:v>0.20087097348145894</c:v>
                </c:pt>
                <c:pt idx="27">
                  <c:v>0.20031396643812399</c:v>
                </c:pt>
                <c:pt idx="28">
                  <c:v>0.19976656479523397</c:v>
                </c:pt>
                <c:pt idx="29">
                  <c:v>0.19905145075571495</c:v>
                </c:pt>
                <c:pt idx="30">
                  <c:v>0.19835462531406595</c:v>
                </c:pt>
                <c:pt idx="31">
                  <c:v>0.19745113876042419</c:v>
                </c:pt>
                <c:pt idx="32">
                  <c:v>0.19652645497359614</c:v>
                </c:pt>
                <c:pt idx="33">
                  <c:v>0.19555315541812843</c:v>
                </c:pt>
                <c:pt idx="34">
                  <c:v>0.19452220909615311</c:v>
                </c:pt>
                <c:pt idx="35">
                  <c:v>0.19349106025611554</c:v>
                </c:pt>
                <c:pt idx="36">
                  <c:v>0.19246457524465749</c:v>
                </c:pt>
                <c:pt idx="37">
                  <c:v>0.19130925632252185</c:v>
                </c:pt>
                <c:pt idx="38">
                  <c:v>0.18995271796425842</c:v>
                </c:pt>
                <c:pt idx="39">
                  <c:v>0.1886244616173654</c:v>
                </c:pt>
                <c:pt idx="40">
                  <c:v>0.18734910730538354</c:v>
                </c:pt>
                <c:pt idx="41">
                  <c:v>0.18607497224346772</c:v>
                </c:pt>
                <c:pt idx="42">
                  <c:v>0.18508364732192276</c:v>
                </c:pt>
                <c:pt idx="43">
                  <c:v>0.18410713770812956</c:v>
                </c:pt>
                <c:pt idx="44">
                  <c:v>0.18300575287919588</c:v>
                </c:pt>
                <c:pt idx="45">
                  <c:v>0.18186210445791842</c:v>
                </c:pt>
                <c:pt idx="46">
                  <c:v>0.1808249474985904</c:v>
                </c:pt>
                <c:pt idx="47">
                  <c:v>0.17989193892780056</c:v>
                </c:pt>
                <c:pt idx="48">
                  <c:v>0.17885763298983118</c:v>
                </c:pt>
                <c:pt idx="49">
                  <c:v>0.17781823465129609</c:v>
                </c:pt>
                <c:pt idx="50">
                  <c:v>0.17671813623429844</c:v>
                </c:pt>
                <c:pt idx="51">
                  <c:v>0.17532928908403528</c:v>
                </c:pt>
                <c:pt idx="52">
                  <c:v>0.17387855272643993</c:v>
                </c:pt>
                <c:pt idx="53">
                  <c:v>0.17244421887616906</c:v>
                </c:pt>
                <c:pt idx="54">
                  <c:v>0.17097962289330743</c:v>
                </c:pt>
                <c:pt idx="55">
                  <c:v>0.16953973573402442</c:v>
                </c:pt>
                <c:pt idx="56">
                  <c:v>0.1679770341269459</c:v>
                </c:pt>
                <c:pt idx="57">
                  <c:v>0.16644146385043432</c:v>
                </c:pt>
                <c:pt idx="58">
                  <c:v>0.1648564734300644</c:v>
                </c:pt>
                <c:pt idx="59">
                  <c:v>0.16325505207890736</c:v>
                </c:pt>
                <c:pt idx="60">
                  <c:v>0.16161185425416238</c:v>
                </c:pt>
                <c:pt idx="61">
                  <c:v>0.15997815906302507</c:v>
                </c:pt>
                <c:pt idx="62">
                  <c:v>0.15843131786220357</c:v>
                </c:pt>
                <c:pt idx="63">
                  <c:v>0.15693399833652372</c:v>
                </c:pt>
                <c:pt idx="64">
                  <c:v>0.15549084913591266</c:v>
                </c:pt>
                <c:pt idx="65">
                  <c:v>0.15406986758850505</c:v>
                </c:pt>
                <c:pt idx="66">
                  <c:v>0.15270985679124086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E3-45BC-B0E6-8E9686868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317613"/>
        <c:axId val="578438184"/>
      </c:lineChart>
      <c:catAx>
        <c:axId val="1043317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8438184"/>
        <c:crosses val="autoZero"/>
        <c:auto val="1"/>
        <c:lblAlgn val="ctr"/>
        <c:lblOffset val="100"/>
        <c:noMultiLvlLbl val="1"/>
      </c:catAx>
      <c:valAx>
        <c:axId val="578438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33176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Ayuman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Population'!$AK$1:$AK$67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0.14597743216967624</c:v>
                </c:pt>
                <c:pt idx="2">
                  <c:v>0.1463410505621042</c:v>
                </c:pt>
                <c:pt idx="3">
                  <c:v>0.14675012853731778</c:v>
                </c:pt>
                <c:pt idx="4">
                  <c:v>0.14721016524920705</c:v>
                </c:pt>
                <c:pt idx="5">
                  <c:v>0.14766627598296739</c:v>
                </c:pt>
                <c:pt idx="6">
                  <c:v>0.14810670958055819</c:v>
                </c:pt>
                <c:pt idx="7">
                  <c:v>0.14859027723153315</c:v>
                </c:pt>
                <c:pt idx="8">
                  <c:v>0.14913849976158397</c:v>
                </c:pt>
                <c:pt idx="9">
                  <c:v>0.14976731601587032</c:v>
                </c:pt>
                <c:pt idx="10">
                  <c:v>0.150408846579803</c:v>
                </c:pt>
                <c:pt idx="11">
                  <c:v>0.15103251543915938</c:v>
                </c:pt>
                <c:pt idx="12">
                  <c:v>0.15165885292517428</c:v>
                </c:pt>
                <c:pt idx="13">
                  <c:v>0.15228396388064444</c:v>
                </c:pt>
                <c:pt idx="14">
                  <c:v>0.15292821170836138</c:v>
                </c:pt>
                <c:pt idx="15">
                  <c:v>0.15362962804568764</c:v>
                </c:pt>
                <c:pt idx="16">
                  <c:v>0.15435293731676286</c:v>
                </c:pt>
                <c:pt idx="17">
                  <c:v>0.1552633463575501</c:v>
                </c:pt>
                <c:pt idx="18">
                  <c:v>0.15639491369039654</c:v>
                </c:pt>
                <c:pt idx="19">
                  <c:v>0.15756042376918233</c:v>
                </c:pt>
                <c:pt idx="20">
                  <c:v>0.15877095924149862</c:v>
                </c:pt>
                <c:pt idx="21">
                  <c:v>0.15987285231272072</c:v>
                </c:pt>
                <c:pt idx="22">
                  <c:v>0.16105343091944663</c:v>
                </c:pt>
                <c:pt idx="23">
                  <c:v>0.16238511417699747</c:v>
                </c:pt>
                <c:pt idx="24">
                  <c:v>0.16387942826481361</c:v>
                </c:pt>
                <c:pt idx="25">
                  <c:v>0.1652521910113347</c:v>
                </c:pt>
                <c:pt idx="26">
                  <c:v>0.16649601883780485</c:v>
                </c:pt>
                <c:pt idx="27">
                  <c:v>0.16776266341501467</c:v>
                </c:pt>
                <c:pt idx="28">
                  <c:v>0.16883582309133194</c:v>
                </c:pt>
                <c:pt idx="29">
                  <c:v>0.16998646383178267</c:v>
                </c:pt>
                <c:pt idx="30">
                  <c:v>0.1712161479231937</c:v>
                </c:pt>
                <c:pt idx="31">
                  <c:v>0.172617238383595</c:v>
                </c:pt>
                <c:pt idx="32">
                  <c:v>0.17412277141261009</c:v>
                </c:pt>
                <c:pt idx="33">
                  <c:v>0.17569567100129346</c:v>
                </c:pt>
                <c:pt idx="34">
                  <c:v>0.17733523430099599</c:v>
                </c:pt>
                <c:pt idx="35">
                  <c:v>0.17897029772283199</c:v>
                </c:pt>
                <c:pt idx="36">
                  <c:v>0.1805181736686611</c:v>
                </c:pt>
                <c:pt idx="37">
                  <c:v>0.18205402795484163</c:v>
                </c:pt>
                <c:pt idx="38">
                  <c:v>0.18368601487610289</c:v>
                </c:pt>
                <c:pt idx="39">
                  <c:v>0.18525763957918417</c:v>
                </c:pt>
                <c:pt idx="40">
                  <c:v>0.18682794304993389</c:v>
                </c:pt>
                <c:pt idx="41">
                  <c:v>0.18845112695219082</c:v>
                </c:pt>
                <c:pt idx="42">
                  <c:v>0.19002083310986509</c:v>
                </c:pt>
                <c:pt idx="43">
                  <c:v>0.19165778892166824</c:v>
                </c:pt>
                <c:pt idx="44">
                  <c:v>0.19316383634140205</c:v>
                </c:pt>
                <c:pt idx="45">
                  <c:v>0.19463540837422483</c:v>
                </c:pt>
                <c:pt idx="46">
                  <c:v>0.19622957386813919</c:v>
                </c:pt>
                <c:pt idx="47">
                  <c:v>0.19757515123680802</c:v>
                </c:pt>
                <c:pt idx="48">
                  <c:v>0.19899422597623415</c:v>
                </c:pt>
                <c:pt idx="49">
                  <c:v>0.20027366298395147</c:v>
                </c:pt>
                <c:pt idx="50">
                  <c:v>0.20137192755380262</c:v>
                </c:pt>
                <c:pt idx="51">
                  <c:v>0.20264694286431489</c:v>
                </c:pt>
                <c:pt idx="52">
                  <c:v>0.20387844494138779</c:v>
                </c:pt>
                <c:pt idx="53">
                  <c:v>0.20501674035358664</c:v>
                </c:pt>
                <c:pt idx="54">
                  <c:v>0.20612189604745457</c:v>
                </c:pt>
                <c:pt idx="55">
                  <c:v>0.20726901599963121</c:v>
                </c:pt>
                <c:pt idx="56">
                  <c:v>0.20833183108912512</c:v>
                </c:pt>
                <c:pt idx="57">
                  <c:v>0.20949595304113316</c:v>
                </c:pt>
                <c:pt idx="58">
                  <c:v>0.21068391498049271</c:v>
                </c:pt>
                <c:pt idx="59">
                  <c:v>0.21187339426421203</c:v>
                </c:pt>
                <c:pt idx="60">
                  <c:v>0.21315154508491707</c:v>
                </c:pt>
                <c:pt idx="61">
                  <c:v>0.21454553415285585</c:v>
                </c:pt>
                <c:pt idx="62">
                  <c:v>0.21588264019577044</c:v>
                </c:pt>
                <c:pt idx="63">
                  <c:v>0.21738444946876989</c:v>
                </c:pt>
                <c:pt idx="64">
                  <c:v>0.21887432291540551</c:v>
                </c:pt>
                <c:pt idx="65">
                  <c:v>0.22050207006502626</c:v>
                </c:pt>
                <c:pt idx="66">
                  <c:v>0.22222186713050515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D4-48CF-9CB7-2D05D1CB7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186190"/>
        <c:axId val="2094139184"/>
      </c:lineChart>
      <c:catAx>
        <c:axId val="1451186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4139184"/>
        <c:crosses val="autoZero"/>
        <c:auto val="1"/>
        <c:lblAlgn val="ctr"/>
        <c:lblOffset val="100"/>
        <c:noMultiLvlLbl val="1"/>
      </c:catAx>
      <c:valAx>
        <c:axId val="2094139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1861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Atirhan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Population'!$Z$1:$Z$67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7.8875435332948815E-2</c:v>
                </c:pt>
                <c:pt idx="2">
                  <c:v>7.8754380930748172E-2</c:v>
                </c:pt>
                <c:pt idx="3">
                  <c:v>7.8617881662835787E-2</c:v>
                </c:pt>
                <c:pt idx="4">
                  <c:v>7.8389227255361821E-2</c:v>
                </c:pt>
                <c:pt idx="5">
                  <c:v>7.8149373447410367E-2</c:v>
                </c:pt>
                <c:pt idx="6">
                  <c:v>7.8069096750215089E-2</c:v>
                </c:pt>
                <c:pt idx="7">
                  <c:v>7.7916538972752178E-2</c:v>
                </c:pt>
                <c:pt idx="8">
                  <c:v>7.7603383330019801E-2</c:v>
                </c:pt>
                <c:pt idx="9">
                  <c:v>7.7361831130276337E-2</c:v>
                </c:pt>
                <c:pt idx="10">
                  <c:v>7.7160520903565524E-2</c:v>
                </c:pt>
                <c:pt idx="11">
                  <c:v>7.7167448609158112E-2</c:v>
                </c:pt>
                <c:pt idx="12">
                  <c:v>7.7196928775244311E-2</c:v>
                </c:pt>
                <c:pt idx="13">
                  <c:v>7.7274841694443194E-2</c:v>
                </c:pt>
                <c:pt idx="14">
                  <c:v>7.7322396694466972E-2</c:v>
                </c:pt>
                <c:pt idx="15">
                  <c:v>7.7398057534010009E-2</c:v>
                </c:pt>
                <c:pt idx="16">
                  <c:v>7.7427187408434933E-2</c:v>
                </c:pt>
                <c:pt idx="17">
                  <c:v>7.7477523569100037E-2</c:v>
                </c:pt>
                <c:pt idx="18">
                  <c:v>7.7516058418880276E-2</c:v>
                </c:pt>
                <c:pt idx="19">
                  <c:v>7.7618844355547875E-2</c:v>
                </c:pt>
                <c:pt idx="20">
                  <c:v>7.7684548983213961E-2</c:v>
                </c:pt>
                <c:pt idx="21">
                  <c:v>7.777177403125092E-2</c:v>
                </c:pt>
                <c:pt idx="22">
                  <c:v>7.7942455104952138E-2</c:v>
                </c:pt>
                <c:pt idx="23">
                  <c:v>7.8107498718594334E-2</c:v>
                </c:pt>
                <c:pt idx="24">
                  <c:v>7.8302636701747808E-2</c:v>
                </c:pt>
                <c:pt idx="25">
                  <c:v>7.8425881210241299E-2</c:v>
                </c:pt>
                <c:pt idx="26">
                  <c:v>7.8555108491302275E-2</c:v>
                </c:pt>
                <c:pt idx="27">
                  <c:v>7.864898706730733E-2</c:v>
                </c:pt>
                <c:pt idx="28">
                  <c:v>7.8692762579593026E-2</c:v>
                </c:pt>
                <c:pt idx="29">
                  <c:v>7.8787275935497586E-2</c:v>
                </c:pt>
                <c:pt idx="30">
                  <c:v>7.8917649782886901E-2</c:v>
                </c:pt>
                <c:pt idx="31">
                  <c:v>7.9101928420797551E-2</c:v>
                </c:pt>
                <c:pt idx="32">
                  <c:v>7.9318717101027197E-2</c:v>
                </c:pt>
                <c:pt idx="33">
                  <c:v>7.9566543734843648E-2</c:v>
                </c:pt>
                <c:pt idx="34">
                  <c:v>7.9776568022291758E-2</c:v>
                </c:pt>
                <c:pt idx="35">
                  <c:v>7.9845423465118609E-2</c:v>
                </c:pt>
                <c:pt idx="36">
                  <c:v>7.9968817172281506E-2</c:v>
                </c:pt>
                <c:pt idx="37">
                  <c:v>8.0210719563019214E-2</c:v>
                </c:pt>
                <c:pt idx="38">
                  <c:v>8.0510060637934588E-2</c:v>
                </c:pt>
                <c:pt idx="39">
                  <c:v>8.0825216547506573E-2</c:v>
                </c:pt>
                <c:pt idx="40">
                  <c:v>8.1114549743414671E-2</c:v>
                </c:pt>
                <c:pt idx="41">
                  <c:v>8.1446736034124501E-2</c:v>
                </c:pt>
                <c:pt idx="42">
                  <c:v>8.1665423192760711E-2</c:v>
                </c:pt>
                <c:pt idx="43">
                  <c:v>8.1397039410301339E-2</c:v>
                </c:pt>
                <c:pt idx="44">
                  <c:v>8.1538606900219579E-2</c:v>
                </c:pt>
                <c:pt idx="45">
                  <c:v>8.1538951167754573E-2</c:v>
                </c:pt>
                <c:pt idx="46">
                  <c:v>8.0933826828609085E-2</c:v>
                </c:pt>
                <c:pt idx="47">
                  <c:v>8.0861625381132979E-2</c:v>
                </c:pt>
                <c:pt idx="48">
                  <c:v>8.0729065978240255E-2</c:v>
                </c:pt>
                <c:pt idx="49">
                  <c:v>8.0728885897276323E-2</c:v>
                </c:pt>
                <c:pt idx="50">
                  <c:v>8.0919682911467353E-2</c:v>
                </c:pt>
                <c:pt idx="51">
                  <c:v>8.0736708695639661E-2</c:v>
                </c:pt>
                <c:pt idx="52">
                  <c:v>8.0757525170486219E-2</c:v>
                </c:pt>
                <c:pt idx="53">
                  <c:v>8.0830358810228389E-2</c:v>
                </c:pt>
                <c:pt idx="54">
                  <c:v>8.09073775063575E-2</c:v>
                </c:pt>
                <c:pt idx="55">
                  <c:v>8.076418048467407E-2</c:v>
                </c:pt>
                <c:pt idx="56">
                  <c:v>8.1031353700777062E-2</c:v>
                </c:pt>
                <c:pt idx="57">
                  <c:v>8.1000827366083467E-2</c:v>
                </c:pt>
                <c:pt idx="58">
                  <c:v>8.099508252684294E-2</c:v>
                </c:pt>
                <c:pt idx="59">
                  <c:v>8.0972091379988287E-2</c:v>
                </c:pt>
                <c:pt idx="60">
                  <c:v>8.0932829844922366E-2</c:v>
                </c:pt>
                <c:pt idx="61">
                  <c:v>8.0868528651987459E-2</c:v>
                </c:pt>
                <c:pt idx="62">
                  <c:v>8.0799080244182364E-2</c:v>
                </c:pt>
                <c:pt idx="63">
                  <c:v>8.0686763360395347E-2</c:v>
                </c:pt>
                <c:pt idx="64">
                  <c:v>8.0550399375851844E-2</c:v>
                </c:pt>
                <c:pt idx="65">
                  <c:v>8.033586540306506E-2</c:v>
                </c:pt>
                <c:pt idx="66">
                  <c:v>8.0054945592676258E-2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AF-42DE-9CDC-C308AA2AA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454932"/>
        <c:axId val="1855910533"/>
      </c:lineChart>
      <c:catAx>
        <c:axId val="1960454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5910533"/>
        <c:crosses val="autoZero"/>
        <c:auto val="1"/>
        <c:lblAlgn val="ctr"/>
        <c:lblOffset val="100"/>
        <c:noMultiLvlLbl val="1"/>
      </c:catAx>
      <c:valAx>
        <c:axId val="1855910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04549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Acrolan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Population'!$O$1:$O$67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0.1525806141646921</c:v>
                </c:pt>
                <c:pt idx="2">
                  <c:v>0.15232936335129077</c:v>
                </c:pt>
                <c:pt idx="3">
                  <c:v>0.15206877744770786</c:v>
                </c:pt>
                <c:pt idx="4">
                  <c:v>0.15189824532040624</c:v>
                </c:pt>
                <c:pt idx="5">
                  <c:v>0.15184639235146033</c:v>
                </c:pt>
                <c:pt idx="6">
                  <c:v>0.1516641475747359</c:v>
                </c:pt>
                <c:pt idx="7">
                  <c:v>0.15142300196038319</c:v>
                </c:pt>
                <c:pt idx="8">
                  <c:v>0.15126234863986573</c:v>
                </c:pt>
                <c:pt idx="9">
                  <c:v>0.15067144935534021</c:v>
                </c:pt>
                <c:pt idx="10">
                  <c:v>0.1504098295158792</c:v>
                </c:pt>
                <c:pt idx="11">
                  <c:v>0.15005312764950596</c:v>
                </c:pt>
                <c:pt idx="12">
                  <c:v>0.14970610407917764</c:v>
                </c:pt>
                <c:pt idx="13">
                  <c:v>0.14935444397225914</c:v>
                </c:pt>
                <c:pt idx="14">
                  <c:v>0.14899843595292578</c:v>
                </c:pt>
                <c:pt idx="15">
                  <c:v>0.14863986838627205</c:v>
                </c:pt>
                <c:pt idx="16">
                  <c:v>0.14826235723708839</c:v>
                </c:pt>
                <c:pt idx="17">
                  <c:v>0.14782912049447003</c:v>
                </c:pt>
                <c:pt idx="18">
                  <c:v>0.14739396983226605</c:v>
                </c:pt>
                <c:pt idx="19">
                  <c:v>0.14697188031085692</c:v>
                </c:pt>
                <c:pt idx="20">
                  <c:v>0.1466164144780292</c:v>
                </c:pt>
                <c:pt idx="21">
                  <c:v>0.14635173400193013</c:v>
                </c:pt>
                <c:pt idx="22">
                  <c:v>0.14616539794398908</c:v>
                </c:pt>
                <c:pt idx="23">
                  <c:v>0.14611139843683779</c:v>
                </c:pt>
                <c:pt idx="24">
                  <c:v>0.14600848852294485</c:v>
                </c:pt>
                <c:pt idx="25">
                  <c:v>0.14587486122317214</c:v>
                </c:pt>
                <c:pt idx="26">
                  <c:v>0.14580275461863787</c:v>
                </c:pt>
                <c:pt idx="27">
                  <c:v>0.14566985082985856</c:v>
                </c:pt>
                <c:pt idx="28">
                  <c:v>0.145585696509892</c:v>
                </c:pt>
                <c:pt idx="29">
                  <c:v>0.1454964527913038</c:v>
                </c:pt>
                <c:pt idx="30">
                  <c:v>0.14537346674921833</c:v>
                </c:pt>
                <c:pt idx="31">
                  <c:v>0.1452702700390314</c:v>
                </c:pt>
                <c:pt idx="32">
                  <c:v>0.14512840339510735</c:v>
                </c:pt>
                <c:pt idx="33">
                  <c:v>0.14498648439416559</c:v>
                </c:pt>
                <c:pt idx="34">
                  <c:v>0.14482555391102009</c:v>
                </c:pt>
                <c:pt idx="35">
                  <c:v>0.14464887195747417</c:v>
                </c:pt>
                <c:pt idx="36">
                  <c:v>0.14443542875565996</c:v>
                </c:pt>
                <c:pt idx="37">
                  <c:v>0.14417868076200904</c:v>
                </c:pt>
                <c:pt idx="38">
                  <c:v>0.14391302137345585</c:v>
                </c:pt>
                <c:pt idx="39">
                  <c:v>0.14362667287488481</c:v>
                </c:pt>
                <c:pt idx="40">
                  <c:v>0.14331726203685197</c:v>
                </c:pt>
                <c:pt idx="41">
                  <c:v>0.14296137144784288</c:v>
                </c:pt>
                <c:pt idx="42">
                  <c:v>0.14252815304034636</c:v>
                </c:pt>
                <c:pt idx="43">
                  <c:v>0.14215565793801466</c:v>
                </c:pt>
                <c:pt idx="44">
                  <c:v>0.14169992095374356</c:v>
                </c:pt>
                <c:pt idx="45">
                  <c:v>0.14121999652304515</c:v>
                </c:pt>
                <c:pt idx="46">
                  <c:v>0.14083527258753537</c:v>
                </c:pt>
                <c:pt idx="47">
                  <c:v>0.14036268398360396</c:v>
                </c:pt>
                <c:pt idx="48">
                  <c:v>0.13987619445567334</c:v>
                </c:pt>
                <c:pt idx="49">
                  <c:v>0.13934557638149525</c:v>
                </c:pt>
                <c:pt idx="50">
                  <c:v>0.13876108767984535</c:v>
                </c:pt>
                <c:pt idx="51">
                  <c:v>0.1382258020332556</c:v>
                </c:pt>
                <c:pt idx="52">
                  <c:v>0.13762096063276413</c:v>
                </c:pt>
                <c:pt idx="53">
                  <c:v>0.13700259929768727</c:v>
                </c:pt>
                <c:pt idx="54">
                  <c:v>0.13636025598722348</c:v>
                </c:pt>
                <c:pt idx="55">
                  <c:v>0.13575206969314282</c:v>
                </c:pt>
                <c:pt idx="56">
                  <c:v>0.13506548720725331</c:v>
                </c:pt>
                <c:pt idx="57">
                  <c:v>0.13441655754805787</c:v>
                </c:pt>
                <c:pt idx="58">
                  <c:v>0.13375487142477255</c:v>
                </c:pt>
                <c:pt idx="59">
                  <c:v>0.13309202400025968</c:v>
                </c:pt>
                <c:pt idx="60">
                  <c:v>0.13244844610959297</c:v>
                </c:pt>
                <c:pt idx="61">
                  <c:v>0.13178745308994894</c:v>
                </c:pt>
                <c:pt idx="62">
                  <c:v>0.13112340876580242</c:v>
                </c:pt>
                <c:pt idx="63">
                  <c:v>0.13042150328401175</c:v>
                </c:pt>
                <c:pt idx="64">
                  <c:v>0.12971939871320584</c:v>
                </c:pt>
                <c:pt idx="65">
                  <c:v>0.12900226694682423</c:v>
                </c:pt>
                <c:pt idx="66">
                  <c:v>0.12825514309410449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2E-4028-8F5C-CF94293C6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608158"/>
        <c:axId val="714793991"/>
      </c:lineChart>
      <c:catAx>
        <c:axId val="403608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4793991"/>
        <c:crosses val="autoZero"/>
        <c:auto val="1"/>
        <c:lblAlgn val="ctr"/>
        <c:lblOffset val="100"/>
        <c:noMultiLvlLbl val="1"/>
      </c:catAx>
      <c:valAx>
        <c:axId val="714793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36081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Continent Population as a % of Total</a:t>
            </a:r>
          </a:p>
        </c:rich>
      </c:tx>
      <c:layout>
        <c:manualLayout>
          <c:xMode val="edge"/>
          <c:yMode val="edge"/>
          <c:x val="2.5846702317290554E-2"/>
          <c:y val="0.05"/>
        </c:manualLayout>
      </c:layout>
      <c:overlay val="0"/>
    </c:title>
    <c:autoTitleDeleted val="0"/>
    <c:plotArea>
      <c:layout>
        <c:manualLayout>
          <c:xMode val="edge"/>
          <c:yMode val="edge"/>
          <c:x val="0.10913705583756335"/>
          <c:y val="0.16567164179104479"/>
          <c:w val="0.72927241962774958"/>
          <c:h val="0.60503841738055286"/>
        </c:manualLayout>
      </c:layout>
      <c:lineChart>
        <c:grouping val="standard"/>
        <c:varyColors val="1"/>
        <c:ser>
          <c:idx val="0"/>
          <c:order val="0"/>
          <c:tx>
            <c:v>Acrola</c:v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00-634E-48BD-BADD-00CBCC6727C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1-634E-48BD-BADD-00CBCC6727C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02-634E-48BD-BADD-00CBCC6727C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03-634E-48BD-BADD-00CBCC6727C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04-634E-48BD-BADD-00CBCC6727C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05-634E-48BD-BADD-00CBCC6727CB}"/>
              </c:ext>
            </c:extLst>
          </c:dPt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Population'!$O$1:$O$67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0.1525806141646921</c:v>
                </c:pt>
                <c:pt idx="2">
                  <c:v>0.15232936335129077</c:v>
                </c:pt>
                <c:pt idx="3">
                  <c:v>0.15206877744770786</c:v>
                </c:pt>
                <c:pt idx="4">
                  <c:v>0.15189824532040624</c:v>
                </c:pt>
                <c:pt idx="5">
                  <c:v>0.15184639235146033</c:v>
                </c:pt>
                <c:pt idx="6">
                  <c:v>0.1516641475747359</c:v>
                </c:pt>
                <c:pt idx="7">
                  <c:v>0.15142300196038319</c:v>
                </c:pt>
                <c:pt idx="8">
                  <c:v>0.15126234863986573</c:v>
                </c:pt>
                <c:pt idx="9">
                  <c:v>0.15067144935534021</c:v>
                </c:pt>
                <c:pt idx="10">
                  <c:v>0.1504098295158792</c:v>
                </c:pt>
                <c:pt idx="11">
                  <c:v>0.15005312764950596</c:v>
                </c:pt>
                <c:pt idx="12">
                  <c:v>0.14970610407917764</c:v>
                </c:pt>
                <c:pt idx="13">
                  <c:v>0.14935444397225914</c:v>
                </c:pt>
                <c:pt idx="14">
                  <c:v>0.14899843595292578</c:v>
                </c:pt>
                <c:pt idx="15">
                  <c:v>0.14863986838627205</c:v>
                </c:pt>
                <c:pt idx="16">
                  <c:v>0.14826235723708839</c:v>
                </c:pt>
                <c:pt idx="17">
                  <c:v>0.14782912049447003</c:v>
                </c:pt>
                <c:pt idx="18">
                  <c:v>0.14739396983226605</c:v>
                </c:pt>
                <c:pt idx="19">
                  <c:v>0.14697188031085692</c:v>
                </c:pt>
                <c:pt idx="20">
                  <c:v>0.1466164144780292</c:v>
                </c:pt>
                <c:pt idx="21">
                  <c:v>0.14635173400193013</c:v>
                </c:pt>
                <c:pt idx="22">
                  <c:v>0.14616539794398908</c:v>
                </c:pt>
                <c:pt idx="23">
                  <c:v>0.14611139843683779</c:v>
                </c:pt>
                <c:pt idx="24">
                  <c:v>0.14600848852294485</c:v>
                </c:pt>
                <c:pt idx="25">
                  <c:v>0.14587486122317214</c:v>
                </c:pt>
                <c:pt idx="26">
                  <c:v>0.14580275461863787</c:v>
                </c:pt>
                <c:pt idx="27">
                  <c:v>0.14566985082985856</c:v>
                </c:pt>
                <c:pt idx="28">
                  <c:v>0.145585696509892</c:v>
                </c:pt>
                <c:pt idx="29">
                  <c:v>0.1454964527913038</c:v>
                </c:pt>
                <c:pt idx="30">
                  <c:v>0.14537346674921833</c:v>
                </c:pt>
                <c:pt idx="31">
                  <c:v>0.1452702700390314</c:v>
                </c:pt>
                <c:pt idx="32">
                  <c:v>0.14512840339510735</c:v>
                </c:pt>
                <c:pt idx="33">
                  <c:v>0.14498648439416559</c:v>
                </c:pt>
                <c:pt idx="34">
                  <c:v>0.14482555391102009</c:v>
                </c:pt>
                <c:pt idx="35">
                  <c:v>0.14464887195747417</c:v>
                </c:pt>
                <c:pt idx="36">
                  <c:v>0.14443542875565996</c:v>
                </c:pt>
                <c:pt idx="37">
                  <c:v>0.14417868076200904</c:v>
                </c:pt>
                <c:pt idx="38">
                  <c:v>0.14391302137345585</c:v>
                </c:pt>
                <c:pt idx="39">
                  <c:v>0.14362667287488481</c:v>
                </c:pt>
                <c:pt idx="40">
                  <c:v>0.14331726203685197</c:v>
                </c:pt>
                <c:pt idx="41">
                  <c:v>0.14296137144784288</c:v>
                </c:pt>
                <c:pt idx="42">
                  <c:v>0.14252815304034636</c:v>
                </c:pt>
                <c:pt idx="43">
                  <c:v>0.14215565793801466</c:v>
                </c:pt>
                <c:pt idx="44">
                  <c:v>0.14169992095374356</c:v>
                </c:pt>
                <c:pt idx="45">
                  <c:v>0.14121999652304515</c:v>
                </c:pt>
                <c:pt idx="46">
                  <c:v>0.14083527258753537</c:v>
                </c:pt>
                <c:pt idx="47">
                  <c:v>0.14036268398360396</c:v>
                </c:pt>
                <c:pt idx="48">
                  <c:v>0.13987619445567334</c:v>
                </c:pt>
                <c:pt idx="49">
                  <c:v>0.13934557638149525</c:v>
                </c:pt>
                <c:pt idx="50">
                  <c:v>0.13876108767984535</c:v>
                </c:pt>
                <c:pt idx="51">
                  <c:v>0.1382258020332556</c:v>
                </c:pt>
                <c:pt idx="52">
                  <c:v>0.13762096063276413</c:v>
                </c:pt>
                <c:pt idx="53">
                  <c:v>0.13700259929768727</c:v>
                </c:pt>
                <c:pt idx="54">
                  <c:v>0.13636025598722348</c:v>
                </c:pt>
                <c:pt idx="55">
                  <c:v>0.13575206969314282</c:v>
                </c:pt>
                <c:pt idx="56">
                  <c:v>0.13506548720725331</c:v>
                </c:pt>
                <c:pt idx="57">
                  <c:v>0.13441655754805787</c:v>
                </c:pt>
                <c:pt idx="58">
                  <c:v>0.13375487142477255</c:v>
                </c:pt>
                <c:pt idx="59">
                  <c:v>0.13309202400025968</c:v>
                </c:pt>
                <c:pt idx="60">
                  <c:v>0.13244844610959297</c:v>
                </c:pt>
                <c:pt idx="61">
                  <c:v>0.13178745308994894</c:v>
                </c:pt>
                <c:pt idx="62">
                  <c:v>0.13112340876580242</c:v>
                </c:pt>
                <c:pt idx="63">
                  <c:v>0.13042150328401175</c:v>
                </c:pt>
                <c:pt idx="64">
                  <c:v>0.12971939871320584</c:v>
                </c:pt>
                <c:pt idx="65">
                  <c:v>0.12900226694682423</c:v>
                </c:pt>
                <c:pt idx="66">
                  <c:v>0.12825514309410449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4E-48BD-BADD-00CBCC6727CB}"/>
            </c:ext>
          </c:extLst>
        </c:ser>
        <c:ser>
          <c:idx val="1"/>
          <c:order val="1"/>
          <c:tx>
            <c:v>Atirha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Population'!$Z$1:$Z$67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7.8875435332948815E-2</c:v>
                </c:pt>
                <c:pt idx="2">
                  <c:v>7.8754380930748172E-2</c:v>
                </c:pt>
                <c:pt idx="3">
                  <c:v>7.8617881662835787E-2</c:v>
                </c:pt>
                <c:pt idx="4">
                  <c:v>7.8389227255361821E-2</c:v>
                </c:pt>
                <c:pt idx="5">
                  <c:v>7.8149373447410367E-2</c:v>
                </c:pt>
                <c:pt idx="6">
                  <c:v>7.8069096750215089E-2</c:v>
                </c:pt>
                <c:pt idx="7">
                  <c:v>7.7916538972752178E-2</c:v>
                </c:pt>
                <c:pt idx="8">
                  <c:v>7.7603383330019801E-2</c:v>
                </c:pt>
                <c:pt idx="9">
                  <c:v>7.7361831130276337E-2</c:v>
                </c:pt>
                <c:pt idx="10">
                  <c:v>7.7160520903565524E-2</c:v>
                </c:pt>
                <c:pt idx="11">
                  <c:v>7.7167448609158112E-2</c:v>
                </c:pt>
                <c:pt idx="12">
                  <c:v>7.7196928775244311E-2</c:v>
                </c:pt>
                <c:pt idx="13">
                  <c:v>7.7274841694443194E-2</c:v>
                </c:pt>
                <c:pt idx="14">
                  <c:v>7.7322396694466972E-2</c:v>
                </c:pt>
                <c:pt idx="15">
                  <c:v>7.7398057534010009E-2</c:v>
                </c:pt>
                <c:pt idx="16">
                  <c:v>7.7427187408434933E-2</c:v>
                </c:pt>
                <c:pt idx="17">
                  <c:v>7.7477523569100037E-2</c:v>
                </c:pt>
                <c:pt idx="18">
                  <c:v>7.7516058418880276E-2</c:v>
                </c:pt>
                <c:pt idx="19">
                  <c:v>7.7618844355547875E-2</c:v>
                </c:pt>
                <c:pt idx="20">
                  <c:v>7.7684548983213961E-2</c:v>
                </c:pt>
                <c:pt idx="21">
                  <c:v>7.777177403125092E-2</c:v>
                </c:pt>
                <c:pt idx="22">
                  <c:v>7.7942455104952138E-2</c:v>
                </c:pt>
                <c:pt idx="23">
                  <c:v>7.8107498718594334E-2</c:v>
                </c:pt>
                <c:pt idx="24">
                  <c:v>7.8302636701747808E-2</c:v>
                </c:pt>
                <c:pt idx="25">
                  <c:v>7.8425881210241299E-2</c:v>
                </c:pt>
                <c:pt idx="26">
                  <c:v>7.8555108491302275E-2</c:v>
                </c:pt>
                <c:pt idx="27">
                  <c:v>7.864898706730733E-2</c:v>
                </c:pt>
                <c:pt idx="28">
                  <c:v>7.8692762579593026E-2</c:v>
                </c:pt>
                <c:pt idx="29">
                  <c:v>7.8787275935497586E-2</c:v>
                </c:pt>
                <c:pt idx="30">
                  <c:v>7.8917649782886901E-2</c:v>
                </c:pt>
                <c:pt idx="31">
                  <c:v>7.9101928420797551E-2</c:v>
                </c:pt>
                <c:pt idx="32">
                  <c:v>7.9318717101027197E-2</c:v>
                </c:pt>
                <c:pt idx="33">
                  <c:v>7.9566543734843648E-2</c:v>
                </c:pt>
                <c:pt idx="34">
                  <c:v>7.9776568022291758E-2</c:v>
                </c:pt>
                <c:pt idx="35">
                  <c:v>7.9845423465118609E-2</c:v>
                </c:pt>
                <c:pt idx="36">
                  <c:v>7.9968817172281506E-2</c:v>
                </c:pt>
                <c:pt idx="37">
                  <c:v>8.0210719563019214E-2</c:v>
                </c:pt>
                <c:pt idx="38">
                  <c:v>8.0510060637934588E-2</c:v>
                </c:pt>
                <c:pt idx="39">
                  <c:v>8.0825216547506573E-2</c:v>
                </c:pt>
                <c:pt idx="40">
                  <c:v>8.1114549743414671E-2</c:v>
                </c:pt>
                <c:pt idx="41">
                  <c:v>8.1446736034124501E-2</c:v>
                </c:pt>
                <c:pt idx="42">
                  <c:v>8.1665423192760711E-2</c:v>
                </c:pt>
                <c:pt idx="43">
                  <c:v>8.1397039410301339E-2</c:v>
                </c:pt>
                <c:pt idx="44">
                  <c:v>8.1538606900219579E-2</c:v>
                </c:pt>
                <c:pt idx="45">
                  <c:v>8.1538951167754573E-2</c:v>
                </c:pt>
                <c:pt idx="46">
                  <c:v>8.0933826828609085E-2</c:v>
                </c:pt>
                <c:pt idx="47">
                  <c:v>8.0861625381132979E-2</c:v>
                </c:pt>
                <c:pt idx="48">
                  <c:v>8.0729065978240255E-2</c:v>
                </c:pt>
                <c:pt idx="49">
                  <c:v>8.0728885897276323E-2</c:v>
                </c:pt>
                <c:pt idx="50">
                  <c:v>8.0919682911467353E-2</c:v>
                </c:pt>
                <c:pt idx="51">
                  <c:v>8.0736708695639661E-2</c:v>
                </c:pt>
                <c:pt idx="52">
                  <c:v>8.0757525170486219E-2</c:v>
                </c:pt>
                <c:pt idx="53">
                  <c:v>8.0830358810228389E-2</c:v>
                </c:pt>
                <c:pt idx="54">
                  <c:v>8.09073775063575E-2</c:v>
                </c:pt>
                <c:pt idx="55">
                  <c:v>8.076418048467407E-2</c:v>
                </c:pt>
                <c:pt idx="56">
                  <c:v>8.1031353700777062E-2</c:v>
                </c:pt>
                <c:pt idx="57">
                  <c:v>8.1000827366083467E-2</c:v>
                </c:pt>
                <c:pt idx="58">
                  <c:v>8.099508252684294E-2</c:v>
                </c:pt>
                <c:pt idx="59">
                  <c:v>8.0972091379988287E-2</c:v>
                </c:pt>
                <c:pt idx="60">
                  <c:v>8.0932829844922366E-2</c:v>
                </c:pt>
                <c:pt idx="61">
                  <c:v>8.0868528651987459E-2</c:v>
                </c:pt>
                <c:pt idx="62">
                  <c:v>8.0799080244182364E-2</c:v>
                </c:pt>
                <c:pt idx="63">
                  <c:v>8.0686763360395347E-2</c:v>
                </c:pt>
                <c:pt idx="64">
                  <c:v>8.0550399375851844E-2</c:v>
                </c:pt>
                <c:pt idx="65">
                  <c:v>8.033586540306506E-2</c:v>
                </c:pt>
                <c:pt idx="66">
                  <c:v>8.0054945592676258E-2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4E-48BD-BADD-00CBCC6727CB}"/>
            </c:ext>
          </c:extLst>
        </c:ser>
        <c:ser>
          <c:idx val="2"/>
          <c:order val="2"/>
          <c:tx>
            <c:v>Ayuma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08-634E-48BD-BADD-00CBCC6727C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09-634E-48BD-BADD-00CBCC6727C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0A-634E-48BD-BADD-00CBCC6727CB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0B-634E-48BD-BADD-00CBCC6727CB}"/>
              </c:ext>
            </c:extLst>
          </c:dPt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Population'!$AK$1:$AK$67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0.14597743216967624</c:v>
                </c:pt>
                <c:pt idx="2">
                  <c:v>0.1463410505621042</c:v>
                </c:pt>
                <c:pt idx="3">
                  <c:v>0.14675012853731778</c:v>
                </c:pt>
                <c:pt idx="4">
                  <c:v>0.14721016524920705</c:v>
                </c:pt>
                <c:pt idx="5">
                  <c:v>0.14766627598296739</c:v>
                </c:pt>
                <c:pt idx="6">
                  <c:v>0.14810670958055819</c:v>
                </c:pt>
                <c:pt idx="7">
                  <c:v>0.14859027723153315</c:v>
                </c:pt>
                <c:pt idx="8">
                  <c:v>0.14913849976158397</c:v>
                </c:pt>
                <c:pt idx="9">
                  <c:v>0.14976731601587032</c:v>
                </c:pt>
                <c:pt idx="10">
                  <c:v>0.150408846579803</c:v>
                </c:pt>
                <c:pt idx="11">
                  <c:v>0.15103251543915938</c:v>
                </c:pt>
                <c:pt idx="12">
                  <c:v>0.15165885292517428</c:v>
                </c:pt>
                <c:pt idx="13">
                  <c:v>0.15228396388064444</c:v>
                </c:pt>
                <c:pt idx="14">
                  <c:v>0.15292821170836138</c:v>
                </c:pt>
                <c:pt idx="15">
                  <c:v>0.15362962804568764</c:v>
                </c:pt>
                <c:pt idx="16">
                  <c:v>0.15435293731676286</c:v>
                </c:pt>
                <c:pt idx="17">
                  <c:v>0.1552633463575501</c:v>
                </c:pt>
                <c:pt idx="18">
                  <c:v>0.15639491369039654</c:v>
                </c:pt>
                <c:pt idx="19">
                  <c:v>0.15756042376918233</c:v>
                </c:pt>
                <c:pt idx="20">
                  <c:v>0.15877095924149862</c:v>
                </c:pt>
                <c:pt idx="21">
                  <c:v>0.15987285231272072</c:v>
                </c:pt>
                <c:pt idx="22">
                  <c:v>0.16105343091944663</c:v>
                </c:pt>
                <c:pt idx="23">
                  <c:v>0.16238511417699747</c:v>
                </c:pt>
                <c:pt idx="24">
                  <c:v>0.16387942826481361</c:v>
                </c:pt>
                <c:pt idx="25">
                  <c:v>0.1652521910113347</c:v>
                </c:pt>
                <c:pt idx="26">
                  <c:v>0.16649601883780485</c:v>
                </c:pt>
                <c:pt idx="27">
                  <c:v>0.16776266341501467</c:v>
                </c:pt>
                <c:pt idx="28">
                  <c:v>0.16883582309133194</c:v>
                </c:pt>
                <c:pt idx="29">
                  <c:v>0.16998646383178267</c:v>
                </c:pt>
                <c:pt idx="30">
                  <c:v>0.1712161479231937</c:v>
                </c:pt>
                <c:pt idx="31">
                  <c:v>0.172617238383595</c:v>
                </c:pt>
                <c:pt idx="32">
                  <c:v>0.17412277141261009</c:v>
                </c:pt>
                <c:pt idx="33">
                  <c:v>0.17569567100129346</c:v>
                </c:pt>
                <c:pt idx="34">
                  <c:v>0.17733523430099599</c:v>
                </c:pt>
                <c:pt idx="35">
                  <c:v>0.17897029772283199</c:v>
                </c:pt>
                <c:pt idx="36">
                  <c:v>0.1805181736686611</c:v>
                </c:pt>
                <c:pt idx="37">
                  <c:v>0.18205402795484163</c:v>
                </c:pt>
                <c:pt idx="38">
                  <c:v>0.18368601487610289</c:v>
                </c:pt>
                <c:pt idx="39">
                  <c:v>0.18525763957918417</c:v>
                </c:pt>
                <c:pt idx="40">
                  <c:v>0.18682794304993389</c:v>
                </c:pt>
                <c:pt idx="41">
                  <c:v>0.18845112695219082</c:v>
                </c:pt>
                <c:pt idx="42">
                  <c:v>0.19002083310986509</c:v>
                </c:pt>
                <c:pt idx="43">
                  <c:v>0.19165778892166824</c:v>
                </c:pt>
                <c:pt idx="44">
                  <c:v>0.19316383634140205</c:v>
                </c:pt>
                <c:pt idx="45">
                  <c:v>0.19463540837422483</c:v>
                </c:pt>
                <c:pt idx="46">
                  <c:v>0.19622957386813919</c:v>
                </c:pt>
                <c:pt idx="47">
                  <c:v>0.19757515123680802</c:v>
                </c:pt>
                <c:pt idx="48">
                  <c:v>0.19899422597623415</c:v>
                </c:pt>
                <c:pt idx="49">
                  <c:v>0.20027366298395147</c:v>
                </c:pt>
                <c:pt idx="50">
                  <c:v>0.20137192755380262</c:v>
                </c:pt>
                <c:pt idx="51">
                  <c:v>0.20264694286431489</c:v>
                </c:pt>
                <c:pt idx="52">
                  <c:v>0.20387844494138779</c:v>
                </c:pt>
                <c:pt idx="53">
                  <c:v>0.20501674035358664</c:v>
                </c:pt>
                <c:pt idx="54">
                  <c:v>0.20612189604745457</c:v>
                </c:pt>
                <c:pt idx="55">
                  <c:v>0.20726901599963121</c:v>
                </c:pt>
                <c:pt idx="56">
                  <c:v>0.20833183108912512</c:v>
                </c:pt>
                <c:pt idx="57">
                  <c:v>0.20949595304113316</c:v>
                </c:pt>
                <c:pt idx="58">
                  <c:v>0.21068391498049271</c:v>
                </c:pt>
                <c:pt idx="59">
                  <c:v>0.21187339426421203</c:v>
                </c:pt>
                <c:pt idx="60">
                  <c:v>0.21315154508491707</c:v>
                </c:pt>
                <c:pt idx="61">
                  <c:v>0.21454553415285585</c:v>
                </c:pt>
                <c:pt idx="62">
                  <c:v>0.21588264019577044</c:v>
                </c:pt>
                <c:pt idx="63">
                  <c:v>0.21738444946876989</c:v>
                </c:pt>
                <c:pt idx="64">
                  <c:v>0.21887432291540551</c:v>
                </c:pt>
                <c:pt idx="65">
                  <c:v>0.22050207006502626</c:v>
                </c:pt>
                <c:pt idx="66">
                  <c:v>0.22222186713050515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4E-48BD-BADD-00CBCC6727CB}"/>
            </c:ext>
          </c:extLst>
        </c:ser>
        <c:ser>
          <c:idx val="3"/>
          <c:order val="3"/>
          <c:tx>
            <c:v>Mahea</c:v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Population'!$AV$1:$AV$67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0.20360702438378855</c:v>
                </c:pt>
                <c:pt idx="2">
                  <c:v>0.2035669430968485</c:v>
                </c:pt>
                <c:pt idx="3">
                  <c:v>0.20353137477287697</c:v>
                </c:pt>
                <c:pt idx="4">
                  <c:v>0.20350194667194949</c:v>
                </c:pt>
                <c:pt idx="5">
                  <c:v>0.20347117183820085</c:v>
                </c:pt>
                <c:pt idx="6">
                  <c:v>0.20351406184762483</c:v>
                </c:pt>
                <c:pt idx="7">
                  <c:v>0.20367000450932687</c:v>
                </c:pt>
                <c:pt idx="8">
                  <c:v>0.203818079883644</c:v>
                </c:pt>
                <c:pt idx="9">
                  <c:v>0.20409753208190162</c:v>
                </c:pt>
                <c:pt idx="10">
                  <c:v>0.20429432562169295</c:v>
                </c:pt>
                <c:pt idx="11">
                  <c:v>0.20436163323659132</c:v>
                </c:pt>
                <c:pt idx="12">
                  <c:v>0.20445543084393383</c:v>
                </c:pt>
                <c:pt idx="13">
                  <c:v>0.2045590572765654</c:v>
                </c:pt>
                <c:pt idx="14">
                  <c:v>0.20468376727652743</c:v>
                </c:pt>
                <c:pt idx="15">
                  <c:v>0.20472395835372176</c:v>
                </c:pt>
                <c:pt idx="16">
                  <c:v>0.20478918101408944</c:v>
                </c:pt>
                <c:pt idx="17">
                  <c:v>0.20484949133609986</c:v>
                </c:pt>
                <c:pt idx="18">
                  <c:v>0.20471483828058551</c:v>
                </c:pt>
                <c:pt idx="19">
                  <c:v>0.20454166856934974</c:v>
                </c:pt>
                <c:pt idx="20">
                  <c:v>0.20428501296137605</c:v>
                </c:pt>
                <c:pt idx="21">
                  <c:v>0.20401121302104339</c:v>
                </c:pt>
                <c:pt idx="22">
                  <c:v>0.20345391907992405</c:v>
                </c:pt>
                <c:pt idx="23">
                  <c:v>0.20272954782345456</c:v>
                </c:pt>
                <c:pt idx="24">
                  <c:v>0.20208747175271713</c:v>
                </c:pt>
                <c:pt idx="25">
                  <c:v>0.20145876390195311</c:v>
                </c:pt>
                <c:pt idx="26">
                  <c:v>0.20087097348145894</c:v>
                </c:pt>
                <c:pt idx="27">
                  <c:v>0.20031396643812399</c:v>
                </c:pt>
                <c:pt idx="28">
                  <c:v>0.19976656479523397</c:v>
                </c:pt>
                <c:pt idx="29">
                  <c:v>0.19905145075571495</c:v>
                </c:pt>
                <c:pt idx="30">
                  <c:v>0.19835462531406595</c:v>
                </c:pt>
                <c:pt idx="31">
                  <c:v>0.19745113876042419</c:v>
                </c:pt>
                <c:pt idx="32">
                  <c:v>0.19652645497359614</c:v>
                </c:pt>
                <c:pt idx="33">
                  <c:v>0.19555315541812843</c:v>
                </c:pt>
                <c:pt idx="34">
                  <c:v>0.19452220909615311</c:v>
                </c:pt>
                <c:pt idx="35">
                  <c:v>0.19349106025611554</c:v>
                </c:pt>
                <c:pt idx="36">
                  <c:v>0.19246457524465749</c:v>
                </c:pt>
                <c:pt idx="37">
                  <c:v>0.19130925632252185</c:v>
                </c:pt>
                <c:pt idx="38">
                  <c:v>0.18995271796425842</c:v>
                </c:pt>
                <c:pt idx="39">
                  <c:v>0.1886244616173654</c:v>
                </c:pt>
                <c:pt idx="40">
                  <c:v>0.18734910730538354</c:v>
                </c:pt>
                <c:pt idx="41">
                  <c:v>0.18607497224346772</c:v>
                </c:pt>
                <c:pt idx="42">
                  <c:v>0.18508364732192276</c:v>
                </c:pt>
                <c:pt idx="43">
                  <c:v>0.18410713770812956</c:v>
                </c:pt>
                <c:pt idx="44">
                  <c:v>0.18300575287919588</c:v>
                </c:pt>
                <c:pt idx="45">
                  <c:v>0.18186210445791842</c:v>
                </c:pt>
                <c:pt idx="46">
                  <c:v>0.1808249474985904</c:v>
                </c:pt>
                <c:pt idx="47">
                  <c:v>0.17989193892780056</c:v>
                </c:pt>
                <c:pt idx="48">
                  <c:v>0.17885763298983118</c:v>
                </c:pt>
                <c:pt idx="49">
                  <c:v>0.17781823465129609</c:v>
                </c:pt>
                <c:pt idx="50">
                  <c:v>0.17671813623429844</c:v>
                </c:pt>
                <c:pt idx="51">
                  <c:v>0.17532928908403528</c:v>
                </c:pt>
                <c:pt idx="52">
                  <c:v>0.17387855272643993</c:v>
                </c:pt>
                <c:pt idx="53">
                  <c:v>0.17244421887616906</c:v>
                </c:pt>
                <c:pt idx="54">
                  <c:v>0.17097962289330743</c:v>
                </c:pt>
                <c:pt idx="55">
                  <c:v>0.16953973573402442</c:v>
                </c:pt>
                <c:pt idx="56">
                  <c:v>0.1679770341269459</c:v>
                </c:pt>
                <c:pt idx="57">
                  <c:v>0.16644146385043432</c:v>
                </c:pt>
                <c:pt idx="58">
                  <c:v>0.1648564734300644</c:v>
                </c:pt>
                <c:pt idx="59">
                  <c:v>0.16325505207890736</c:v>
                </c:pt>
                <c:pt idx="60">
                  <c:v>0.16161185425416238</c:v>
                </c:pt>
                <c:pt idx="61">
                  <c:v>0.15997815906302507</c:v>
                </c:pt>
                <c:pt idx="62">
                  <c:v>0.15843131786220357</c:v>
                </c:pt>
                <c:pt idx="63">
                  <c:v>0.15693399833652372</c:v>
                </c:pt>
                <c:pt idx="64">
                  <c:v>0.15549084913591266</c:v>
                </c:pt>
                <c:pt idx="65">
                  <c:v>0.15406986758850505</c:v>
                </c:pt>
                <c:pt idx="66">
                  <c:v>0.15270985679124086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4E-48BD-BADD-00CBCC6727CB}"/>
            </c:ext>
          </c:extLst>
        </c:ser>
        <c:ser>
          <c:idx val="4"/>
          <c:order val="4"/>
          <c:tx>
            <c:v>Massir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Population'!$BG$1:$BG$67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0.20386688974766215</c:v>
                </c:pt>
                <c:pt idx="2">
                  <c:v>0.20436911238487759</c:v>
                </c:pt>
                <c:pt idx="3">
                  <c:v>0.20493212752549303</c:v>
                </c:pt>
                <c:pt idx="4">
                  <c:v>0.20554216282042456</c:v>
                </c:pt>
                <c:pt idx="5">
                  <c:v>0.20612368635642583</c:v>
                </c:pt>
                <c:pt idx="6">
                  <c:v>0.20672681175603805</c:v>
                </c:pt>
                <c:pt idx="7">
                  <c:v>0.20737363169638623</c:v>
                </c:pt>
                <c:pt idx="8">
                  <c:v>0.20806177293133629</c:v>
                </c:pt>
                <c:pt idx="9">
                  <c:v>0.20882638097854725</c:v>
                </c:pt>
                <c:pt idx="10">
                  <c:v>0.20944376327961012</c:v>
                </c:pt>
                <c:pt idx="11">
                  <c:v>0.21007290699804038</c:v>
                </c:pt>
                <c:pt idx="12">
                  <c:v>0.21066787558804848</c:v>
                </c:pt>
                <c:pt idx="13">
                  <c:v>0.21124603706532569</c:v>
                </c:pt>
                <c:pt idx="14">
                  <c:v>0.21184745733269345</c:v>
                </c:pt>
                <c:pt idx="15">
                  <c:v>0.21247369163901619</c:v>
                </c:pt>
                <c:pt idx="16">
                  <c:v>0.21312112604567737</c:v>
                </c:pt>
                <c:pt idx="17">
                  <c:v>0.21376049860190793</c:v>
                </c:pt>
                <c:pt idx="18">
                  <c:v>0.21445462690485606</c:v>
                </c:pt>
                <c:pt idx="19">
                  <c:v>0.21514290742888978</c:v>
                </c:pt>
                <c:pt idx="20">
                  <c:v>0.21584826534560542</c:v>
                </c:pt>
                <c:pt idx="21">
                  <c:v>0.21656857505709895</c:v>
                </c:pt>
                <c:pt idx="22">
                  <c:v>0.21729014140405026</c:v>
                </c:pt>
                <c:pt idx="23">
                  <c:v>0.21797375454666909</c:v>
                </c:pt>
                <c:pt idx="24">
                  <c:v>0.21857831904597216</c:v>
                </c:pt>
                <c:pt idx="25">
                  <c:v>0.21928775402950718</c:v>
                </c:pt>
                <c:pt idx="26">
                  <c:v>0.21998171580705245</c:v>
                </c:pt>
                <c:pt idx="27">
                  <c:v>0.22065312754423047</c:v>
                </c:pt>
                <c:pt idx="28">
                  <c:v>0.22141891826920046</c:v>
                </c:pt>
                <c:pt idx="29">
                  <c:v>0.22218047628891929</c:v>
                </c:pt>
                <c:pt idx="30">
                  <c:v>0.22285554154336673</c:v>
                </c:pt>
                <c:pt idx="31">
                  <c:v>0.22348671125113084</c:v>
                </c:pt>
                <c:pt idx="32">
                  <c:v>0.22406652092211701</c:v>
                </c:pt>
                <c:pt idx="33">
                  <c:v>0.22461431067900378</c:v>
                </c:pt>
                <c:pt idx="34">
                  <c:v>0.22516707888796803</c:v>
                </c:pt>
                <c:pt idx="35">
                  <c:v>0.22577652938602874</c:v>
                </c:pt>
                <c:pt idx="36">
                  <c:v>0.22638546269400517</c:v>
                </c:pt>
                <c:pt idx="37">
                  <c:v>0.22699294547635193</c:v>
                </c:pt>
                <c:pt idx="38">
                  <c:v>0.22759605162904614</c:v>
                </c:pt>
                <c:pt idx="39">
                  <c:v>0.22821803815447819</c:v>
                </c:pt>
                <c:pt idx="40">
                  <c:v>0.22886427438363022</c:v>
                </c:pt>
                <c:pt idx="41">
                  <c:v>0.22953551003480438</c:v>
                </c:pt>
                <c:pt idx="42">
                  <c:v>0.23018262483065294</c:v>
                </c:pt>
                <c:pt idx="43">
                  <c:v>0.23102860874596245</c:v>
                </c:pt>
                <c:pt idx="44">
                  <c:v>0.23182822682499668</c:v>
                </c:pt>
                <c:pt idx="45">
                  <c:v>0.23268777109657543</c:v>
                </c:pt>
                <c:pt idx="46">
                  <c:v>0.23372960115739594</c:v>
                </c:pt>
                <c:pt idx="47">
                  <c:v>0.23466171295011393</c:v>
                </c:pt>
                <c:pt idx="48">
                  <c:v>0.23567876748750127</c:v>
                </c:pt>
                <c:pt idx="49">
                  <c:v>0.23675496565891008</c:v>
                </c:pt>
                <c:pt idx="50">
                  <c:v>0.23779985629592054</c:v>
                </c:pt>
                <c:pt idx="51">
                  <c:v>0.23914583646625737</c:v>
                </c:pt>
                <c:pt idx="52">
                  <c:v>0.24044905322714108</c:v>
                </c:pt>
                <c:pt idx="53">
                  <c:v>0.24173979328898759</c:v>
                </c:pt>
                <c:pt idx="54">
                  <c:v>0.24303916757032898</c:v>
                </c:pt>
                <c:pt idx="55">
                  <c:v>0.24435789133032113</c:v>
                </c:pt>
                <c:pt idx="56">
                  <c:v>0.24559159445734155</c:v>
                </c:pt>
                <c:pt idx="57">
                  <c:v>0.24687735491394092</c:v>
                </c:pt>
                <c:pt idx="58">
                  <c:v>0.24815518531422107</c:v>
                </c:pt>
                <c:pt idx="59">
                  <c:v>0.24941548455143783</c:v>
                </c:pt>
                <c:pt idx="60">
                  <c:v>0.25060130682822751</c:v>
                </c:pt>
                <c:pt idx="61">
                  <c:v>0.25172218146684777</c:v>
                </c:pt>
                <c:pt idx="62">
                  <c:v>0.25281217566037334</c:v>
                </c:pt>
                <c:pt idx="63">
                  <c:v>0.25380255448084055</c:v>
                </c:pt>
                <c:pt idx="64">
                  <c:v>0.25476098264887587</c:v>
                </c:pt>
                <c:pt idx="65">
                  <c:v>0.25563825841942445</c:v>
                </c:pt>
                <c:pt idx="66">
                  <c:v>0.25642455579193102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34E-48BD-BADD-00CBCC6727CB}"/>
            </c:ext>
          </c:extLst>
        </c:ser>
        <c:ser>
          <c:idx val="5"/>
          <c:order val="5"/>
          <c:tx>
            <c:v>New Ayre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Population'!$BR$1:$BR$67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4.0516167540889297E-2</c:v>
                </c:pt>
                <c:pt idx="2">
                  <c:v>4.0456446930867675E-2</c:v>
                </c:pt>
                <c:pt idx="3">
                  <c:v>4.0385470661862516E-2</c:v>
                </c:pt>
                <c:pt idx="4">
                  <c:v>4.0303096140541936E-2</c:v>
                </c:pt>
                <c:pt idx="5">
                  <c:v>4.0201747612353969E-2</c:v>
                </c:pt>
                <c:pt idx="6">
                  <c:v>4.0058326960948749E-2</c:v>
                </c:pt>
                <c:pt idx="7">
                  <c:v>3.9875632777411685E-2</c:v>
                </c:pt>
                <c:pt idx="8">
                  <c:v>3.9691728358230434E-2</c:v>
                </c:pt>
                <c:pt idx="9">
                  <c:v>3.9545992076480331E-2</c:v>
                </c:pt>
                <c:pt idx="10">
                  <c:v>3.9387604190133964E-2</c:v>
                </c:pt>
                <c:pt idx="11">
                  <c:v>3.9240168455254056E-2</c:v>
                </c:pt>
                <c:pt idx="12">
                  <c:v>3.9087667588561831E-2</c:v>
                </c:pt>
                <c:pt idx="13">
                  <c:v>3.8923481516450566E-2</c:v>
                </c:pt>
                <c:pt idx="14">
                  <c:v>3.8761701003824048E-2</c:v>
                </c:pt>
                <c:pt idx="15">
                  <c:v>3.8606827072064955E-2</c:v>
                </c:pt>
                <c:pt idx="16">
                  <c:v>3.8462508244816784E-2</c:v>
                </c:pt>
                <c:pt idx="17">
                  <c:v>3.8307516983283392E-2</c:v>
                </c:pt>
                <c:pt idx="18">
                  <c:v>3.8135922519600525E-2</c:v>
                </c:pt>
                <c:pt idx="19">
                  <c:v>3.7952522786580831E-2</c:v>
                </c:pt>
                <c:pt idx="20">
                  <c:v>3.7766342418003716E-2</c:v>
                </c:pt>
                <c:pt idx="21">
                  <c:v>3.7568122362890706E-2</c:v>
                </c:pt>
                <c:pt idx="22">
                  <c:v>3.742972930183433E-2</c:v>
                </c:pt>
                <c:pt idx="23">
                  <c:v>3.7249352820853406E-2</c:v>
                </c:pt>
                <c:pt idx="24">
                  <c:v>3.7006305154028037E-2</c:v>
                </c:pt>
                <c:pt idx="25">
                  <c:v>3.6813909322145448E-2</c:v>
                </c:pt>
                <c:pt idx="26">
                  <c:v>3.6558842207757507E-2</c:v>
                </c:pt>
                <c:pt idx="27">
                  <c:v>3.6252785582735529E-2</c:v>
                </c:pt>
                <c:pt idx="28">
                  <c:v>3.5953639538545627E-2</c:v>
                </c:pt>
                <c:pt idx="29">
                  <c:v>3.5667888441129503E-2</c:v>
                </c:pt>
                <c:pt idx="30">
                  <c:v>3.5385872075314455E-2</c:v>
                </c:pt>
                <c:pt idx="31">
                  <c:v>3.5114925272631277E-2</c:v>
                </c:pt>
                <c:pt idx="32">
                  <c:v>3.4862275862382393E-2</c:v>
                </c:pt>
                <c:pt idx="33">
                  <c:v>3.4619179057176659E-2</c:v>
                </c:pt>
                <c:pt idx="34">
                  <c:v>3.4393708056789589E-2</c:v>
                </c:pt>
                <c:pt idx="35">
                  <c:v>3.4191749672676887E-2</c:v>
                </c:pt>
                <c:pt idx="36">
                  <c:v>3.3993840650148911E-2</c:v>
                </c:pt>
                <c:pt idx="37">
                  <c:v>3.3801457165321222E-2</c:v>
                </c:pt>
                <c:pt idx="38">
                  <c:v>3.3616382142782064E-2</c:v>
                </c:pt>
                <c:pt idx="39">
                  <c:v>3.3434640146531004E-2</c:v>
                </c:pt>
                <c:pt idx="40">
                  <c:v>3.3253774182452386E-2</c:v>
                </c:pt>
                <c:pt idx="41">
                  <c:v>3.3071823824140423E-2</c:v>
                </c:pt>
                <c:pt idx="42">
                  <c:v>3.288983431202095E-2</c:v>
                </c:pt>
                <c:pt idx="43">
                  <c:v>3.2739355827919009E-2</c:v>
                </c:pt>
                <c:pt idx="44">
                  <c:v>3.2587519289748144E-2</c:v>
                </c:pt>
                <c:pt idx="45">
                  <c:v>3.2443347444505777E-2</c:v>
                </c:pt>
                <c:pt idx="46">
                  <c:v>3.2331555324203773E-2</c:v>
                </c:pt>
                <c:pt idx="47">
                  <c:v>3.2208360990620168E-2</c:v>
                </c:pt>
                <c:pt idx="48">
                  <c:v>3.2096578846247864E-2</c:v>
                </c:pt>
                <c:pt idx="49">
                  <c:v>3.199739749375935E-2</c:v>
                </c:pt>
                <c:pt idx="50">
                  <c:v>3.1905396436704564E-2</c:v>
                </c:pt>
                <c:pt idx="51">
                  <c:v>3.1846359733904678E-2</c:v>
                </c:pt>
                <c:pt idx="52">
                  <c:v>3.1787890384968813E-2</c:v>
                </c:pt>
                <c:pt idx="53">
                  <c:v>3.1738222946415054E-2</c:v>
                </c:pt>
                <c:pt idx="54">
                  <c:v>3.1688461335125817E-2</c:v>
                </c:pt>
                <c:pt idx="55">
                  <c:v>3.1667891911600243E-2</c:v>
                </c:pt>
                <c:pt idx="56">
                  <c:v>3.1635976415771913E-2</c:v>
                </c:pt>
                <c:pt idx="57">
                  <c:v>3.1601037767609905E-2</c:v>
                </c:pt>
                <c:pt idx="58">
                  <c:v>3.1569799330541617E-2</c:v>
                </c:pt>
                <c:pt idx="59">
                  <c:v>3.154668329204055E-2</c:v>
                </c:pt>
                <c:pt idx="60">
                  <c:v>3.1528333789918962E-2</c:v>
                </c:pt>
                <c:pt idx="61">
                  <c:v>3.1509084727901419E-2</c:v>
                </c:pt>
                <c:pt idx="62">
                  <c:v>3.1492785954935862E-2</c:v>
                </c:pt>
                <c:pt idx="63">
                  <c:v>3.146826360141685E-2</c:v>
                </c:pt>
                <c:pt idx="64">
                  <c:v>3.1446212196866725E-2</c:v>
                </c:pt>
                <c:pt idx="65">
                  <c:v>3.1425048035980722E-2</c:v>
                </c:pt>
                <c:pt idx="66">
                  <c:v>3.1440172087422433E-2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34E-48BD-BADD-00CBCC6727CB}"/>
            </c:ext>
          </c:extLst>
        </c:ser>
        <c:ser>
          <c:idx val="6"/>
          <c:order val="6"/>
          <c:tx>
            <c:v>Quia</c:v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0-634E-48BD-BADD-00CBCC6727C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1-634E-48BD-BADD-00CBCC6727C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2-634E-48BD-BADD-00CBCC6727CB}"/>
              </c:ext>
            </c:extLst>
          </c:dPt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'GlobalContinent Population'!$CC$1:$CC$67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0.17155216717796201</c:v>
                </c:pt>
                <c:pt idx="2">
                  <c:v>0.17116023841745409</c:v>
                </c:pt>
                <c:pt idx="3">
                  <c:v>0.17069513848620338</c:v>
                </c:pt>
                <c:pt idx="4">
                  <c:v>0.17014122795101971</c:v>
                </c:pt>
                <c:pt idx="5">
                  <c:v>0.16953432906341467</c:v>
                </c:pt>
                <c:pt idx="6">
                  <c:v>0.16886769983730326</c:v>
                </c:pt>
                <c:pt idx="7">
                  <c:v>0.16818082911634508</c:v>
                </c:pt>
                <c:pt idx="8">
                  <c:v>0.16747585611607407</c:v>
                </c:pt>
                <c:pt idx="9">
                  <c:v>0.1668005884858394</c:v>
                </c:pt>
                <c:pt idx="10">
                  <c:v>0.16598571372963611</c:v>
                </c:pt>
                <c:pt idx="11">
                  <c:v>0.16518060073708307</c:v>
                </c:pt>
                <c:pt idx="12">
                  <c:v>0.16434966048540575</c:v>
                </c:pt>
                <c:pt idx="13">
                  <c:v>0.16349080467693242</c:v>
                </c:pt>
                <c:pt idx="14">
                  <c:v>0.16259816644255121</c:v>
                </c:pt>
                <c:pt idx="15">
                  <c:v>0.16167357974810034</c:v>
                </c:pt>
                <c:pt idx="16">
                  <c:v>0.16073755087853431</c:v>
                </c:pt>
                <c:pt idx="17">
                  <c:v>0.15967550063703029</c:v>
                </c:pt>
                <c:pt idx="18">
                  <c:v>0.15856419558344226</c:v>
                </c:pt>
                <c:pt idx="19">
                  <c:v>0.15740169712717619</c:v>
                </c:pt>
                <c:pt idx="20">
                  <c:v>0.15623705259219675</c:v>
                </c:pt>
                <c:pt idx="21">
                  <c:v>0.15508577950160152</c:v>
                </c:pt>
                <c:pt idx="22">
                  <c:v>0.15391943130995422</c:v>
                </c:pt>
                <c:pt idx="23">
                  <c:v>0.15272400422811333</c:v>
                </c:pt>
                <c:pt idx="24">
                  <c:v>0.15144442489067053</c:v>
                </c:pt>
                <c:pt idx="25">
                  <c:v>0.15021536838775673</c:v>
                </c:pt>
                <c:pt idx="26">
                  <c:v>0.14908010693757168</c:v>
                </c:pt>
                <c:pt idx="27">
                  <c:v>0.14806022214316414</c:v>
                </c:pt>
                <c:pt idx="28">
                  <c:v>0.14712247023878292</c:v>
                </c:pt>
                <c:pt idx="29">
                  <c:v>0.14621908910330933</c:v>
                </c:pt>
                <c:pt idx="30">
                  <c:v>0.14529926132411267</c:v>
                </c:pt>
                <c:pt idx="31">
                  <c:v>0.14437371642221733</c:v>
                </c:pt>
                <c:pt idx="32">
                  <c:v>0.14340409873477936</c:v>
                </c:pt>
                <c:pt idx="33">
                  <c:v>0.14240746253669367</c:v>
                </c:pt>
                <c:pt idx="34">
                  <c:v>0.14143529682374451</c:v>
                </c:pt>
                <c:pt idx="35">
                  <c:v>0.14054298447054303</c:v>
                </c:pt>
                <c:pt idx="36">
                  <c:v>0.13970954820894393</c:v>
                </c:pt>
                <c:pt idx="37">
                  <c:v>0.13893504227796907</c:v>
                </c:pt>
                <c:pt idx="38">
                  <c:v>0.13821038399660665</c:v>
                </c:pt>
                <c:pt idx="39">
                  <c:v>0.13749613042199366</c:v>
                </c:pt>
                <c:pt idx="40">
                  <c:v>0.13675014499491345</c:v>
                </c:pt>
                <c:pt idx="41">
                  <c:v>0.13592778175882489</c:v>
                </c:pt>
                <c:pt idx="42">
                  <c:v>0.13508941972518207</c:v>
                </c:pt>
                <c:pt idx="43">
                  <c:v>0.13435763990310404</c:v>
                </c:pt>
                <c:pt idx="44">
                  <c:v>0.13360132810142294</c:v>
                </c:pt>
                <c:pt idx="45">
                  <c:v>0.13302917380776536</c:v>
                </c:pt>
                <c:pt idx="46">
                  <c:v>0.1325444198759167</c:v>
                </c:pt>
                <c:pt idx="47">
                  <c:v>0.13191022256902929</c:v>
                </c:pt>
                <c:pt idx="48">
                  <c:v>0.13130714877524419</c:v>
                </c:pt>
                <c:pt idx="49">
                  <c:v>0.13069516286344018</c:v>
                </c:pt>
                <c:pt idx="50">
                  <c:v>0.13019955939811942</c:v>
                </c:pt>
                <c:pt idx="51">
                  <c:v>0.12978735778251374</c:v>
                </c:pt>
                <c:pt idx="52">
                  <c:v>0.12937649921900543</c:v>
                </c:pt>
                <c:pt idx="53">
                  <c:v>0.12899982318653108</c:v>
                </c:pt>
                <c:pt idx="54">
                  <c:v>0.12869260367615459</c:v>
                </c:pt>
                <c:pt idx="55">
                  <c:v>0.128452470581573</c:v>
                </c:pt>
                <c:pt idx="56">
                  <c:v>0.1281829991038225</c:v>
                </c:pt>
                <c:pt idx="57">
                  <c:v>0.12799257559941041</c:v>
                </c:pt>
                <c:pt idx="58">
                  <c:v>0.12781588537413366</c:v>
                </c:pt>
                <c:pt idx="59">
                  <c:v>0.12767904578431805</c:v>
                </c:pt>
                <c:pt idx="60">
                  <c:v>0.12756161440147892</c:v>
                </c:pt>
                <c:pt idx="61">
                  <c:v>0.12743017039554214</c:v>
                </c:pt>
                <c:pt idx="62">
                  <c:v>0.12730891644262604</c:v>
                </c:pt>
                <c:pt idx="63">
                  <c:v>0.12716774265525049</c:v>
                </c:pt>
                <c:pt idx="64">
                  <c:v>0.12704351431539213</c:v>
                </c:pt>
                <c:pt idx="65">
                  <c:v>0.12693577933389111</c:v>
                </c:pt>
                <c:pt idx="66">
                  <c:v>0.12682546464614528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34E-48BD-BADD-00CBCC67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901694"/>
        <c:axId val="103325624"/>
      </c:lineChart>
      <c:catAx>
        <c:axId val="1444901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325624"/>
        <c:crosses val="autoZero"/>
        <c:auto val="1"/>
        <c:lblAlgn val="ctr"/>
        <c:lblOffset val="100"/>
        <c:noMultiLvlLbl val="1"/>
      </c:catAx>
      <c:valAx>
        <c:axId val="103325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4901694"/>
        <c:crosses val="autoZero"/>
        <c:crossBetween val="between"/>
      </c:valAx>
    </c:plotArea>
    <c:legend>
      <c:legendPos val="r"/>
      <c:legendEntry>
        <c:idx val="4"/>
        <c:txPr>
          <a:bodyPr/>
          <a:lstStyle/>
          <a:p>
            <a:pPr lvl="0">
              <a:defRPr>
                <a:latin typeface="+mn-lt"/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Population'!$Y$1:$Y$66</c:f>
              <c:numCache>
                <c:formatCode>0.00%</c:formatCode>
                <c:ptCount val="66"/>
                <c:pt idx="0" formatCode="General">
                  <c:v>0</c:v>
                </c:pt>
                <c:pt idx="1">
                  <c:v>4.5685788369702806E-3</c:v>
                </c:pt>
                <c:pt idx="2">
                  <c:v>4.7854165818214328E-3</c:v>
                </c:pt>
                <c:pt idx="3">
                  <c:v>3.8484268509908306E-3</c:v>
                </c:pt>
                <c:pt idx="4">
                  <c:v>3.028627604294174E-3</c:v>
                </c:pt>
                <c:pt idx="5">
                  <c:v>4.3564915272326053E-3</c:v>
                </c:pt>
                <c:pt idx="6">
                  <c:v>5.4124607499626944E-3</c:v>
                </c:pt>
                <c:pt idx="7">
                  <c:v>5.4396485917027103E-3</c:v>
                </c:pt>
                <c:pt idx="8">
                  <c:v>1.0526758616971697E-2</c:v>
                </c:pt>
                <c:pt idx="9">
                  <c:v>7.0756696631870284E-3</c:v>
                </c:pt>
                <c:pt idx="10">
                  <c:v>8.3671114107939926E-3</c:v>
                </c:pt>
                <c:pt idx="11">
                  <c:v>8.3968998269812415E-3</c:v>
                </c:pt>
                <c:pt idx="12">
                  <c:v>8.6707474181360079E-3</c:v>
                </c:pt>
                <c:pt idx="13">
                  <c:v>9.0418931284245736E-3</c:v>
                </c:pt>
                <c:pt idx="14">
                  <c:v>9.4366285084615097E-3</c:v>
                </c:pt>
                <c:pt idx="15">
                  <c:v>9.9405457174910391E-3</c:v>
                </c:pt>
                <c:pt idx="16">
                  <c:v>1.0424848119452759E-2</c:v>
                </c:pt>
                <c:pt idx="17">
                  <c:v>1.0690620068327864E-2</c:v>
                </c:pt>
                <c:pt idx="18">
                  <c:v>1.0737046337050296E-2</c:v>
                </c:pt>
                <c:pt idx="19">
                  <c:v>1.0507358503316494E-2</c:v>
                </c:pt>
                <c:pt idx="20">
                  <c:v>1.0206761484304255E-2</c:v>
                </c:pt>
                <c:pt idx="21">
                  <c:v>9.8962667560625189E-3</c:v>
                </c:pt>
                <c:pt idx="22">
                  <c:v>9.7457482774303099E-3</c:v>
                </c:pt>
                <c:pt idx="23">
                  <c:v>9.8731339444449034E-3</c:v>
                </c:pt>
                <c:pt idx="24">
                  <c:v>1.0217999668047657E-2</c:v>
                </c:pt>
                <c:pt idx="25">
                  <c:v>1.0578796868944884E-2</c:v>
                </c:pt>
                <c:pt idx="26">
                  <c:v>1.1160968549788998E-2</c:v>
                </c:pt>
                <c:pt idx="27">
                  <c:v>1.142788491909873E-2</c:v>
                </c:pt>
                <c:pt idx="28">
                  <c:v>1.1832408737547583E-2</c:v>
                </c:pt>
                <c:pt idx="29">
                  <c:v>1.2302853040077008E-2</c:v>
                </c:pt>
                <c:pt idx="30">
                  <c:v>1.2763996282569684E-2</c:v>
                </c:pt>
                <c:pt idx="31">
                  <c:v>1.3367461419655544E-2</c:v>
                </c:pt>
                <c:pt idx="32">
                  <c:v>1.3856432975416279E-2</c:v>
                </c:pt>
                <c:pt idx="33">
                  <c:v>1.4367783297046877E-2</c:v>
                </c:pt>
                <c:pt idx="34">
                  <c:v>1.4768199913371697E-2</c:v>
                </c:pt>
                <c:pt idx="35">
                  <c:v>1.5182974800558644E-2</c:v>
                </c:pt>
                <c:pt idx="36">
                  <c:v>1.5610744536659778E-2</c:v>
                </c:pt>
                <c:pt idx="37">
                  <c:v>1.5824025527067801E-2</c:v>
                </c:pt>
                <c:pt idx="38">
                  <c:v>1.5939187556259445E-2</c:v>
                </c:pt>
                <c:pt idx="39">
                  <c:v>1.6325828827552177E-2</c:v>
                </c:pt>
                <c:pt idx="40">
                  <c:v>1.6817942376664986E-2</c:v>
                </c:pt>
                <c:pt idx="41">
                  <c:v>1.7677022723821163E-2</c:v>
                </c:pt>
                <c:pt idx="42">
                  <c:v>1.8434904259381088E-2</c:v>
                </c:pt>
                <c:pt idx="43">
                  <c:v>1.9069182896263873E-2</c:v>
                </c:pt>
                <c:pt idx="44">
                  <c:v>1.9456362613234988E-2</c:v>
                </c:pt>
                <c:pt idx="45">
                  <c:v>1.9788810574183892E-2</c:v>
                </c:pt>
                <c:pt idx="46">
                  <c:v>2.0183961952249429E-2</c:v>
                </c:pt>
                <c:pt idx="47">
                  <c:v>2.0652965868985417E-2</c:v>
                </c:pt>
                <c:pt idx="48">
                  <c:v>2.1368118602065663E-2</c:v>
                </c:pt>
                <c:pt idx="49">
                  <c:v>2.2071383542525566E-2</c:v>
                </c:pt>
                <c:pt idx="50">
                  <c:v>2.2880456542378091E-2</c:v>
                </c:pt>
                <c:pt idx="51">
                  <c:v>2.3683881824784998E-2</c:v>
                </c:pt>
                <c:pt idx="52">
                  <c:v>2.4314672794485667E-2</c:v>
                </c:pt>
                <c:pt idx="53">
                  <c:v>2.4757933571369007E-2</c:v>
                </c:pt>
                <c:pt idx="54">
                  <c:v>2.5010173437197091E-2</c:v>
                </c:pt>
                <c:pt idx="55">
                  <c:v>2.5255225391896098E-2</c:v>
                </c:pt>
                <c:pt idx="56">
                  <c:v>2.5401626818183299E-2</c:v>
                </c:pt>
                <c:pt idx="57">
                  <c:v>2.5577682643020554E-2</c:v>
                </c:pt>
                <c:pt idx="58">
                  <c:v>2.5726154447991721E-2</c:v>
                </c:pt>
                <c:pt idx="59">
                  <c:v>2.5748616338050003E-2</c:v>
                </c:pt>
                <c:pt idx="60">
                  <c:v>2.5731920524128406E-2</c:v>
                </c:pt>
                <c:pt idx="61">
                  <c:v>2.5723343589769864E-2</c:v>
                </c:pt>
                <c:pt idx="62">
                  <c:v>2.5704230312683179E-2</c:v>
                </c:pt>
                <c:pt idx="63">
                  <c:v>2.5586401507759069E-2</c:v>
                </c:pt>
                <c:pt idx="64">
                  <c:v>2.5549361133947492E-2</c:v>
                </c:pt>
                <c:pt idx="65">
                  <c:v>2.5586548892234183E-2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8A-46D5-8C2D-71365883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537410"/>
        <c:axId val="532468534"/>
      </c:lineChart>
      <c:catAx>
        <c:axId val="711537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2468534"/>
        <c:crosses val="autoZero"/>
        <c:auto val="1"/>
        <c:lblAlgn val="ctr"/>
        <c:lblOffset val="100"/>
        <c:noMultiLvlLbl val="1"/>
      </c:catAx>
      <c:valAx>
        <c:axId val="532468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15374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(Excludes Heiso) 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Population'!$X$1</c:f>
              <c:strCache>
                <c:ptCount val="1"/>
                <c:pt idx="0">
                  <c:v>North Acrolan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Population'!$X$2:$X$67</c:f>
              <c:numCache>
                <c:formatCode>#,###</c:formatCode>
                <c:ptCount val="66"/>
                <c:pt idx="0">
                  <c:v>695214081.86366022</c:v>
                </c:pt>
                <c:pt idx="1">
                  <c:v>692052385.97900176</c:v>
                </c:pt>
                <c:pt idx="2">
                  <c:v>688756399.68312252</c:v>
                </c:pt>
                <c:pt idx="3">
                  <c:v>686115932.70480871</c:v>
                </c:pt>
                <c:pt idx="4">
                  <c:v>684044217.50511491</c:v>
                </c:pt>
                <c:pt idx="5">
                  <c:v>681077110.8423382</c:v>
                </c:pt>
                <c:pt idx="6">
                  <c:v>677410652.27529156</c:v>
                </c:pt>
                <c:pt idx="7">
                  <c:v>673745712.35988736</c:v>
                </c:pt>
                <c:pt idx="8">
                  <c:v>666727235.68645525</c:v>
                </c:pt>
                <c:pt idx="9">
                  <c:v>662042839.25302243</c:v>
                </c:pt>
                <c:pt idx="10">
                  <c:v>656549417.13317728</c:v>
                </c:pt>
                <c:pt idx="11">
                  <c:v>651082343.91223013</c:v>
                </c:pt>
                <c:pt idx="12">
                  <c:v>645485502.16092408</c:v>
                </c:pt>
                <c:pt idx="13">
                  <c:v>639701390.55343533</c:v>
                </c:pt>
                <c:pt idx="14">
                  <c:v>633721199.02034354</c:v>
                </c:pt>
                <c:pt idx="15">
                  <c:v>627483668.92244101</c:v>
                </c:pt>
                <c:pt idx="16">
                  <c:v>621009736.73626411</c:v>
                </c:pt>
                <c:pt idx="17">
                  <c:v>614440981.64706492</c:v>
                </c:pt>
                <c:pt idx="18">
                  <c:v>607913783.18804336</c:v>
                </c:pt>
                <c:pt idx="19">
                  <c:v>601592633.71266997</c:v>
                </c:pt>
                <c:pt idx="20">
                  <c:v>595514360.67280471</c:v>
                </c:pt>
                <c:pt idx="21">
                  <c:v>589678742.53628612</c:v>
                </c:pt>
                <c:pt idx="22">
                  <c:v>583987348.83731377</c:v>
                </c:pt>
                <c:pt idx="23">
                  <c:v>578277933.34428883</c:v>
                </c:pt>
                <c:pt idx="24">
                  <c:v>572428855.48892212</c:v>
                </c:pt>
                <c:pt idx="25">
                  <c:v>566436637.36312938</c:v>
                </c:pt>
                <c:pt idx="26">
                  <c:v>560184436.48543417</c:v>
                </c:pt>
                <c:pt idx="27">
                  <c:v>553855044.77191842</c:v>
                </c:pt>
                <c:pt idx="28">
                  <c:v>547378241.68229342</c:v>
                </c:pt>
                <c:pt idx="29">
                  <c:v>540725771.97470641</c:v>
                </c:pt>
                <c:pt idx="30">
                  <c:v>533910934.78785098</c:v>
                </c:pt>
                <c:pt idx="31">
                  <c:v>526868046.5029732</c:v>
                </c:pt>
                <c:pt idx="32">
                  <c:v>519667311.23532611</c:v>
                </c:pt>
                <c:pt idx="33">
                  <c:v>512306601.01036257</c:v>
                </c:pt>
                <c:pt idx="34">
                  <c:v>504850862.54584736</c:v>
                </c:pt>
                <c:pt idx="35">
                  <c:v>497300363.65614742</c:v>
                </c:pt>
                <c:pt idx="36">
                  <c:v>489656461.72148854</c:v>
                </c:pt>
                <c:pt idx="37">
                  <c:v>482028825.28539002</c:v>
                </c:pt>
                <c:pt idx="38">
                  <c:v>474466219.22800553</c:v>
                </c:pt>
                <c:pt idx="39">
                  <c:v>466844594.29251784</c:v>
                </c:pt>
                <c:pt idx="40">
                  <c:v>459123088.64390814</c:v>
                </c:pt>
                <c:pt idx="41">
                  <c:v>451148132.84774899</c:v>
                </c:pt>
                <c:pt idx="42">
                  <c:v>442981805.67154628</c:v>
                </c:pt>
                <c:pt idx="43">
                  <c:v>434692573.48412979</c:v>
                </c:pt>
                <c:pt idx="44">
                  <c:v>426396449.54479039</c:v>
                </c:pt>
                <c:pt idx="45">
                  <c:v>418122306.42608374</c:v>
                </c:pt>
                <c:pt idx="46">
                  <c:v>409849911.40809005</c:v>
                </c:pt>
                <c:pt idx="47">
                  <c:v>401556577.12623531</c:v>
                </c:pt>
                <c:pt idx="48">
                  <c:v>393155582.02055591</c:v>
                </c:pt>
                <c:pt idx="49">
                  <c:v>384665482.61812067</c:v>
                </c:pt>
                <c:pt idx="50">
                  <c:v>376061034.46183491</c:v>
                </c:pt>
                <c:pt idx="51">
                  <c:v>367360511.51990491</c:v>
                </c:pt>
                <c:pt idx="52">
                  <c:v>358640290.21246934</c:v>
                </c:pt>
                <c:pt idx="53">
                  <c:v>349975617.13191843</c:v>
                </c:pt>
                <c:pt idx="54">
                  <c:v>341436237.61151052</c:v>
                </c:pt>
                <c:pt idx="55">
                  <c:v>333025600.99705815</c:v>
                </c:pt>
                <c:pt idx="56">
                  <c:v>324775768.13529652</c:v>
                </c:pt>
                <c:pt idx="57">
                  <c:v>316675931.6547485</c:v>
                </c:pt>
                <c:pt idx="58">
                  <c:v>308733408.30932784</c:v>
                </c:pt>
                <c:pt idx="59">
                  <c:v>300983499.65268719</c:v>
                </c:pt>
                <c:pt idx="60">
                  <c:v>293432907.40029877</c:v>
                </c:pt>
                <c:pt idx="61">
                  <c:v>286074124.40605915</c:v>
                </c:pt>
                <c:pt idx="62">
                  <c:v>278905083.89426279</c:v>
                </c:pt>
                <c:pt idx="63">
                  <c:v>271946940.29116642</c:v>
                </c:pt>
                <c:pt idx="64">
                  <c:v>265171965.97000006</c:v>
                </c:pt>
                <c:pt idx="65">
                  <c:v>258556400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2-492B-811C-974317587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175863"/>
        <c:axId val="1517947515"/>
      </c:lineChart>
      <c:catAx>
        <c:axId val="1697175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7947515"/>
        <c:crosses val="autoZero"/>
        <c:auto val="1"/>
        <c:lblAlgn val="ctr"/>
        <c:lblOffset val="100"/>
        <c:noMultiLvlLbl val="1"/>
      </c:catAx>
      <c:valAx>
        <c:axId val="1517947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71758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Population'!$AI$1</c:f>
              <c:strCache>
                <c:ptCount val="1"/>
                <c:pt idx="0">
                  <c:v>South Acrolan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Population'!$AI$2:$AI$67</c:f>
              <c:numCache>
                <c:formatCode>#,###</c:formatCode>
                <c:ptCount val="66"/>
                <c:pt idx="0">
                  <c:v>233068817.83299503</c:v>
                </c:pt>
                <c:pt idx="1">
                  <c:v>227124150.51926872</c:v>
                </c:pt>
                <c:pt idx="2">
                  <c:v>221238937.62057197</c:v>
                </c:pt>
                <c:pt idx="3">
                  <c:v>215456938.29937729</c:v>
                </c:pt>
                <c:pt idx="4">
                  <c:v>209815456.89955547</c:v>
                </c:pt>
                <c:pt idx="5">
                  <c:v>204295101.78671795</c:v>
                </c:pt>
                <c:pt idx="6">
                  <c:v>198894972.87074414</c:v>
                </c:pt>
                <c:pt idx="7">
                  <c:v>193664475.32730699</c:v>
                </c:pt>
                <c:pt idx="8">
                  <c:v>188563608.61828807</c:v>
                </c:pt>
                <c:pt idx="9">
                  <c:v>183619531.70483631</c:v>
                </c:pt>
                <c:pt idx="10">
                  <c:v>178837210.33636171</c:v>
                </c:pt>
                <c:pt idx="11">
                  <c:v>174195350.84775248</c:v>
                </c:pt>
                <c:pt idx="12">
                  <c:v>169694646.62051252</c:v>
                </c:pt>
                <c:pt idx="13">
                  <c:v>165370111.15416148</c:v>
                </c:pt>
                <c:pt idx="14">
                  <c:v>161165271.75474504</c:v>
                </c:pt>
                <c:pt idx="15">
                  <c:v>157056931.34054744</c:v>
                </c:pt>
                <c:pt idx="16">
                  <c:v>153008044.60607496</c:v>
                </c:pt>
                <c:pt idx="17">
                  <c:v>149099431.12496969</c:v>
                </c:pt>
                <c:pt idx="18">
                  <c:v>145266264.60063389</c:v>
                </c:pt>
                <c:pt idx="19">
                  <c:v>141510186.46284151</c:v>
                </c:pt>
                <c:pt idx="20">
                  <c:v>137830656.87444776</c:v>
                </c:pt>
                <c:pt idx="21">
                  <c:v>134229864.55855626</c:v>
                </c:pt>
                <c:pt idx="22">
                  <c:v>131060674.01586908</c:v>
                </c:pt>
                <c:pt idx="23">
                  <c:v>127821130.56397985</c:v>
                </c:pt>
                <c:pt idx="24">
                  <c:v>124453876.66575179</c:v>
                </c:pt>
                <c:pt idx="25">
                  <c:v>121219566.50432861</c:v>
                </c:pt>
                <c:pt idx="26">
                  <c:v>118025330.39163384</c:v>
                </c:pt>
                <c:pt idx="27">
                  <c:v>114894617.98421703</c:v>
                </c:pt>
                <c:pt idx="28">
                  <c:v>111762629.4848541</c:v>
                </c:pt>
                <c:pt idx="29">
                  <c:v>108728045.0833483</c:v>
                </c:pt>
                <c:pt idx="30">
                  <c:v>105887545.32235929</c:v>
                </c:pt>
                <c:pt idx="31">
                  <c:v>103070146.34453078</c:v>
                </c:pt>
                <c:pt idx="32">
                  <c:v>100414024.34854823</c:v>
                </c:pt>
                <c:pt idx="33">
                  <c:v>97753989.085154265</c:v>
                </c:pt>
                <c:pt idx="34">
                  <c:v>94976237.156283304</c:v>
                </c:pt>
                <c:pt idx="35">
                  <c:v>92205852.220521852</c:v>
                </c:pt>
                <c:pt idx="36">
                  <c:v>89467953.139645457</c:v>
                </c:pt>
                <c:pt idx="37">
                  <c:v>86802274.718782693</c:v>
                </c:pt>
                <c:pt idx="38">
                  <c:v>84172292.062713236</c:v>
                </c:pt>
                <c:pt idx="39">
                  <c:v>81631488.047603428</c:v>
                </c:pt>
                <c:pt idx="40">
                  <c:v>79211748.677434728</c:v>
                </c:pt>
                <c:pt idx="41">
                  <c:v>76955124.041962638</c:v>
                </c:pt>
                <c:pt idx="42">
                  <c:v>74820423.555780172</c:v>
                </c:pt>
                <c:pt idx="43">
                  <c:v>72799449.392465681</c:v>
                </c:pt>
                <c:pt idx="44">
                  <c:v>70890910.180958971</c:v>
                </c:pt>
                <c:pt idx="45">
                  <c:v>69127571.297064602</c:v>
                </c:pt>
                <c:pt idx="46">
                  <c:v>67507747.058927745</c:v>
                </c:pt>
                <c:pt idx="47">
                  <c:v>65962602.198017746</c:v>
                </c:pt>
                <c:pt idx="48">
                  <c:v>64462443.954959266</c:v>
                </c:pt>
                <c:pt idx="49">
                  <c:v>62997638.151714489</c:v>
                </c:pt>
                <c:pt idx="50">
                  <c:v>61546057.659314305</c:v>
                </c:pt>
                <c:pt idx="51">
                  <c:v>60125201.543523744</c:v>
                </c:pt>
                <c:pt idx="52">
                  <c:v>58739943.90923848</c:v>
                </c:pt>
                <c:pt idx="53">
                  <c:v>57388768.695457451</c:v>
                </c:pt>
                <c:pt idx="54">
                  <c:v>56079214.346712098</c:v>
                </c:pt>
                <c:pt idx="55">
                  <c:v>54801313.51287055</c:v>
                </c:pt>
                <c:pt idx="56">
                  <c:v>53566930.635227375</c:v>
                </c:pt>
                <c:pt idx="57">
                  <c:v>52363185.583278291</c:v>
                </c:pt>
                <c:pt idx="58">
                  <c:v>51185184.939610749</c:v>
                </c:pt>
                <c:pt idx="59">
                  <c:v>50052930.598075911</c:v>
                </c:pt>
                <c:pt idx="60">
                  <c:v>48952822.650253847</c:v>
                </c:pt>
                <c:pt idx="61">
                  <c:v>47885065.826152071</c:v>
                </c:pt>
                <c:pt idx="62">
                  <c:v>46869331.608969167</c:v>
                </c:pt>
                <c:pt idx="63">
                  <c:v>45884137.522334628</c:v>
                </c:pt>
                <c:pt idx="64">
                  <c:v>44946718.588000007</c:v>
                </c:pt>
                <c:pt idx="65">
                  <c:v>44037621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B-4DFC-8F11-CDE832F37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894477"/>
        <c:axId val="510791991"/>
      </c:lineChart>
      <c:catAx>
        <c:axId val="1420894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0791991"/>
        <c:crosses val="autoZero"/>
        <c:auto val="1"/>
        <c:lblAlgn val="ctr"/>
        <c:lblOffset val="100"/>
        <c:noMultiLvlLbl val="1"/>
      </c:catAx>
      <c:valAx>
        <c:axId val="51079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08944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Population'!$AJ$1:$AJ$67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2.6173646880506322E-2</c:v>
                </c:pt>
                <c:pt idx="2">
                  <c:v>2.6601162354114975E-2</c:v>
                </c:pt>
                <c:pt idx="3">
                  <c:v>2.6835985727972213E-2</c:v>
                </c:pt>
                <c:pt idx="4">
                  <c:v>2.6887825535763805E-2</c:v>
                </c:pt>
                <c:pt idx="5">
                  <c:v>2.7021475623046111E-2</c:v>
                </c:pt>
                <c:pt idx="6">
                  <c:v>2.7150655635138621E-2</c:v>
                </c:pt>
                <c:pt idx="7">
                  <c:v>2.7008038178386786E-2</c:v>
                </c:pt>
                <c:pt idx="8">
                  <c:v>2.7051172526850985E-2</c:v>
                </c:pt>
                <c:pt idx="9">
                  <c:v>2.6925659092733326E-2</c:v>
                </c:pt>
                <c:pt idx="10">
                  <c:v>2.6741198654798334E-2</c:v>
                </c:pt>
                <c:pt idx="11">
                  <c:v>2.6647436145791459E-2</c:v>
                </c:pt>
                <c:pt idx="12">
                  <c:v>2.6522370132894491E-2</c:v>
                </c:pt>
                <c:pt idx="13">
                  <c:v>2.6150647394314257E-2</c:v>
                </c:pt>
                <c:pt idx="14">
                  <c:v>2.6090232428082928E-2</c:v>
                </c:pt>
                <c:pt idx="15">
                  <c:v>2.6158287820417528E-2</c:v>
                </c:pt>
                <c:pt idx="16">
                  <c:v>2.6461920645391532E-2</c:v>
                </c:pt>
                <c:pt idx="17">
                  <c:v>2.6214811496022485E-2</c:v>
                </c:pt>
                <c:pt idx="18">
                  <c:v>2.6387176230310221E-2</c:v>
                </c:pt>
                <c:pt idx="19">
                  <c:v>2.6542811027803072E-2</c:v>
                </c:pt>
                <c:pt idx="20">
                  <c:v>2.6696017212959323E-2</c:v>
                </c:pt>
                <c:pt idx="21">
                  <c:v>2.682556767626551E-2</c:v>
                </c:pt>
                <c:pt idx="22">
                  <c:v>2.4181094492947947E-2</c:v>
                </c:pt>
                <c:pt idx="23">
                  <c:v>2.5344349855110256E-2</c:v>
                </c:pt>
                <c:pt idx="24">
                  <c:v>2.7056239535804608E-2</c:v>
                </c:pt>
                <c:pt idx="25">
                  <c:v>2.6681419961254216E-2</c:v>
                </c:pt>
                <c:pt idx="26">
                  <c:v>2.7063987892222769E-2</c:v>
                </c:pt>
                <c:pt idx="27">
                  <c:v>2.7248555783934706E-2</c:v>
                </c:pt>
                <c:pt idx="28">
                  <c:v>2.8023575624510275E-2</c:v>
                </c:pt>
                <c:pt idx="29">
                  <c:v>2.7909858943748679E-2</c:v>
                </c:pt>
                <c:pt idx="30">
                  <c:v>2.6825626681037135E-2</c:v>
                </c:pt>
                <c:pt idx="31">
                  <c:v>2.7334772266751687E-2</c:v>
                </c:pt>
                <c:pt idx="32">
                  <c:v>2.645170346686682E-2</c:v>
                </c:pt>
                <c:pt idx="33">
                  <c:v>2.7211526488978274E-2</c:v>
                </c:pt>
                <c:pt idx="34">
                  <c:v>2.9246809644607977E-2</c:v>
                </c:pt>
                <c:pt idx="35">
                  <c:v>3.0045651865303832E-2</c:v>
                </c:pt>
                <c:pt idx="36">
                  <c:v>3.0602008705876656E-2</c:v>
                </c:pt>
                <c:pt idx="37">
                  <c:v>3.0709776091685209E-2</c:v>
                </c:pt>
                <c:pt idx="38">
                  <c:v>3.1245230367612755E-2</c:v>
                </c:pt>
                <c:pt idx="39">
                  <c:v>3.1125293387131894E-2</c:v>
                </c:pt>
                <c:pt idx="40">
                  <c:v>3.0547733266467057E-2</c:v>
                </c:pt>
                <c:pt idx="41">
                  <c:v>2.9323903555032681E-2</c:v>
                </c:pt>
                <c:pt idx="42">
                  <c:v>2.8530986390246812E-2</c:v>
                </c:pt>
                <c:pt idx="43">
                  <c:v>2.7760844074785688E-2</c:v>
                </c:pt>
                <c:pt idx="44">
                  <c:v>2.6922199286691283E-2</c:v>
                </c:pt>
                <c:pt idx="45">
                  <c:v>2.5508474416332437E-2</c:v>
                </c:pt>
                <c:pt idx="46">
                  <c:v>2.3994642225623492E-2</c:v>
                </c:pt>
                <c:pt idx="47">
                  <c:v>2.3424558907963033E-2</c:v>
                </c:pt>
                <c:pt idx="48">
                  <c:v>2.3271817682039175E-2</c:v>
                </c:pt>
                <c:pt idx="49">
                  <c:v>2.3251757466163231E-2</c:v>
                </c:pt>
                <c:pt idx="50">
                  <c:v>2.3585271707171708E-2</c:v>
                </c:pt>
                <c:pt idx="51">
                  <c:v>2.3631623334551721E-2</c:v>
                </c:pt>
                <c:pt idx="52">
                  <c:v>2.3582889973910812E-2</c:v>
                </c:pt>
                <c:pt idx="53">
                  <c:v>2.3544244710167129E-2</c:v>
                </c:pt>
                <c:pt idx="54">
                  <c:v>2.3351866890448551E-2</c:v>
                </c:pt>
                <c:pt idx="55">
                  <c:v>2.3318799348512359E-2</c:v>
                </c:pt>
                <c:pt idx="56">
                  <c:v>2.3043748503137208E-2</c:v>
                </c:pt>
                <c:pt idx="57">
                  <c:v>2.2988384654991062E-2</c:v>
                </c:pt>
                <c:pt idx="58">
                  <c:v>2.3014484465717355E-2</c:v>
                </c:pt>
                <c:pt idx="59">
                  <c:v>2.2621139821498548E-2</c:v>
                </c:pt>
                <c:pt idx="60">
                  <c:v>2.2472819507913699E-2</c:v>
                </c:pt>
                <c:pt idx="61">
                  <c:v>2.2298326329513542E-2</c:v>
                </c:pt>
                <c:pt idx="62">
                  <c:v>2.1671617288191242E-2</c:v>
                </c:pt>
                <c:pt idx="63">
                  <c:v>2.1471343689417385E-2</c:v>
                </c:pt>
                <c:pt idx="64">
                  <c:v>2.0856226300464464E-2</c:v>
                </c:pt>
                <c:pt idx="65">
                  <c:v>2.0643658021399634E-2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E0-4F99-8ED4-8537A251C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709126"/>
        <c:axId val="1574441673"/>
      </c:lineChart>
      <c:catAx>
        <c:axId val="1272709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4441673"/>
        <c:crosses val="autoZero"/>
        <c:auto val="1"/>
        <c:lblAlgn val="ctr"/>
        <c:lblOffset val="100"/>
        <c:noMultiLvlLbl val="1"/>
      </c:catAx>
      <c:valAx>
        <c:axId val="1574441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27091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(Includes Heiso)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Population'!$AT$1</c:f>
              <c:strCache>
                <c:ptCount val="1"/>
                <c:pt idx="0">
                  <c:v>Central Atirhan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Population'!$AT$2:$AT$67</c:f>
              <c:numCache>
                <c:formatCode>#,###</c:formatCode>
                <c:ptCount val="66"/>
                <c:pt idx="0">
                  <c:v>326381358.73238164</c:v>
                </c:pt>
                <c:pt idx="1">
                  <c:v>321973567.45274144</c:v>
                </c:pt>
                <c:pt idx="2">
                  <c:v>317471440.81916016</c:v>
                </c:pt>
                <c:pt idx="3">
                  <c:v>312387052.84402841</c:v>
                </c:pt>
                <c:pt idx="4">
                  <c:v>307288124.89966404</c:v>
                </c:pt>
                <c:pt idx="5">
                  <c:v>303235603.92111337</c:v>
                </c:pt>
                <c:pt idx="6">
                  <c:v>298761985.10795051</c:v>
                </c:pt>
                <c:pt idx="7">
                  <c:v>293018762.50640267</c:v>
                </c:pt>
                <c:pt idx="8">
                  <c:v>287530214.2579748</c:v>
                </c:pt>
                <c:pt idx="9">
                  <c:v>282609514.53982627</c:v>
                </c:pt>
                <c:pt idx="10">
                  <c:v>278965760.79528004</c:v>
                </c:pt>
                <c:pt idx="11">
                  <c:v>275708901.93423432</c:v>
                </c:pt>
                <c:pt idx="12">
                  <c:v>272849414.69793642</c:v>
                </c:pt>
                <c:pt idx="13">
                  <c:v>269832917.58444995</c:v>
                </c:pt>
                <c:pt idx="14">
                  <c:v>266877530.24313918</c:v>
                </c:pt>
                <c:pt idx="15">
                  <c:v>263641492.22691709</c:v>
                </c:pt>
                <c:pt idx="16">
                  <c:v>260770529.78022817</c:v>
                </c:pt>
                <c:pt idx="17">
                  <c:v>258058299.12496376</c:v>
                </c:pt>
                <c:pt idx="18">
                  <c:v>255568428.98355082</c:v>
                </c:pt>
                <c:pt idx="19">
                  <c:v>252914128.5921841</c:v>
                </c:pt>
                <c:pt idx="20">
                  <c:v>249988418.73681766</c:v>
                </c:pt>
                <c:pt idx="21">
                  <c:v>247318358.12163544</c:v>
                </c:pt>
                <c:pt idx="22">
                  <c:v>244998677.83444819</c:v>
                </c:pt>
                <c:pt idx="23">
                  <c:v>242846410.39797348</c:v>
                </c:pt>
                <c:pt idx="24">
                  <c:v>240213862.97743633</c:v>
                </c:pt>
                <c:pt idx="25">
                  <c:v>237270204.22757202</c:v>
                </c:pt>
                <c:pt idx="26">
                  <c:v>233943091.85141703</c:v>
                </c:pt>
                <c:pt idx="27">
                  <c:v>230231150.5802047</c:v>
                </c:pt>
                <c:pt idx="28">
                  <c:v>226677986.87055773</c:v>
                </c:pt>
                <c:pt idx="29">
                  <c:v>223438464.9241333</c:v>
                </c:pt>
                <c:pt idx="30">
                  <c:v>220397281.12756914</c:v>
                </c:pt>
                <c:pt idx="31">
                  <c:v>217645511.60390073</c:v>
                </c:pt>
                <c:pt idx="32">
                  <c:v>215191060.42226848</c:v>
                </c:pt>
                <c:pt idx="33">
                  <c:v>212435207.10971433</c:v>
                </c:pt>
                <c:pt idx="34">
                  <c:v>209056721.92491287</c:v>
                </c:pt>
                <c:pt idx="35">
                  <c:v>206032350.39084864</c:v>
                </c:pt>
                <c:pt idx="36">
                  <c:v>203656375.96435106</c:v>
                </c:pt>
                <c:pt idx="37">
                  <c:v>201560426.93669748</c:v>
                </c:pt>
                <c:pt idx="38">
                  <c:v>199348353.21106705</c:v>
                </c:pt>
                <c:pt idx="39">
                  <c:v>197215184.30485901</c:v>
                </c:pt>
                <c:pt idx="40">
                  <c:v>195322030.75724936</c:v>
                </c:pt>
                <c:pt idx="41">
                  <c:v>193029731.60709417</c:v>
                </c:pt>
                <c:pt idx="42">
                  <c:v>188577858.46439597</c:v>
                </c:pt>
                <c:pt idx="43">
                  <c:v>185852834.27623942</c:v>
                </c:pt>
                <c:pt idx="44">
                  <c:v>182664232.18053228</c:v>
                </c:pt>
                <c:pt idx="45">
                  <c:v>177129402.07865641</c:v>
                </c:pt>
                <c:pt idx="46">
                  <c:v>173868857.45421928</c:v>
                </c:pt>
                <c:pt idx="47">
                  <c:v>170465889.72119266</c:v>
                </c:pt>
                <c:pt idx="48">
                  <c:v>167606058.64461938</c:v>
                </c:pt>
                <c:pt idx="49">
                  <c:v>165528565.968449</c:v>
                </c:pt>
                <c:pt idx="50">
                  <c:v>162026277.15933713</c:v>
                </c:pt>
                <c:pt idx="51">
                  <c:v>159053154.48365006</c:v>
                </c:pt>
                <c:pt idx="52">
                  <c:v>156144068.44916022</c:v>
                </c:pt>
                <c:pt idx="53">
                  <c:v>153351998.97049457</c:v>
                </c:pt>
                <c:pt idx="54">
                  <c:v>149938061.84028882</c:v>
                </c:pt>
                <c:pt idx="55">
                  <c:v>147192121.48096725</c:v>
                </c:pt>
                <c:pt idx="56">
                  <c:v>144510710.8846781</c:v>
                </c:pt>
                <c:pt idx="57">
                  <c:v>141773636.66953152</c:v>
                </c:pt>
                <c:pt idx="58">
                  <c:v>139095709.12983727</c:v>
                </c:pt>
                <c:pt idx="59">
                  <c:v>136475986.28965527</c:v>
                </c:pt>
                <c:pt idx="60">
                  <c:v>133910137.99060188</c:v>
                </c:pt>
                <c:pt idx="61">
                  <c:v>131280643.37568767</c:v>
                </c:pt>
                <c:pt idx="62">
                  <c:v>128702557.18008684</c:v>
                </c:pt>
                <c:pt idx="63">
                  <c:v>126174583.43215999</c:v>
                </c:pt>
                <c:pt idx="64">
                  <c:v>123589726.55999999</c:v>
                </c:pt>
                <c:pt idx="65">
                  <c:v>120958430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7-44C3-9072-72011E1C6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019586"/>
        <c:axId val="20276478"/>
      </c:lineChart>
      <c:catAx>
        <c:axId val="109601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76478"/>
        <c:crosses val="autoZero"/>
        <c:auto val="1"/>
        <c:lblAlgn val="ctr"/>
        <c:lblOffset val="100"/>
        <c:noMultiLvlLbl val="1"/>
      </c:catAx>
      <c:valAx>
        <c:axId val="20276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60195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Population'!$AU$1:$AU$67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1.3689916580767654E-2</c:v>
                </c:pt>
                <c:pt idx="2">
                  <c:v>1.4181202006595003E-2</c:v>
                </c:pt>
                <c:pt idx="3">
                  <c:v>1.6275924142318189E-2</c:v>
                </c:pt>
                <c:pt idx="4">
                  <c:v>1.6593312696444987E-2</c:v>
                </c:pt>
                <c:pt idx="5">
                  <c:v>1.3364265034012742E-2</c:v>
                </c:pt>
                <c:pt idx="6">
                  <c:v>1.4973855564476946E-2</c:v>
                </c:pt>
                <c:pt idx="7">
                  <c:v>1.9600187211296218E-2</c:v>
                </c:pt>
                <c:pt idx="8">
                  <c:v>1.9088596523993445E-2</c:v>
                </c:pt>
                <c:pt idx="9">
                  <c:v>1.7411656242929105E-2</c:v>
                </c:pt>
                <c:pt idx="10">
                  <c:v>1.3061652204767221E-2</c:v>
                </c:pt>
                <c:pt idx="11">
                  <c:v>1.1812672127005121E-2</c:v>
                </c:pt>
                <c:pt idx="12">
                  <c:v>1.0480092982656971E-2</c:v>
                </c:pt>
                <c:pt idx="13">
                  <c:v>1.1179129442360908E-2</c:v>
                </c:pt>
                <c:pt idx="14">
                  <c:v>1.1073945935494304E-2</c:v>
                </c:pt>
                <c:pt idx="15">
                  <c:v>1.2274388181041021E-2</c:v>
                </c:pt>
                <c:pt idx="16">
                  <c:v>1.1009535659986219E-2</c:v>
                </c:pt>
                <c:pt idx="17">
                  <c:v>1.0510146987952594E-2</c:v>
                </c:pt>
                <c:pt idx="18">
                  <c:v>9.742479348156103E-3</c:v>
                </c:pt>
                <c:pt idx="19">
                  <c:v>1.0494867985990194E-2</c:v>
                </c:pt>
                <c:pt idx="20">
                  <c:v>1.1703381581234617E-2</c:v>
                </c:pt>
                <c:pt idx="21">
                  <c:v>1.0796046987620057E-2</c:v>
                </c:pt>
                <c:pt idx="22">
                  <c:v>9.4681339005213538E-3</c:v>
                </c:pt>
                <c:pt idx="23">
                  <c:v>8.8626693429299745E-3</c:v>
                </c:pt>
                <c:pt idx="24">
                  <c:v>1.0959181905269236E-2</c:v>
                </c:pt>
                <c:pt idx="25">
                  <c:v>1.2406356539571948E-2</c:v>
                </c:pt>
                <c:pt idx="26">
                  <c:v>1.4221887681420058E-2</c:v>
                </c:pt>
                <c:pt idx="27">
                  <c:v>1.6122671766430778E-2</c:v>
                </c:pt>
                <c:pt idx="28">
                  <c:v>1.567493940942739E-2</c:v>
                </c:pt>
                <c:pt idx="29">
                  <c:v>1.4498497147858485E-2</c:v>
                </c:pt>
                <c:pt idx="30">
                  <c:v>1.3798644797273522E-2</c:v>
                </c:pt>
                <c:pt idx="31">
                  <c:v>1.2643355258694386E-2</c:v>
                </c:pt>
                <c:pt idx="32">
                  <c:v>1.1405916104581165E-2</c:v>
                </c:pt>
                <c:pt idx="33">
                  <c:v>1.2972676940178104E-2</c:v>
                </c:pt>
                <c:pt idx="34">
                  <c:v>1.6160614945521404E-2</c:v>
                </c:pt>
                <c:pt idx="35">
                  <c:v>1.4679109995721173E-2</c:v>
                </c:pt>
                <c:pt idx="36">
                  <c:v>1.1666585027092303E-2</c:v>
                </c:pt>
                <c:pt idx="37">
                  <c:v>1.0398613753243505E-2</c:v>
                </c:pt>
                <c:pt idx="38">
                  <c:v>1.109652369833385E-2</c:v>
                </c:pt>
                <c:pt idx="39">
                  <c:v>1.081645368092218E-2</c:v>
                </c:pt>
                <c:pt idx="40">
                  <c:v>9.6924731955224819E-3</c:v>
                </c:pt>
                <c:pt idx="41">
                  <c:v>1.187536827135567E-2</c:v>
                </c:pt>
                <c:pt idx="42">
                  <c:v>2.3607613210533542E-2</c:v>
                </c:pt>
                <c:pt idx="43">
                  <c:v>1.4662268664174626E-2</c:v>
                </c:pt>
                <c:pt idx="44">
                  <c:v>1.7456083534491646E-2</c:v>
                </c:pt>
                <c:pt idx="45">
                  <c:v>3.1247382066011065E-2</c:v>
                </c:pt>
                <c:pt idx="46">
                  <c:v>1.8752896132049668E-2</c:v>
                </c:pt>
                <c:pt idx="47">
                  <c:v>1.9962748785650811E-2</c:v>
                </c:pt>
                <c:pt idx="48">
                  <c:v>1.7062814433439284E-2</c:v>
                </c:pt>
                <c:pt idx="49">
                  <c:v>1.2550659543358605E-2</c:v>
                </c:pt>
                <c:pt idx="50">
                  <c:v>2.1615560577669151E-2</c:v>
                </c:pt>
                <c:pt idx="51">
                  <c:v>1.869263571250137E-2</c:v>
                </c:pt>
                <c:pt idx="52">
                  <c:v>1.8630781581287059E-2</c:v>
                </c:pt>
                <c:pt idx="53">
                  <c:v>1.8206932400032513E-2</c:v>
                </c:pt>
                <c:pt idx="54">
                  <c:v>2.2768982660601626E-2</c:v>
                </c:pt>
                <c:pt idx="55">
                  <c:v>1.8655484625762591E-2</c:v>
                </c:pt>
                <c:pt idx="56">
                  <c:v>1.8555099340899148E-2</c:v>
                </c:pt>
                <c:pt idx="57">
                  <c:v>1.9305946291880614E-2</c:v>
                </c:pt>
                <c:pt idx="58">
                  <c:v>1.9252409412533131E-2</c:v>
                </c:pt>
                <c:pt idx="59">
                  <c:v>1.9195485677765557E-2</c:v>
                </c:pt>
                <c:pt idx="60">
                  <c:v>1.9160971212153204E-2</c:v>
                </c:pt>
                <c:pt idx="61">
                  <c:v>2.0029568314875991E-2</c:v>
                </c:pt>
                <c:pt idx="62">
                  <c:v>2.0031351762447538E-2</c:v>
                </c:pt>
                <c:pt idx="63">
                  <c:v>2.0035522837973593E-2</c:v>
                </c:pt>
                <c:pt idx="64">
                  <c:v>2.0914819897308486E-2</c:v>
                </c:pt>
                <c:pt idx="65">
                  <c:v>2.1753726135499505E-2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8F-42C0-B0C9-84C3C3E9B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955758"/>
        <c:axId val="1069770106"/>
      </c:lineChart>
      <c:catAx>
        <c:axId val="1939955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9770106"/>
        <c:crosses val="autoZero"/>
        <c:auto val="1"/>
        <c:lblAlgn val="ctr"/>
        <c:lblOffset val="100"/>
        <c:noMultiLvlLbl val="1"/>
      </c:catAx>
      <c:valAx>
        <c:axId val="1069770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99557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Population'!$BE$1</c:f>
              <c:strCache>
                <c:ptCount val="1"/>
                <c:pt idx="0">
                  <c:v>East Atirhan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Population'!$BE$2:$BE$67</c:f>
              <c:numCache>
                <c:formatCode>#,###</c:formatCode>
                <c:ptCount val="66"/>
                <c:pt idx="0">
                  <c:v>107306109.76055335</c:v>
                </c:pt>
                <c:pt idx="1">
                  <c:v>106830462.13937108</c:v>
                </c:pt>
                <c:pt idx="2">
                  <c:v>106322693.54132147</c:v>
                </c:pt>
                <c:pt idx="3">
                  <c:v>105844136.73187371</c:v>
                </c:pt>
                <c:pt idx="4">
                  <c:v>105349355.67488146</c:v>
                </c:pt>
                <c:pt idx="5">
                  <c:v>104959280.06433095</c:v>
                </c:pt>
                <c:pt idx="6">
                  <c:v>104430285.021401</c:v>
                </c:pt>
                <c:pt idx="7">
                  <c:v>103910498.00460744</c:v>
                </c:pt>
                <c:pt idx="8">
                  <c:v>103343199.15579021</c:v>
                </c:pt>
                <c:pt idx="9">
                  <c:v>102705331.9637042</c:v>
                </c:pt>
                <c:pt idx="10">
                  <c:v>102050345.17861526</c:v>
                </c:pt>
                <c:pt idx="11">
                  <c:v>101314870.59523097</c:v>
                </c:pt>
                <c:pt idx="12">
                  <c:v>100530429.46469086</c:v>
                </c:pt>
                <c:pt idx="13">
                  <c:v>99656503.711468309</c:v>
                </c:pt>
                <c:pt idx="14">
                  <c:v>98824739.973178461</c:v>
                </c:pt>
                <c:pt idx="15">
                  <c:v>97997061.88006936</c:v>
                </c:pt>
                <c:pt idx="16">
                  <c:v>97046123.173243433</c:v>
                </c:pt>
                <c:pt idx="17">
                  <c:v>95913952.972585127</c:v>
                </c:pt>
                <c:pt idx="18">
                  <c:v>94914081.643093988</c:v>
                </c:pt>
                <c:pt idx="19">
                  <c:v>93763073.930723265</c:v>
                </c:pt>
                <c:pt idx="20">
                  <c:v>92757488.104936942</c:v>
                </c:pt>
                <c:pt idx="21">
                  <c:v>91871811.553521261</c:v>
                </c:pt>
                <c:pt idx="22">
                  <c:v>90642885.6607894</c:v>
                </c:pt>
                <c:pt idx="23">
                  <c:v>89572276.806282654</c:v>
                </c:pt>
                <c:pt idx="24">
                  <c:v>88435044.055131242</c:v>
                </c:pt>
                <c:pt idx="25">
                  <c:v>87460916.963998169</c:v>
                </c:pt>
                <c:pt idx="26">
                  <c:v>86724004.147690073</c:v>
                </c:pt>
                <c:pt idx="27">
                  <c:v>85974462.702648148</c:v>
                </c:pt>
                <c:pt idx="28">
                  <c:v>85292367.778264567</c:v>
                </c:pt>
                <c:pt idx="29">
                  <c:v>84531380.965572551</c:v>
                </c:pt>
                <c:pt idx="30">
                  <c:v>83810293.739631131</c:v>
                </c:pt>
                <c:pt idx="31">
                  <c:v>83014196.756742209</c:v>
                </c:pt>
                <c:pt idx="32">
                  <c:v>82066138.409850776</c:v>
                </c:pt>
                <c:pt idx="33">
                  <c:v>81173159.502253294</c:v>
                </c:pt>
                <c:pt idx="34">
                  <c:v>80141147.990712538</c:v>
                </c:pt>
                <c:pt idx="35">
                  <c:v>79012724.867171362</c:v>
                </c:pt>
                <c:pt idx="36">
                  <c:v>77805707.914851591</c:v>
                </c:pt>
                <c:pt idx="37">
                  <c:v>76619549.286273122</c:v>
                </c:pt>
                <c:pt idx="38">
                  <c:v>75676132.875006586</c:v>
                </c:pt>
                <c:pt idx="39">
                  <c:v>74561197.03290002</c:v>
                </c:pt>
                <c:pt idx="40">
                  <c:v>73443919.2229231</c:v>
                </c:pt>
                <c:pt idx="41">
                  <c:v>72311543.489745051</c:v>
                </c:pt>
                <c:pt idx="42">
                  <c:v>71222785.703525648</c:v>
                </c:pt>
                <c:pt idx="43">
                  <c:v>70175549.82078962</c:v>
                </c:pt>
                <c:pt idx="44">
                  <c:v>69138089.598020509</c:v>
                </c:pt>
                <c:pt idx="45">
                  <c:v>68097412.365094617</c:v>
                </c:pt>
                <c:pt idx="46">
                  <c:v>67050611.180323556</c:v>
                </c:pt>
                <c:pt idx="47">
                  <c:v>65994930.888140082</c:v>
                </c:pt>
                <c:pt idx="48">
                  <c:v>64909779.277324088</c:v>
                </c:pt>
                <c:pt idx="49">
                  <c:v>63746927.915007435</c:v>
                </c:pt>
                <c:pt idx="50">
                  <c:v>62544280.093768612</c:v>
                </c:pt>
                <c:pt idx="51">
                  <c:v>61560184.374111913</c:v>
                </c:pt>
                <c:pt idx="52">
                  <c:v>60661663.219124116</c:v>
                </c:pt>
                <c:pt idx="53">
                  <c:v>59689191.25120835</c:v>
                </c:pt>
                <c:pt idx="54">
                  <c:v>58615356.777789839</c:v>
                </c:pt>
                <c:pt idx="55">
                  <c:v>58304851.135464266</c:v>
                </c:pt>
                <c:pt idx="56">
                  <c:v>56994264.938526802</c:v>
                </c:pt>
                <c:pt idx="57">
                  <c:v>55900588.671401404</c:v>
                </c:pt>
                <c:pt idx="58">
                  <c:v>54772279.734392442</c:v>
                </c:pt>
                <c:pt idx="59">
                  <c:v>53604711.946658105</c:v>
                </c:pt>
                <c:pt idx="60">
                  <c:v>52446358.422187321</c:v>
                </c:pt>
                <c:pt idx="61">
                  <c:v>51420211.800748773</c:v>
                </c:pt>
                <c:pt idx="62">
                  <c:v>50382293.74251803</c:v>
                </c:pt>
                <c:pt idx="63">
                  <c:v>49356347.030073352</c:v>
                </c:pt>
                <c:pt idx="64">
                  <c:v>48324983.710499994</c:v>
                </c:pt>
                <c:pt idx="65">
                  <c:v>47290865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7-468B-9078-FB7B371E3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315027"/>
        <c:axId val="1485502735"/>
      </c:lineChart>
      <c:catAx>
        <c:axId val="1047315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5502735"/>
        <c:crosses val="autoZero"/>
        <c:auto val="1"/>
        <c:lblAlgn val="ctr"/>
        <c:lblOffset val="100"/>
        <c:noMultiLvlLbl val="1"/>
      </c:catAx>
      <c:valAx>
        <c:axId val="1485502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73150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Population'!$BF$1:$BF$67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4.4523594830258506E-3</c:v>
                </c:pt>
                <c:pt idx="2">
                  <c:v>4.7757311363850145E-3</c:v>
                </c:pt>
                <c:pt idx="3">
                  <c:v>4.5213350897277777E-3</c:v>
                </c:pt>
                <c:pt idx="4">
                  <c:v>4.6965741159271162E-3</c:v>
                </c:pt>
                <c:pt idx="5">
                  <c:v>3.7164470860644749E-3</c:v>
                </c:pt>
                <c:pt idx="6">
                  <c:v>5.0655328846563995E-3</c:v>
                </c:pt>
                <c:pt idx="7">
                  <c:v>5.0022570074730694E-3</c:v>
                </c:pt>
                <c:pt idx="8">
                  <c:v>5.4894647490254722E-3</c:v>
                </c:pt>
                <c:pt idx="9">
                  <c:v>6.2106531364061199E-3</c:v>
                </c:pt>
                <c:pt idx="10">
                  <c:v>6.4182711380597517E-3</c:v>
                </c:pt>
                <c:pt idx="11">
                  <c:v>7.2592954919976985E-3</c:v>
                </c:pt>
                <c:pt idx="12">
                  <c:v>7.8030217787502902E-3</c:v>
                </c:pt>
                <c:pt idx="13">
                  <c:v>8.7693800271460356E-3</c:v>
                </c:pt>
                <c:pt idx="14">
                  <c:v>8.4165537750526126E-3</c:v>
                </c:pt>
                <c:pt idx="15">
                  <c:v>8.4459480440549229E-3</c:v>
                </c:pt>
                <c:pt idx="16">
                  <c:v>9.7988325110972604E-3</c:v>
                </c:pt>
                <c:pt idx="17">
                  <c:v>1.1804019807023407E-2</c:v>
                </c:pt>
                <c:pt idx="18">
                  <c:v>1.0534488794307264E-2</c:v>
                </c:pt>
                <c:pt idx="19">
                  <c:v>1.2275703687158808E-2</c:v>
                </c:pt>
                <c:pt idx="20">
                  <c:v>1.0841020453774027E-2</c:v>
                </c:pt>
                <c:pt idx="21">
                  <c:v>9.6403514466427837E-3</c:v>
                </c:pt>
                <c:pt idx="22">
                  <c:v>1.3557885803976264E-2</c:v>
                </c:pt>
                <c:pt idx="23">
                  <c:v>1.1952457754558861E-2</c:v>
                </c:pt>
                <c:pt idx="24">
                  <c:v>1.2859526031812129E-2</c:v>
                </c:pt>
                <c:pt idx="25">
                  <c:v>1.1137855912647888E-2</c:v>
                </c:pt>
                <c:pt idx="26">
                  <c:v>8.4972185446274048E-3</c:v>
                </c:pt>
                <c:pt idx="27">
                  <c:v>8.7181870229802276E-3</c:v>
                </c:pt>
                <c:pt idx="28">
                  <c:v>7.9971390424619215E-3</c:v>
                </c:pt>
                <c:pt idx="29">
                  <c:v>9.0024178476623574E-3</c:v>
                </c:pt>
                <c:pt idx="30">
                  <c:v>8.6038026329030882E-3</c:v>
                </c:pt>
                <c:pt idx="31">
                  <c:v>9.5898896091440537E-3</c:v>
                </c:pt>
                <c:pt idx="32">
                  <c:v>1.1552369409130542E-2</c:v>
                </c:pt>
                <c:pt idx="33">
                  <c:v>1.100091351714225E-2</c:v>
                </c:pt>
                <c:pt idx="34">
                  <c:v>1.2877423613402121E-2</c:v>
                </c:pt>
                <c:pt idx="35">
                  <c:v>1.4281536618793661E-2</c:v>
                </c:pt>
                <c:pt idx="36">
                  <c:v>1.5513218562842419E-2</c:v>
                </c:pt>
                <c:pt idx="37">
                  <c:v>1.5481148605385714E-2</c:v>
                </c:pt>
                <c:pt idx="38">
                  <c:v>1.2466498688890007E-2</c:v>
                </c:pt>
                <c:pt idx="39">
                  <c:v>1.4953298585249403E-2</c:v>
                </c:pt>
                <c:pt idx="40">
                  <c:v>1.5212665960617731E-2</c:v>
                </c:pt>
                <c:pt idx="41">
                  <c:v>1.5659681408109322E-2</c:v>
                </c:pt>
                <c:pt idx="42">
                  <c:v>1.5286649847585333E-2</c:v>
                </c:pt>
                <c:pt idx="43">
                  <c:v>1.4923087676696506E-2</c:v>
                </c:pt>
                <c:pt idx="44">
                  <c:v>1.5005624667980628E-2</c:v>
                </c:pt>
                <c:pt idx="45">
                  <c:v>1.5282184693692155E-2</c:v>
                </c:pt>
                <c:pt idx="46">
                  <c:v>1.5612105040412393E-2</c:v>
                </c:pt>
                <c:pt idx="47">
                  <c:v>1.5996384540091845E-2</c:v>
                </c:pt>
                <c:pt idx="48">
                  <c:v>1.6717844720742822E-2</c:v>
                </c:pt>
                <c:pt idx="49">
                  <c:v>1.8241684742315124E-2</c:v>
                </c:pt>
                <c:pt idx="50">
                  <c:v>1.9228741931888428E-2</c:v>
                </c:pt>
                <c:pt idx="51">
                  <c:v>1.5985912479991583E-2</c:v>
                </c:pt>
                <c:pt idx="52">
                  <c:v>1.481200988080608E-2</c:v>
                </c:pt>
                <c:pt idx="53">
                  <c:v>1.6292262426927741E-2</c:v>
                </c:pt>
                <c:pt idx="54">
                  <c:v>1.8320019401901894E-2</c:v>
                </c:pt>
                <c:pt idx="55">
                  <c:v>5.3255541567913513E-3</c:v>
                </c:pt>
                <c:pt idx="56">
                  <c:v>2.2995053947112813E-2</c:v>
                </c:pt>
                <c:pt idx="57">
                  <c:v>1.9564664579013992E-2</c:v>
                </c:pt>
                <c:pt idx="58">
                  <c:v>2.0599999534079604E-2</c:v>
                </c:pt>
                <c:pt idx="59">
                  <c:v>2.1781066352826978E-2</c:v>
                </c:pt>
                <c:pt idx="60">
                  <c:v>2.208644335505942E-2</c:v>
                </c:pt>
                <c:pt idx="61">
                  <c:v>1.995609480207558E-2</c:v>
                </c:pt>
                <c:pt idx="62">
                  <c:v>2.0600849646407331E-2</c:v>
                </c:pt>
                <c:pt idx="63">
                  <c:v>2.0786520360178959E-2</c:v>
                </c:pt>
                <c:pt idx="64">
                  <c:v>2.1342238328561802E-2</c:v>
                </c:pt>
                <c:pt idx="65">
                  <c:v>2.1867198041312937E-2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6F-4DF8-8ADB-B650E6DC0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965260"/>
        <c:axId val="1735467694"/>
      </c:lineChart>
      <c:catAx>
        <c:axId val="471965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5467694"/>
        <c:crosses val="autoZero"/>
        <c:auto val="1"/>
        <c:lblAlgn val="ctr"/>
        <c:lblOffset val="100"/>
        <c:noMultiLvlLbl val="1"/>
      </c:catAx>
      <c:valAx>
        <c:axId val="1735467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19652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Population'!$BP$1</c:f>
              <c:strCache>
                <c:ptCount val="1"/>
                <c:pt idx="0">
                  <c:v>West Atirhan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Population'!$BP$2:$BP$67</c:f>
              <c:numCache>
                <c:formatCode>#,###</c:formatCode>
                <c:ptCount val="66"/>
                <c:pt idx="0">
                  <c:v>103750343.01267757</c:v>
                </c:pt>
                <c:pt idx="1">
                  <c:v>102708014.43065123</c:v>
                </c:pt>
                <c:pt idx="2">
                  <c:v>101660327.7401951</c:v>
                </c:pt>
                <c:pt idx="3">
                  <c:v>100627283.09837952</c:v>
                </c:pt>
                <c:pt idx="4">
                  <c:v>99521687.643415347</c:v>
                </c:pt>
                <c:pt idx="5">
                  <c:v>98363944.313101873</c:v>
                </c:pt>
                <c:pt idx="6">
                  <c:v>97195236.054026023</c:v>
                </c:pt>
                <c:pt idx="7">
                  <c:v>96101679.859283209</c:v>
                </c:pt>
                <c:pt idx="8">
                  <c:v>95038328.775602028</c:v>
                </c:pt>
                <c:pt idx="9">
                  <c:v>94003258.757899418</c:v>
                </c:pt>
                <c:pt idx="10">
                  <c:v>93000136.819939226</c:v>
                </c:pt>
                <c:pt idx="11">
                  <c:v>91903714.808378085</c:v>
                </c:pt>
                <c:pt idx="12">
                  <c:v>90760249.678408504</c:v>
                </c:pt>
                <c:pt idx="13">
                  <c:v>89680987.443809316</c:v>
                </c:pt>
                <c:pt idx="14">
                  <c:v>88620151.119329706</c:v>
                </c:pt>
                <c:pt idx="15">
                  <c:v>87497689.813570291</c:v>
                </c:pt>
                <c:pt idx="16">
                  <c:v>86335128.41725941</c:v>
                </c:pt>
                <c:pt idx="17">
                  <c:v>85143603.53528665</c:v>
                </c:pt>
                <c:pt idx="18">
                  <c:v>83981717.332374021</c:v>
                </c:pt>
                <c:pt idx="19">
                  <c:v>82856184.521579817</c:v>
                </c:pt>
                <c:pt idx="20">
                  <c:v>81853642.08444792</c:v>
                </c:pt>
                <c:pt idx="21">
                  <c:v>80848673.325214908</c:v>
                </c:pt>
                <c:pt idx="22">
                  <c:v>79822798.895575061</c:v>
                </c:pt>
                <c:pt idx="23">
                  <c:v>78751561.367251396</c:v>
                </c:pt>
                <c:pt idx="24">
                  <c:v>77689375.181419924</c:v>
                </c:pt>
                <c:pt idx="25">
                  <c:v>76623527.018393576</c:v>
                </c:pt>
                <c:pt idx="26">
                  <c:v>75534118.040288389</c:v>
                </c:pt>
                <c:pt idx="27">
                  <c:v>74442021.900343969</c:v>
                </c:pt>
                <c:pt idx="28">
                  <c:v>73306046.450010449</c:v>
                </c:pt>
                <c:pt idx="29">
                  <c:v>72152528.951780289</c:v>
                </c:pt>
                <c:pt idx="30">
                  <c:v>70969177.008687198</c:v>
                </c:pt>
                <c:pt idx="31">
                  <c:v>69679456.367227957</c:v>
                </c:pt>
                <c:pt idx="32">
                  <c:v>68384899.009391844</c:v>
                </c:pt>
                <c:pt idx="33">
                  <c:v>67094179.419679001</c:v>
                </c:pt>
                <c:pt idx="34">
                  <c:v>65824409.372584149</c:v>
                </c:pt>
                <c:pt idx="35">
                  <c:v>64581422.467095181</c:v>
                </c:pt>
                <c:pt idx="36">
                  <c:v>63339019.826885544</c:v>
                </c:pt>
                <c:pt idx="37">
                  <c:v>62093354.760174111</c:v>
                </c:pt>
                <c:pt idx="38">
                  <c:v>60857179.353311129</c:v>
                </c:pt>
                <c:pt idx="39">
                  <c:v>59635365.476426058</c:v>
                </c:pt>
                <c:pt idx="40">
                  <c:v>58437987.980534993</c:v>
                </c:pt>
                <c:pt idx="41">
                  <c:v>57270320.158615582</c:v>
                </c:pt>
                <c:pt idx="42">
                  <c:v>56111352.69406642</c:v>
                </c:pt>
                <c:pt idx="43">
                  <c:v>54950881.720735796</c:v>
                </c:pt>
                <c:pt idx="44">
                  <c:v>53792405.2246814</c:v>
                </c:pt>
                <c:pt idx="45">
                  <c:v>52628270.04322201</c:v>
                </c:pt>
                <c:pt idx="46">
                  <c:v>51439585.719775766</c:v>
                </c:pt>
                <c:pt idx="47">
                  <c:v>50231078.540382206</c:v>
                </c:pt>
                <c:pt idx="48">
                  <c:v>49022219.332837686</c:v>
                </c:pt>
                <c:pt idx="49">
                  <c:v>47818626.402172431</c:v>
                </c:pt>
                <c:pt idx="50">
                  <c:v>46623817.458306327</c:v>
                </c:pt>
                <c:pt idx="51">
                  <c:v>45455273.506336734</c:v>
                </c:pt>
                <c:pt idx="52">
                  <c:v>44319336.214554913</c:v>
                </c:pt>
                <c:pt idx="53">
                  <c:v>43216149.169127032</c:v>
                </c:pt>
                <c:pt idx="54">
                  <c:v>42146808.362813726</c:v>
                </c:pt>
                <c:pt idx="55">
                  <c:v>41120273.686496168</c:v>
                </c:pt>
                <c:pt idx="56">
                  <c:v>40127514.133192383</c:v>
                </c:pt>
                <c:pt idx="57">
                  <c:v>39147885.868521847</c:v>
                </c:pt>
                <c:pt idx="58">
                  <c:v>38178025.747425653</c:v>
                </c:pt>
                <c:pt idx="59">
                  <c:v>37219534.916868806</c:v>
                </c:pt>
                <c:pt idx="60">
                  <c:v>36276712.903906442</c:v>
                </c:pt>
                <c:pt idx="61">
                  <c:v>35373539.454223119</c:v>
                </c:pt>
                <c:pt idx="62">
                  <c:v>34508570.920428313</c:v>
                </c:pt>
                <c:pt idx="63">
                  <c:v>33651177.841497503</c:v>
                </c:pt>
                <c:pt idx="64">
                  <c:v>32808699.149999999</c:v>
                </c:pt>
                <c:pt idx="65">
                  <c:v>32004700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3-42C7-8B67-64FBB237F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673155"/>
        <c:axId val="616744600"/>
      </c:lineChart>
      <c:catAx>
        <c:axId val="1579673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6744600"/>
        <c:crosses val="autoZero"/>
        <c:auto val="1"/>
        <c:lblAlgn val="ctr"/>
        <c:lblOffset val="100"/>
        <c:noMultiLvlLbl val="1"/>
      </c:catAx>
      <c:valAx>
        <c:axId val="616744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96731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Population'!$BQ$1:$BQ$67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1.0148463951954947E-2</c:v>
                </c:pt>
                <c:pt idx="2">
                  <c:v>1.0305757553070489E-2</c:v>
                </c:pt>
                <c:pt idx="3">
                  <c:v>1.0266049226486657E-2</c:v>
                </c:pt>
                <c:pt idx="4">
                  <c:v>1.1109090703179262E-2</c:v>
                </c:pt>
                <c:pt idx="5">
                  <c:v>1.1769997008540709E-2</c:v>
                </c:pt>
                <c:pt idx="6">
                  <c:v>1.2024336855627607E-2</c:v>
                </c:pt>
                <c:pt idx="7">
                  <c:v>1.1379157953784495E-2</c:v>
                </c:pt>
                <c:pt idx="8">
                  <c:v>1.1188655118209124E-2</c:v>
                </c:pt>
                <c:pt idx="9">
                  <c:v>1.1011001441645541E-2</c:v>
                </c:pt>
                <c:pt idx="10">
                  <c:v>1.0786241528895506E-2</c:v>
                </c:pt>
                <c:pt idx="11">
                  <c:v>1.1930116359792553E-2</c:v>
                </c:pt>
                <c:pt idx="12">
                  <c:v>1.2598743767466824E-2</c:v>
                </c:pt>
                <c:pt idx="13">
                  <c:v>1.2034459759661015E-2</c:v>
                </c:pt>
                <c:pt idx="14">
                  <c:v>1.1970599362340984E-2</c:v>
                </c:pt>
                <c:pt idx="15">
                  <c:v>1.2828467907564447E-2</c:v>
                </c:pt>
                <c:pt idx="16">
                  <c:v>1.3465682134532751E-2</c:v>
                </c:pt>
                <c:pt idx="17">
                  <c:v>1.3994297075750946E-2</c:v>
                </c:pt>
                <c:pt idx="18">
                  <c:v>1.3834989802771447E-2</c:v>
                </c:pt>
                <c:pt idx="19">
                  <c:v>1.3584173798167842E-2</c:v>
                </c:pt>
                <c:pt idx="20">
                  <c:v>1.2247988135916781E-2</c:v>
                </c:pt>
                <c:pt idx="21">
                  <c:v>1.2430244281072023E-2</c:v>
                </c:pt>
                <c:pt idx="22">
                  <c:v>1.2851897500886993E-2</c:v>
                </c:pt>
                <c:pt idx="23">
                  <c:v>1.3602746532580321E-2</c:v>
                </c:pt>
                <c:pt idx="24">
                  <c:v>1.3672219442504966E-2</c:v>
                </c:pt>
                <c:pt idx="25">
                  <c:v>1.3910194485963685E-2</c:v>
                </c:pt>
                <c:pt idx="26">
                  <c:v>1.442274043001493E-2</c:v>
                </c:pt>
                <c:pt idx="27">
                  <c:v>1.4670425548172451E-2</c:v>
                </c:pt>
                <c:pt idx="28">
                  <c:v>1.54963404159052E-2</c:v>
                </c:pt>
                <c:pt idx="29">
                  <c:v>1.5987208140702286E-2</c:v>
                </c:pt>
                <c:pt idx="30">
                  <c:v>1.6674167476230413E-2</c:v>
                </c:pt>
                <c:pt idx="31">
                  <c:v>1.850933845783892E-2</c:v>
                </c:pt>
                <c:pt idx="32">
                  <c:v>1.8930456527519627E-2</c:v>
                </c:pt>
                <c:pt idx="33">
                  <c:v>1.923743014486097E-2</c:v>
                </c:pt>
                <c:pt idx="34">
                  <c:v>1.9290261153846536E-2</c:v>
                </c:pt>
                <c:pt idx="35">
                  <c:v>1.9246818326466578E-2</c:v>
                </c:pt>
                <c:pt idx="36">
                  <c:v>1.9615122614863617E-2</c:v>
                </c:pt>
                <c:pt idx="37">
                  <c:v>2.0061165506721615E-2</c:v>
                </c:pt>
                <c:pt idx="38">
                  <c:v>2.0312729245735631E-2</c:v>
                </c:pt>
                <c:pt idx="39">
                  <c:v>2.0488075609565202E-2</c:v>
                </c:pt>
                <c:pt idx="40">
                  <c:v>2.0489711183928797E-2</c:v>
                </c:pt>
                <c:pt idx="41">
                  <c:v>2.0388707775431406E-2</c:v>
                </c:pt>
                <c:pt idx="42">
                  <c:v>2.0654776776959045E-2</c:v>
                </c:pt>
                <c:pt idx="43">
                  <c:v>2.1118332172142727E-2</c:v>
                </c:pt>
                <c:pt idx="44">
                  <c:v>2.1536060550102636E-2</c:v>
                </c:pt>
                <c:pt idx="45">
                  <c:v>2.2119959111392425E-2</c:v>
                </c:pt>
                <c:pt idx="46">
                  <c:v>2.3108357246921965E-2</c:v>
                </c:pt>
                <c:pt idx="47">
                  <c:v>2.4058953431031867E-2</c:v>
                </c:pt>
                <c:pt idx="48">
                  <c:v>2.4659414118666029E-2</c:v>
                </c:pt>
                <c:pt idx="49">
                  <c:v>2.5169960352741848E-2</c:v>
                </c:pt>
                <c:pt idx="50">
                  <c:v>2.5626579053389827E-2</c:v>
                </c:pt>
                <c:pt idx="51">
                  <c:v>2.5707555181835873E-2</c:v>
                </c:pt>
                <c:pt idx="52">
                  <c:v>2.5630737930789838E-2</c:v>
                </c:pt>
                <c:pt idx="53">
                  <c:v>2.5527194501077422E-2</c:v>
                </c:pt>
                <c:pt idx="54">
                  <c:v>2.5371809820284974E-2</c:v>
                </c:pt>
                <c:pt idx="55">
                  <c:v>2.4964198539725917E-2</c:v>
                </c:pt>
                <c:pt idx="56">
                  <c:v>2.4740120955626357E-2</c:v>
                </c:pt>
                <c:pt idx="57">
                  <c:v>2.5023784629408009E-2</c:v>
                </c:pt>
                <c:pt idx="58">
                  <c:v>2.5403621641215735E-2</c:v>
                </c:pt>
                <c:pt idx="59">
                  <c:v>2.5752359149507686E-2</c:v>
                </c:pt>
                <c:pt idx="60">
                  <c:v>2.5989731083403543E-2</c:v>
                </c:pt>
                <c:pt idx="61">
                  <c:v>2.553245910978515E-2</c:v>
                </c:pt>
                <c:pt idx="62">
                  <c:v>2.5065324663524766E-2</c:v>
                </c:pt>
                <c:pt idx="63">
                  <c:v>2.5478843057716145E-2</c:v>
                </c:pt>
                <c:pt idx="64">
                  <c:v>2.5678515556064183E-2</c:v>
                </c:pt>
                <c:pt idx="65">
                  <c:v>2.5121283748949327E-2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16-4F58-B32E-8058978C8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321004"/>
        <c:axId val="2147029442"/>
      </c:lineChart>
      <c:catAx>
        <c:axId val="1787321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7029442"/>
        <c:crosses val="autoZero"/>
        <c:auto val="1"/>
        <c:lblAlgn val="ctr"/>
        <c:lblOffset val="100"/>
        <c:noMultiLvlLbl val="1"/>
      </c:catAx>
      <c:valAx>
        <c:axId val="2147029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73210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</a:t>
            </a:r>
          </a:p>
        </c:rich>
      </c:tx>
      <c:layout>
        <c:manualLayout>
          <c:xMode val="edge"/>
          <c:yMode val="edge"/>
          <c:x val="2.5133689839572194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Population'!$CA$1</c:f>
              <c:strCache>
                <c:ptCount val="1"/>
                <c:pt idx="0">
                  <c:v>Central Ayuman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Population'!$CA$2:$CA$67</c:f>
              <c:numCache>
                <c:formatCode>#,###</c:formatCode>
                <c:ptCount val="66"/>
                <c:pt idx="0">
                  <c:v>270797133.681306</c:v>
                </c:pt>
                <c:pt idx="1">
                  <c:v>269282043.03491116</c:v>
                </c:pt>
                <c:pt idx="2">
                  <c:v>267583686.57874528</c:v>
                </c:pt>
                <c:pt idx="3">
                  <c:v>265841044.23216397</c:v>
                </c:pt>
                <c:pt idx="4">
                  <c:v>263873276.767463</c:v>
                </c:pt>
                <c:pt idx="5">
                  <c:v>261870539.29060987</c:v>
                </c:pt>
                <c:pt idx="6">
                  <c:v>259753631.25428715</c:v>
                </c:pt>
                <c:pt idx="7">
                  <c:v>257826876.53706852</c:v>
                </c:pt>
                <c:pt idx="8">
                  <c:v>255991107.76890436</c:v>
                </c:pt>
                <c:pt idx="9">
                  <c:v>254230444.41980314</c:v>
                </c:pt>
                <c:pt idx="10">
                  <c:v>252441446.63394803</c:v>
                </c:pt>
                <c:pt idx="11">
                  <c:v>250611892.1243434</c:v>
                </c:pt>
                <c:pt idx="12">
                  <c:v>248708676.44875532</c:v>
                </c:pt>
                <c:pt idx="13">
                  <c:v>246743857.80510679</c:v>
                </c:pt>
                <c:pt idx="14">
                  <c:v>244633088.99706846</c:v>
                </c:pt>
                <c:pt idx="15">
                  <c:v>242329272.21272177</c:v>
                </c:pt>
                <c:pt idx="16">
                  <c:v>240682514.73296413</c:v>
                </c:pt>
                <c:pt idx="17">
                  <c:v>239898300.80180228</c:v>
                </c:pt>
                <c:pt idx="18">
                  <c:v>239056313.55744228</c:v>
                </c:pt>
                <c:pt idx="19">
                  <c:v>237985037.10972109</c:v>
                </c:pt>
                <c:pt idx="20">
                  <c:v>235551494.8815439</c:v>
                </c:pt>
                <c:pt idx="21">
                  <c:v>233000701.93462801</c:v>
                </c:pt>
                <c:pt idx="22">
                  <c:v>230987496.59043184</c:v>
                </c:pt>
                <c:pt idx="23">
                  <c:v>229442499.13791528</c:v>
                </c:pt>
                <c:pt idx="24">
                  <c:v>227184290.41208884</c:v>
                </c:pt>
                <c:pt idx="25">
                  <c:v>224357190.65539184</c:v>
                </c:pt>
                <c:pt idx="26">
                  <c:v>221824554.48780072</c:v>
                </c:pt>
                <c:pt idx="27">
                  <c:v>218613045.63077506</c:v>
                </c:pt>
                <c:pt idx="28">
                  <c:v>215439646.43390238</c:v>
                </c:pt>
                <c:pt idx="29">
                  <c:v>212589039.26659155</c:v>
                </c:pt>
                <c:pt idx="30">
                  <c:v>210622174.89355054</c:v>
                </c:pt>
                <c:pt idx="31">
                  <c:v>208770360.71818194</c:v>
                </c:pt>
                <c:pt idx="32">
                  <c:v>206810732.75653443</c:v>
                </c:pt>
                <c:pt idx="33">
                  <c:v>204772359.25175878</c:v>
                </c:pt>
                <c:pt idx="34">
                  <c:v>202475964.22468269</c:v>
                </c:pt>
                <c:pt idx="35">
                  <c:v>199863726.18360272</c:v>
                </c:pt>
                <c:pt idx="36">
                  <c:v>197304746.86442021</c:v>
                </c:pt>
                <c:pt idx="37">
                  <c:v>194714519.76574352</c:v>
                </c:pt>
                <c:pt idx="38">
                  <c:v>192075502.85072619</c:v>
                </c:pt>
                <c:pt idx="39">
                  <c:v>189452373.51900324</c:v>
                </c:pt>
                <c:pt idx="40">
                  <c:v>186828486.85287616</c:v>
                </c:pt>
                <c:pt idx="41">
                  <c:v>184171651.22810945</c:v>
                </c:pt>
                <c:pt idx="42">
                  <c:v>181473795.22895736</c:v>
                </c:pt>
                <c:pt idx="43">
                  <c:v>178719831.86559927</c:v>
                </c:pt>
                <c:pt idx="44">
                  <c:v>175903407.37878755</c:v>
                </c:pt>
                <c:pt idx="45">
                  <c:v>173043992.30804598</c:v>
                </c:pt>
                <c:pt idx="46">
                  <c:v>170068633.6502488</c:v>
                </c:pt>
                <c:pt idx="47">
                  <c:v>167012134.6727145</c:v>
                </c:pt>
                <c:pt idx="48">
                  <c:v>163925642.39286262</c:v>
                </c:pt>
                <c:pt idx="49">
                  <c:v>160794661.25316927</c:v>
                </c:pt>
                <c:pt idx="50">
                  <c:v>157731733.28776869</c:v>
                </c:pt>
                <c:pt idx="51">
                  <c:v>154702950.07304549</c:v>
                </c:pt>
                <c:pt idx="52">
                  <c:v>151618925.66383466</c:v>
                </c:pt>
                <c:pt idx="53">
                  <c:v>148498658.99100155</c:v>
                </c:pt>
                <c:pt idx="54">
                  <c:v>145439805.99324095</c:v>
                </c:pt>
                <c:pt idx="55">
                  <c:v>142477583.56954691</c:v>
                </c:pt>
                <c:pt idx="56">
                  <c:v>139603059.56647044</c:v>
                </c:pt>
                <c:pt idx="57">
                  <c:v>136842862.72920504</c:v>
                </c:pt>
                <c:pt idx="58">
                  <c:v>134249573.05425987</c:v>
                </c:pt>
                <c:pt idx="59">
                  <c:v>131924454.1331225</c:v>
                </c:pt>
                <c:pt idx="60">
                  <c:v>129904495.32588293</c:v>
                </c:pt>
                <c:pt idx="61">
                  <c:v>128145526.37762742</c:v>
                </c:pt>
                <c:pt idx="62">
                  <c:v>126583180.75983255</c:v>
                </c:pt>
                <c:pt idx="63">
                  <c:v>125098253.70888039</c:v>
                </c:pt>
                <c:pt idx="64">
                  <c:v>123663752.215</c:v>
                </c:pt>
                <c:pt idx="65">
                  <c:v>122292430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C-405A-AEF9-25DA12BFF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969361"/>
        <c:axId val="1462542344"/>
      </c:lineChart>
      <c:catAx>
        <c:axId val="1889969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2542344"/>
        <c:crosses val="autoZero"/>
        <c:auto val="1"/>
        <c:lblAlgn val="ctr"/>
        <c:lblOffset val="100"/>
        <c:noMultiLvlLbl val="1"/>
      </c:catAx>
      <c:valAx>
        <c:axId val="1462542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99693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Population'!$CB$1:$CB$67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5.6264080193361588E-3</c:v>
                </c:pt>
                <c:pt idx="2">
                  <c:v>6.3470104544885355E-3</c:v>
                </c:pt>
                <c:pt idx="3">
                  <c:v>6.555204263565215E-3</c:v>
                </c:pt>
                <c:pt idx="4">
                  <c:v>7.4572442075483535E-3</c:v>
                </c:pt>
                <c:pt idx="5">
                  <c:v>7.6478151466691019E-3</c:v>
                </c:pt>
                <c:pt idx="6">
                  <c:v>8.1496763918205047E-3</c:v>
                </c:pt>
                <c:pt idx="7">
                  <c:v>7.4730561184982681E-3</c:v>
                </c:pt>
                <c:pt idx="8">
                  <c:v>7.1712208449888652E-3</c:v>
                </c:pt>
                <c:pt idx="9">
                  <c:v>6.9254622636535411E-3</c:v>
                </c:pt>
                <c:pt idx="10">
                  <c:v>7.086783132126657E-3</c:v>
                </c:pt>
                <c:pt idx="11">
                  <c:v>7.300349931905396E-3</c:v>
                </c:pt>
                <c:pt idx="12">
                  <c:v>7.6523895457270693E-3</c:v>
                </c:pt>
                <c:pt idx="13">
                  <c:v>7.9629890734725702E-3</c:v>
                </c:pt>
                <c:pt idx="14">
                  <c:v>8.6283046038126854E-3</c:v>
                </c:pt>
                <c:pt idx="15">
                  <c:v>9.5069686105620811E-3</c:v>
                </c:pt>
                <c:pt idx="16">
                  <c:v>6.8420320503327992E-3</c:v>
                </c:pt>
                <c:pt idx="17">
                  <c:v>3.2689432502889955E-3</c:v>
                </c:pt>
                <c:pt idx="18">
                  <c:v>3.5221292917565249E-3</c:v>
                </c:pt>
                <c:pt idx="19">
                  <c:v>4.5014445476556572E-3</c:v>
                </c:pt>
                <c:pt idx="20">
                  <c:v>1.0331253594467698E-2</c:v>
                </c:pt>
                <c:pt idx="21">
                  <c:v>1.0947576233618212E-2</c:v>
                </c:pt>
                <c:pt idx="22">
                  <c:v>8.715646404730824E-3</c:v>
                </c:pt>
                <c:pt idx="23">
                  <c:v>6.7337021620736239E-3</c:v>
                </c:pt>
                <c:pt idx="24">
                  <c:v>9.9399862628277904E-3</c:v>
                </c:pt>
                <c:pt idx="25">
                  <c:v>1.2600887666842682E-2</c:v>
                </c:pt>
                <c:pt idx="26">
                  <c:v>1.1417294056733505E-2</c:v>
                </c:pt>
                <c:pt idx="27">
                  <c:v>1.4690380657564728E-2</c:v>
                </c:pt>
                <c:pt idx="28">
                  <c:v>1.4729875625962332E-2</c:v>
                </c:pt>
                <c:pt idx="29">
                  <c:v>1.3409003479883583E-2</c:v>
                </c:pt>
                <c:pt idx="30">
                  <c:v>9.3383537323886556E-3</c:v>
                </c:pt>
                <c:pt idx="31">
                  <c:v>8.8701009520616853E-3</c:v>
                </c:pt>
                <c:pt idx="32">
                  <c:v>9.4754654921824586E-3</c:v>
                </c:pt>
                <c:pt idx="33">
                  <c:v>9.9543391120944756E-3</c:v>
                </c:pt>
                <c:pt idx="34">
                  <c:v>1.1341568545527909E-2</c:v>
                </c:pt>
                <c:pt idx="35">
                  <c:v>1.3070095764552408E-2</c:v>
                </c:pt>
                <c:pt idx="36">
                  <c:v>1.2969679441827833E-2</c:v>
                </c:pt>
                <c:pt idx="37">
                  <c:v>1.3302691046322191E-2</c:v>
                </c:pt>
                <c:pt idx="38">
                  <c:v>1.3739476798705979E-2</c:v>
                </c:pt>
                <c:pt idx="39">
                  <c:v>1.3845850980905388E-2</c:v>
                </c:pt>
                <c:pt idx="40">
                  <c:v>1.4044360741375302E-2</c:v>
                </c:pt>
                <c:pt idx="41">
                  <c:v>1.4425866342893516E-2</c:v>
                </c:pt>
                <c:pt idx="42">
                  <c:v>1.4866366770741364E-2</c:v>
                </c:pt>
                <c:pt idx="43">
                  <c:v>1.5409388732130821E-2</c:v>
                </c:pt>
                <c:pt idx="44">
                  <c:v>1.6011199150604765E-2</c:v>
                </c:pt>
                <c:pt idx="45">
                  <c:v>1.6524208859278675E-2</c:v>
                </c:pt>
                <c:pt idx="46">
                  <c:v>1.7495046522900286E-2</c:v>
                </c:pt>
                <c:pt idx="47">
                  <c:v>1.8301059282452532E-2</c:v>
                </c:pt>
                <c:pt idx="48">
                  <c:v>1.882861177054183E-2</c:v>
                </c:pt>
                <c:pt idx="49">
                  <c:v>1.9471922234803912E-2</c:v>
                </c:pt>
                <c:pt idx="50">
                  <c:v>1.9418590676439942E-2</c:v>
                </c:pt>
                <c:pt idx="51">
                  <c:v>1.957805725936778E-2</c:v>
                </c:pt>
                <c:pt idx="52">
                  <c:v>2.0340629612747987E-2</c:v>
                </c:pt>
                <c:pt idx="53">
                  <c:v>2.1012086533536919E-2</c:v>
                </c:pt>
                <c:pt idx="54">
                  <c:v>2.1031745586230693E-2</c:v>
                </c:pt>
                <c:pt idx="55">
                  <c:v>2.079079634480261E-2</c:v>
                </c:pt>
                <c:pt idx="56">
                  <c:v>2.0590694874475807E-2</c:v>
                </c:pt>
                <c:pt idx="57">
                  <c:v>2.0170557544732803E-2</c:v>
                </c:pt>
                <c:pt idx="58">
                  <c:v>1.9316930519377083E-2</c:v>
                </c:pt>
                <c:pt idx="59">
                  <c:v>1.7624624156421589E-2</c:v>
                </c:pt>
                <c:pt idx="60">
                  <c:v>1.5549568182165201E-2</c:v>
                </c:pt>
                <c:pt idx="61">
                  <c:v>1.3726339092572511E-2</c:v>
                </c:pt>
                <c:pt idx="62">
                  <c:v>1.2342442403616989E-2</c:v>
                </c:pt>
                <c:pt idx="63">
                  <c:v>1.1870086167691567E-2</c:v>
                </c:pt>
                <c:pt idx="64">
                  <c:v>1.160001591562892E-2</c:v>
                </c:pt>
                <c:pt idx="65">
                  <c:v>1.1213467710143659E-2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2D-4ABA-BBB9-517478846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950685"/>
        <c:axId val="2110677727"/>
      </c:lineChart>
      <c:catAx>
        <c:axId val="115095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0677727"/>
        <c:crosses val="autoZero"/>
        <c:auto val="1"/>
        <c:lblAlgn val="ctr"/>
        <c:lblOffset val="100"/>
        <c:noMultiLvlLbl val="1"/>
      </c:catAx>
      <c:valAx>
        <c:axId val="2110677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09506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(Excludes Heiso) </a:t>
            </a:r>
          </a:p>
        </c:rich>
      </c:tx>
      <c:layout>
        <c:manualLayout>
          <c:xMode val="edge"/>
          <c:yMode val="edge"/>
          <c:x val="2.5133689839572194E-2"/>
          <c:y val="5.62111801242236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Population'!$CL$1</c:f>
              <c:strCache>
                <c:ptCount val="1"/>
                <c:pt idx="0">
                  <c:v>North Ayuman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Population'!$CL$2:$CL$67</c:f>
              <c:numCache>
                <c:formatCode>#,###</c:formatCode>
                <c:ptCount val="66"/>
                <c:pt idx="0">
                  <c:v>300361933.42560333</c:v>
                </c:pt>
                <c:pt idx="1">
                  <c:v>297450726.67449707</c:v>
                </c:pt>
                <c:pt idx="2">
                  <c:v>294528014.51228899</c:v>
                </c:pt>
                <c:pt idx="3">
                  <c:v>291696672.6189217</c:v>
                </c:pt>
                <c:pt idx="4">
                  <c:v>288715540.18221664</c:v>
                </c:pt>
                <c:pt idx="5">
                  <c:v>285729422.33302099</c:v>
                </c:pt>
                <c:pt idx="6">
                  <c:v>282766130.49386567</c:v>
                </c:pt>
                <c:pt idx="7">
                  <c:v>279609472.89766347</c:v>
                </c:pt>
                <c:pt idx="8">
                  <c:v>276457184.42843133</c:v>
                </c:pt>
                <c:pt idx="9">
                  <c:v>273361621.83690912</c:v>
                </c:pt>
                <c:pt idx="10">
                  <c:v>270060834.99683869</c:v>
                </c:pt>
                <c:pt idx="11">
                  <c:v>267045329.96867567</c:v>
                </c:pt>
                <c:pt idx="12">
                  <c:v>264276678.23095974</c:v>
                </c:pt>
                <c:pt idx="13">
                  <c:v>261648883.49406058</c:v>
                </c:pt>
                <c:pt idx="14">
                  <c:v>259108951.85155973</c:v>
                </c:pt>
                <c:pt idx="15">
                  <c:v>256640085.03414661</c:v>
                </c:pt>
                <c:pt idx="16">
                  <c:v>254213962.502918</c:v>
                </c:pt>
                <c:pt idx="17">
                  <c:v>251843217.43747282</c:v>
                </c:pt>
                <c:pt idx="18">
                  <c:v>249794376.48798567</c:v>
                </c:pt>
                <c:pt idx="19">
                  <c:v>247939315.55459145</c:v>
                </c:pt>
                <c:pt idx="20">
                  <c:v>246385180.81852835</c:v>
                </c:pt>
                <c:pt idx="21">
                  <c:v>245140289.55455381</c:v>
                </c:pt>
                <c:pt idx="22">
                  <c:v>244395421.12846264</c:v>
                </c:pt>
                <c:pt idx="23">
                  <c:v>244596989.48408642</c:v>
                </c:pt>
                <c:pt idx="24">
                  <c:v>244679745.57624018</c:v>
                </c:pt>
                <c:pt idx="25">
                  <c:v>243973675.61525714</c:v>
                </c:pt>
                <c:pt idx="26">
                  <c:v>242543905.15310434</c:v>
                </c:pt>
                <c:pt idx="27">
                  <c:v>240045650.90374222</c:v>
                </c:pt>
                <c:pt idx="28">
                  <c:v>237375515.63208467</c:v>
                </c:pt>
                <c:pt idx="29">
                  <c:v>234720520.74358293</c:v>
                </c:pt>
                <c:pt idx="30">
                  <c:v>231760150.2951037</c:v>
                </c:pt>
                <c:pt idx="31">
                  <c:v>229098351.25440907</c:v>
                </c:pt>
                <c:pt idx="32">
                  <c:v>226505064.27779797</c:v>
                </c:pt>
                <c:pt idx="33">
                  <c:v>223944878.428556</c:v>
                </c:pt>
                <c:pt idx="34">
                  <c:v>221553191.40075192</c:v>
                </c:pt>
                <c:pt idx="35">
                  <c:v>219310108.35460702</c:v>
                </c:pt>
                <c:pt idx="36">
                  <c:v>217184447.24371687</c:v>
                </c:pt>
                <c:pt idx="37">
                  <c:v>215144786.04059753</c:v>
                </c:pt>
                <c:pt idx="38">
                  <c:v>213094746.51559258</c:v>
                </c:pt>
                <c:pt idx="39">
                  <c:v>211133245.81676379</c:v>
                </c:pt>
                <c:pt idx="40">
                  <c:v>209316883.10476312</c:v>
                </c:pt>
                <c:pt idx="41">
                  <c:v>207472864.12305906</c:v>
                </c:pt>
                <c:pt idx="42">
                  <c:v>205643783.04303256</c:v>
                </c:pt>
                <c:pt idx="43">
                  <c:v>203861515.9298698</c:v>
                </c:pt>
                <c:pt idx="44">
                  <c:v>202191497.70021659</c:v>
                </c:pt>
                <c:pt idx="45">
                  <c:v>200350970.71065068</c:v>
                </c:pt>
                <c:pt idx="46">
                  <c:v>198050874.08516586</c:v>
                </c:pt>
                <c:pt idx="47">
                  <c:v>195973957.39999512</c:v>
                </c:pt>
                <c:pt idx="48">
                  <c:v>193417449.3414053</c:v>
                </c:pt>
                <c:pt idx="49">
                  <c:v>190643102.33411542</c:v>
                </c:pt>
                <c:pt idx="50">
                  <c:v>187747398.12440118</c:v>
                </c:pt>
                <c:pt idx="51">
                  <c:v>184661693.9336645</c:v>
                </c:pt>
                <c:pt idx="52">
                  <c:v>181388168.45493841</c:v>
                </c:pt>
                <c:pt idx="53">
                  <c:v>177911470.38961318</c:v>
                </c:pt>
                <c:pt idx="54">
                  <c:v>174332559.69147736</c:v>
                </c:pt>
                <c:pt idx="55">
                  <c:v>170685495.46805832</c:v>
                </c:pt>
                <c:pt idx="56">
                  <c:v>166937432.80594829</c:v>
                </c:pt>
                <c:pt idx="57">
                  <c:v>163139221.04653528</c:v>
                </c:pt>
                <c:pt idx="58">
                  <c:v>159176477.43488774</c:v>
                </c:pt>
                <c:pt idx="59">
                  <c:v>155044444.97679302</c:v>
                </c:pt>
                <c:pt idx="60">
                  <c:v>150752318.80987093</c:v>
                </c:pt>
                <c:pt idx="61">
                  <c:v>146812557.59814587</c:v>
                </c:pt>
                <c:pt idx="62">
                  <c:v>143541656.53183013</c:v>
                </c:pt>
                <c:pt idx="63">
                  <c:v>140686101.21642148</c:v>
                </c:pt>
                <c:pt idx="64">
                  <c:v>138079631.65079999</c:v>
                </c:pt>
                <c:pt idx="65">
                  <c:v>135898680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0-4AA8-BC22-3BAA61019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199986"/>
        <c:axId val="654114515"/>
      </c:lineChart>
      <c:catAx>
        <c:axId val="1950199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4114515"/>
        <c:crosses val="autoZero"/>
        <c:auto val="1"/>
        <c:lblAlgn val="ctr"/>
        <c:lblOffset val="100"/>
        <c:noMultiLvlLbl val="1"/>
      </c:catAx>
      <c:valAx>
        <c:axId val="654114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01999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Population'!$CM$1:$CM$67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9.7871899109260585E-3</c:v>
                </c:pt>
                <c:pt idx="2">
                  <c:v>9.9233757679989109E-3</c:v>
                </c:pt>
                <c:pt idx="3">
                  <c:v>9.7064593433542918E-3</c:v>
                </c:pt>
                <c:pt idx="4">
                  <c:v>1.032550043833309E-2</c:v>
                </c:pt>
                <c:pt idx="5">
                  <c:v>1.0450858804856659E-2</c:v>
                </c:pt>
                <c:pt idx="6">
                  <c:v>1.0479656223253378E-2</c:v>
                </c:pt>
                <c:pt idx="7">
                  <c:v>1.1289523074769091E-2</c:v>
                </c:pt>
                <c:pt idx="8">
                  <c:v>1.1402447274971072E-2</c:v>
                </c:pt>
                <c:pt idx="9">
                  <c:v>1.1324057015468935E-2</c:v>
                </c:pt>
                <c:pt idx="10">
                  <c:v>1.2222382560985066E-2</c:v>
                </c:pt>
                <c:pt idx="11">
                  <c:v>1.1292109203020826E-2</c:v>
                </c:pt>
                <c:pt idx="12">
                  <c:v>1.0476337739103551E-2</c:v>
                </c:pt>
                <c:pt idx="13">
                  <c:v>1.0043210205247515E-2</c:v>
                </c:pt>
                <c:pt idx="14">
                  <c:v>9.8025622980248972E-3</c:v>
                </c:pt>
                <c:pt idx="15">
                  <c:v>9.6199579153218896E-3</c:v>
                </c:pt>
                <c:pt idx="16">
                  <c:v>9.5436242263866738E-3</c:v>
                </c:pt>
                <c:pt idx="17">
                  <c:v>9.4135751979653338E-3</c:v>
                </c:pt>
                <c:pt idx="18">
                  <c:v>8.2021099845924379E-3</c:v>
                </c:pt>
                <c:pt idx="19">
                  <c:v>7.4819151986639043E-3</c:v>
                </c:pt>
                <c:pt idx="20">
                  <c:v>6.3077443655500109E-3</c:v>
                </c:pt>
                <c:pt idx="21">
                  <c:v>5.0782809559238437E-3</c:v>
                </c:pt>
                <c:pt idx="22">
                  <c:v>3.0478002519516759E-3</c:v>
                </c:pt>
                <c:pt idx="23">
                  <c:v>-8.2408355086028477E-4</c:v>
                </c:pt>
                <c:pt idx="24">
                  <c:v>-3.3822207865575736E-4</c:v>
                </c:pt>
                <c:pt idx="25">
                  <c:v>2.8940415772417175E-3</c:v>
                </c:pt>
                <c:pt idx="26">
                  <c:v>5.8948933853863496E-3</c:v>
                </c:pt>
                <c:pt idx="27">
                  <c:v>1.0407413089787265E-2</c:v>
                </c:pt>
                <c:pt idx="28">
                  <c:v>1.1248570706829251E-2</c:v>
                </c:pt>
                <c:pt idx="29">
                  <c:v>1.1311302821290793E-2</c:v>
                </c:pt>
                <c:pt idx="30">
                  <c:v>1.2773423061340574E-2</c:v>
                </c:pt>
                <c:pt idx="31">
                  <c:v>1.1618586629367534E-2</c:v>
                </c:pt>
                <c:pt idx="32">
                  <c:v>1.1449134635817948E-2</c:v>
                </c:pt>
                <c:pt idx="33">
                  <c:v>1.1432214334201598E-2</c:v>
                </c:pt>
                <c:pt idx="34">
                  <c:v>1.0795091746062566E-2</c:v>
                </c:pt>
                <c:pt idx="35">
                  <c:v>1.0227905421112718E-2</c:v>
                </c:pt>
                <c:pt idx="36">
                  <c:v>9.7873541953250771E-3</c:v>
                </c:pt>
                <c:pt idx="37">
                  <c:v>9.4804119618983294E-3</c:v>
                </c:pt>
                <c:pt idx="38">
                  <c:v>9.620319404987995E-3</c:v>
                </c:pt>
                <c:pt idx="39">
                  <c:v>9.2903450199932711E-3</c:v>
                </c:pt>
                <c:pt idx="40">
                  <c:v>8.6775738538566825E-3</c:v>
                </c:pt>
                <c:pt idx="41">
                  <c:v>8.888000797108133E-3</c:v>
                </c:pt>
                <c:pt idx="42">
                  <c:v>8.8944146667626605E-3</c:v>
                </c:pt>
                <c:pt idx="43">
                  <c:v>8.7425383110359672E-3</c:v>
                </c:pt>
                <c:pt idx="44">
                  <c:v>8.2595868206550242E-3</c:v>
                </c:pt>
                <c:pt idx="45">
                  <c:v>9.1865139611627851E-3</c:v>
                </c:pt>
                <c:pt idx="46">
                  <c:v>1.1613665610461968E-2</c:v>
                </c:pt>
                <c:pt idx="47">
                  <c:v>1.0597921850052877E-2</c:v>
                </c:pt>
                <c:pt idx="48">
                  <c:v>1.3217566808448955E-2</c:v>
                </c:pt>
                <c:pt idx="49">
                  <c:v>1.4552569557054567E-2</c:v>
                </c:pt>
                <c:pt idx="50">
                  <c:v>1.5423405270285259E-2</c:v>
                </c:pt>
                <c:pt idx="51">
                  <c:v>1.671003945109022E-2</c:v>
                </c:pt>
                <c:pt idx="52">
                  <c:v>1.8047072786554538E-2</c:v>
                </c:pt>
                <c:pt idx="53">
                  <c:v>1.9541730826638185E-2</c:v>
                </c:pt>
                <c:pt idx="54">
                  <c:v>2.0529215566326513E-2</c:v>
                </c:pt>
                <c:pt idx="55">
                  <c:v>2.1367159602038614E-2</c:v>
                </c:pt>
                <c:pt idx="56">
                  <c:v>2.2451900685850731E-2</c:v>
                </c:pt>
                <c:pt idx="57">
                  <c:v>2.3282027062821196E-2</c:v>
                </c:pt>
                <c:pt idx="58">
                  <c:v>2.4895283998658247E-2</c:v>
                </c:pt>
                <c:pt idx="59">
                  <c:v>2.665063207335933E-2</c:v>
                </c:pt>
                <c:pt idx="60">
                  <c:v>2.8471377427602484E-2</c:v>
                </c:pt>
                <c:pt idx="61">
                  <c:v>2.6835314881639337E-2</c:v>
                </c:pt>
                <c:pt idx="62">
                  <c:v>2.2787120793680008E-2</c:v>
                </c:pt>
                <c:pt idx="63">
                  <c:v>2.0297351982310349E-2</c:v>
                </c:pt>
                <c:pt idx="64">
                  <c:v>1.8876568067716121E-2</c:v>
                </c:pt>
                <c:pt idx="65">
                  <c:v>1.6048365229154468E-2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66-4430-BFA1-386855A0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055324"/>
        <c:axId val="2013724419"/>
      </c:lineChart>
      <c:catAx>
        <c:axId val="385055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3724419"/>
        <c:crosses val="autoZero"/>
        <c:auto val="1"/>
        <c:lblAlgn val="ctr"/>
        <c:lblOffset val="100"/>
        <c:noMultiLvlLbl val="1"/>
      </c:catAx>
      <c:valAx>
        <c:axId val="2013724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50553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Population'!$CC$1:$CC$67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3.9742722504377957E-2</c:v>
                </c:pt>
                <c:pt idx="2">
                  <c:v>3.9899642601651457E-2</c:v>
                </c:pt>
                <c:pt idx="3">
                  <c:v>4.0035558023908242E-2</c:v>
                </c:pt>
                <c:pt idx="4">
                  <c:v>4.0163310666798575E-2</c:v>
                </c:pt>
                <c:pt idx="5">
                  <c:v>4.0263911159970453E-2</c:v>
                </c:pt>
                <c:pt idx="6">
                  <c:v>4.03585829045323E-2</c:v>
                </c:pt>
                <c:pt idx="7">
                  <c:v>4.0446861048368227E-2</c:v>
                </c:pt>
                <c:pt idx="8">
                  <c:v>4.0582114213076628E-2</c:v>
                </c:pt>
                <c:pt idx="9">
                  <c:v>4.0756250838557551E-2</c:v>
                </c:pt>
                <c:pt idx="10">
                  <c:v>4.092595982844776E-2</c:v>
                </c:pt>
                <c:pt idx="11">
                  <c:v>4.109619165185302E-2</c:v>
                </c:pt>
                <c:pt idx="12">
                  <c:v>4.1256844414014476E-2</c:v>
                </c:pt>
                <c:pt idx="13">
                  <c:v>4.1407591922438799E-2</c:v>
                </c:pt>
                <c:pt idx="14">
                  <c:v>4.1550644579851623E-2</c:v>
                </c:pt>
                <c:pt idx="15">
                  <c:v>4.1675526031169426E-2</c:v>
                </c:pt>
                <c:pt idx="16">
                  <c:v>4.1775461740475424E-2</c:v>
                </c:pt>
                <c:pt idx="17">
                  <c:v>4.1984488163807544E-2</c:v>
                </c:pt>
                <c:pt idx="18">
                  <c:v>4.2348665986435129E-2</c:v>
                </c:pt>
                <c:pt idx="19">
                  <c:v>4.2708406354634111E-2</c:v>
                </c:pt>
                <c:pt idx="20">
                  <c:v>4.3041497658265447E-2</c:v>
                </c:pt>
                <c:pt idx="21">
                  <c:v>4.314478825749947E-2</c:v>
                </c:pt>
                <c:pt idx="22">
                  <c:v>4.3235636543132776E-2</c:v>
                </c:pt>
                <c:pt idx="23">
                  <c:v>4.3425759769443559E-2</c:v>
                </c:pt>
                <c:pt idx="24">
                  <c:v>4.3694680527968134E-2</c:v>
                </c:pt>
                <c:pt idx="25">
                  <c:v>4.3848017655664824E-2</c:v>
                </c:pt>
                <c:pt idx="26">
                  <c:v>4.3912294354488457E-2</c:v>
                </c:pt>
                <c:pt idx="27">
                  <c:v>4.4033879500903081E-2</c:v>
                </c:pt>
                <c:pt idx="28">
                  <c:v>4.4037805293654822E-2</c:v>
                </c:pt>
                <c:pt idx="29">
                  <c:v>4.4056430195629062E-2</c:v>
                </c:pt>
                <c:pt idx="30">
                  <c:v>4.4135858499561906E-2</c:v>
                </c:pt>
                <c:pt idx="31">
                  <c:v>4.440738963424324E-2</c:v>
                </c:pt>
                <c:pt idx="32">
                  <c:v>4.4714139788733648E-2</c:v>
                </c:pt>
                <c:pt idx="33">
                  <c:v>4.5003612302433597E-2</c:v>
                </c:pt>
                <c:pt idx="34">
                  <c:v>4.5289494700433419E-2</c:v>
                </c:pt>
                <c:pt idx="35">
                  <c:v>4.5537364971688685E-2</c:v>
                </c:pt>
                <c:pt idx="36">
                  <c:v>4.5714114583825328E-2</c:v>
                </c:pt>
                <c:pt idx="37">
                  <c:v>4.589879657892483E-2</c:v>
                </c:pt>
                <c:pt idx="38">
                  <c:v>4.6070251077663354E-2</c:v>
                </c:pt>
                <c:pt idx="39">
                  <c:v>4.622027847537518E-2</c:v>
                </c:pt>
                <c:pt idx="40">
                  <c:v>4.6369340023518474E-2</c:v>
                </c:pt>
                <c:pt idx="41">
                  <c:v>4.6504851216639088E-2</c:v>
                </c:pt>
                <c:pt idx="42">
                  <c:v>4.6620940037023592E-2</c:v>
                </c:pt>
                <c:pt idx="43">
                  <c:v>4.6758052270618793E-2</c:v>
                </c:pt>
                <c:pt idx="44">
                  <c:v>4.686024991872615E-2</c:v>
                </c:pt>
                <c:pt idx="45">
                  <c:v>4.6934642770681052E-2</c:v>
                </c:pt>
                <c:pt idx="46">
                  <c:v>4.7019887309672832E-2</c:v>
                </c:pt>
                <c:pt idx="47">
                  <c:v>4.7038140048986064E-2</c:v>
                </c:pt>
                <c:pt idx="48">
                  <c:v>4.7028652288913904E-2</c:v>
                </c:pt>
                <c:pt idx="49">
                  <c:v>4.7004424941368708E-2</c:v>
                </c:pt>
                <c:pt idx="50">
                  <c:v>4.6956799332483298E-2</c:v>
                </c:pt>
                <c:pt idx="51">
                  <c:v>4.6957983608857744E-2</c:v>
                </c:pt>
                <c:pt idx="52">
                  <c:v>4.6955660321841897E-2</c:v>
                </c:pt>
                <c:pt idx="53">
                  <c:v>4.6933112409291253E-2</c:v>
                </c:pt>
                <c:pt idx="54">
                  <c:v>4.6885045676091759E-2</c:v>
                </c:pt>
                <c:pt idx="55">
                  <c:v>4.6854073019205376E-2</c:v>
                </c:pt>
                <c:pt idx="56">
                  <c:v>4.6814047442873097E-2</c:v>
                </c:pt>
                <c:pt idx="57">
                  <c:v>4.6798190631405848E-2</c:v>
                </c:pt>
                <c:pt idx="58">
                  <c:v>4.6801368771510678E-2</c:v>
                </c:pt>
                <c:pt idx="59">
                  <c:v>4.6846177105288378E-2</c:v>
                </c:pt>
                <c:pt idx="60">
                  <c:v>4.6973200381826327E-2</c:v>
                </c:pt>
                <c:pt idx="61">
                  <c:v>4.718606642075357E-2</c:v>
                </c:pt>
                <c:pt idx="62">
                  <c:v>4.7479396589659079E-2</c:v>
                </c:pt>
                <c:pt idx="63">
                  <c:v>4.7817891877216051E-2</c:v>
                </c:pt>
                <c:pt idx="64">
                  <c:v>4.817197024728636E-2</c:v>
                </c:pt>
                <c:pt idx="65">
                  <c:v>4.8527105821965774E-2</c:v>
                </c:pt>
                <c:pt idx="66">
                  <c:v>4.8888482000302512E-2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89-4443-9634-019BC7E76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236864"/>
        <c:axId val="187367459"/>
      </c:lineChart>
      <c:catAx>
        <c:axId val="141023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367459"/>
        <c:crosses val="autoZero"/>
        <c:auto val="1"/>
        <c:lblAlgn val="ctr"/>
        <c:lblOffset val="100"/>
        <c:noMultiLvlLbl val="1"/>
      </c:catAx>
      <c:valAx>
        <c:axId val="187367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02368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Population'!$CN$1:$CN$67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4.408171094255664E-2</c:v>
                </c:pt>
                <c:pt idx="2">
                  <c:v>4.4073409248366752E-2</c:v>
                </c:pt>
                <c:pt idx="3">
                  <c:v>4.4066936835490428E-2</c:v>
                </c:pt>
                <c:pt idx="4">
                  <c:v>4.4069583448648433E-2</c:v>
                </c:pt>
                <c:pt idx="5">
                  <c:v>4.4054543918988665E-2</c:v>
                </c:pt>
                <c:pt idx="6">
                  <c:v>4.4035631540416093E-2</c:v>
                </c:pt>
                <c:pt idx="7">
                  <c:v>4.4030192509893464E-2</c:v>
                </c:pt>
                <c:pt idx="8">
                  <c:v>4.4010708722834496E-2</c:v>
                </c:pt>
                <c:pt idx="9">
                  <c:v>4.4014647433996447E-2</c:v>
                </c:pt>
                <c:pt idx="10">
                  <c:v>4.4005692471130411E-2</c:v>
                </c:pt>
                <c:pt idx="11">
                  <c:v>4.3964539027471362E-2</c:v>
                </c:pt>
                <c:pt idx="12">
                  <c:v>4.3962190048588763E-2</c:v>
                </c:pt>
                <c:pt idx="13">
                  <c:v>4.399951382098239E-2</c:v>
                </c:pt>
                <c:pt idx="14">
                  <c:v>4.4060589225948743E-2</c:v>
                </c:pt>
                <c:pt idx="15">
                  <c:v>4.414162414442678E-2</c:v>
                </c:pt>
                <c:pt idx="16">
                  <c:v>4.4242521572074069E-2</c:v>
                </c:pt>
                <c:pt idx="17">
                  <c:v>4.4344904371719965E-2</c:v>
                </c:pt>
                <c:pt idx="18">
                  <c:v>4.445727318852509E-2</c:v>
                </c:pt>
                <c:pt idx="19">
                  <c:v>4.4626806033248263E-2</c:v>
                </c:pt>
                <c:pt idx="20">
                  <c:v>4.4841808541579833E-2</c:v>
                </c:pt>
                <c:pt idx="21">
                  <c:v>4.5129140282242519E-2</c:v>
                </c:pt>
                <c:pt idx="22">
                  <c:v>4.5488259791735201E-2</c:v>
                </c:pt>
                <c:pt idx="23">
                  <c:v>4.5946455991489506E-2</c:v>
                </c:pt>
                <c:pt idx="24">
                  <c:v>4.6580678617808069E-2</c:v>
                </c:pt>
                <c:pt idx="25">
                  <c:v>4.722475213646931E-2</c:v>
                </c:pt>
                <c:pt idx="26">
                  <c:v>4.7751729405541052E-2</c:v>
                </c:pt>
                <c:pt idx="27">
                  <c:v>4.8146829902807803E-2</c:v>
                </c:pt>
                <c:pt idx="28">
                  <c:v>4.8355227866600389E-2</c:v>
                </c:pt>
                <c:pt idx="29">
                  <c:v>4.8542215918484247E-2</c:v>
                </c:pt>
                <c:pt idx="30">
                  <c:v>4.8730601192901089E-2</c:v>
                </c:pt>
                <c:pt idx="31">
                  <c:v>4.8864101327635613E-2</c:v>
                </c:pt>
                <c:pt idx="32">
                  <c:v>4.9067959973428832E-2</c:v>
                </c:pt>
                <c:pt idx="33">
                  <c:v>4.9289250907959679E-2</c:v>
                </c:pt>
                <c:pt idx="34">
                  <c:v>4.9529880018180143E-2</c:v>
                </c:pt>
                <c:pt idx="35">
                  <c:v>4.9827882416023352E-2</c:v>
                </c:pt>
                <c:pt idx="36">
                  <c:v>5.0162015960333747E-2</c:v>
                </c:pt>
                <c:pt idx="37">
                  <c:v>5.0523390453426562E-2</c:v>
                </c:pt>
                <c:pt idx="38">
                  <c:v>5.0904135566598285E-2</c:v>
                </c:pt>
                <c:pt idx="39">
                  <c:v>5.127826495003205E-2</c:v>
                </c:pt>
                <c:pt idx="40">
                  <c:v>5.167583326457835E-2</c:v>
                </c:pt>
                <c:pt idx="41">
                  <c:v>5.2102603140939528E-2</c:v>
                </c:pt>
                <c:pt idx="42">
                  <c:v>5.2519374687098365E-2</c:v>
                </c:pt>
                <c:pt idx="43">
                  <c:v>5.2985626627373161E-2</c:v>
                </c:pt>
                <c:pt idx="44">
                  <c:v>5.345238681999271E-2</c:v>
                </c:pt>
                <c:pt idx="45">
                  <c:v>5.3948845319371753E-2</c:v>
                </c:pt>
                <c:pt idx="46">
                  <c:v>5.4439798455576519E-2</c:v>
                </c:pt>
                <c:pt idx="47">
                  <c:v>5.4777559812708633E-2</c:v>
                </c:pt>
                <c:pt idx="48">
                  <c:v>5.5183960843969253E-2</c:v>
                </c:pt>
                <c:pt idx="49">
                  <c:v>5.5460975154396686E-2</c:v>
                </c:pt>
                <c:pt idx="50">
                  <c:v>5.5673427405219224E-2</c:v>
                </c:pt>
                <c:pt idx="51">
                  <c:v>5.5893884255026921E-2</c:v>
                </c:pt>
                <c:pt idx="52">
                  <c:v>5.6048781039475797E-2</c:v>
                </c:pt>
                <c:pt idx="53">
                  <c:v>5.6148078233228746E-2</c:v>
                </c:pt>
                <c:pt idx="54">
                  <c:v>5.6171466275820828E-2</c:v>
                </c:pt>
                <c:pt idx="55">
                  <c:v>5.6162000668435033E-2</c:v>
                </c:pt>
                <c:pt idx="56">
                  <c:v>5.6082358238140867E-2</c:v>
                </c:pt>
                <c:pt idx="57">
                  <c:v>5.5961307927141095E-2</c:v>
                </c:pt>
                <c:pt idx="58">
                  <c:v>5.579493656461193E-2</c:v>
                </c:pt>
                <c:pt idx="59">
                  <c:v>5.5544381134805247E-2</c:v>
                </c:pt>
                <c:pt idx="60">
                  <c:v>5.5205335734304972E-2</c:v>
                </c:pt>
                <c:pt idx="61">
                  <c:v>5.4758758814313871E-2</c:v>
                </c:pt>
                <c:pt idx="62">
                  <c:v>5.4395747113349935E-2</c:v>
                </c:pt>
                <c:pt idx="63">
                  <c:v>5.4224102844582497E-2</c:v>
                </c:pt>
                <c:pt idx="64">
                  <c:v>5.4174430746055116E-2</c:v>
                </c:pt>
                <c:pt idx="65">
                  <c:v>5.418406587992617E-2</c:v>
                </c:pt>
                <c:pt idx="66">
                  <c:v>5.4327812204278479E-2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D8-4814-BFD0-7A22063AD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95221"/>
        <c:axId val="1334054353"/>
      </c:lineChart>
      <c:catAx>
        <c:axId val="210695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4054353"/>
        <c:crosses val="autoZero"/>
        <c:auto val="1"/>
        <c:lblAlgn val="ctr"/>
        <c:lblOffset val="100"/>
        <c:noMultiLvlLbl val="1"/>
      </c:catAx>
      <c:valAx>
        <c:axId val="1334054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6952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Population'!$BR$1:$BR$67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1.5226605378103822E-2</c:v>
                </c:pt>
                <c:pt idx="2">
                  <c:v>1.521829313949819E-2</c:v>
                </c:pt>
                <c:pt idx="3">
                  <c:v>1.5210299260057359E-2</c:v>
                </c:pt>
                <c:pt idx="4">
                  <c:v>1.5202787230652642E-2</c:v>
                </c:pt>
                <c:pt idx="5">
                  <c:v>1.5185821159510858E-2</c:v>
                </c:pt>
                <c:pt idx="6">
                  <c:v>1.5159511307118121E-2</c:v>
                </c:pt>
                <c:pt idx="7">
                  <c:v>1.5134503368663326E-2</c:v>
                </c:pt>
                <c:pt idx="8">
                  <c:v>1.5126465481410901E-2</c:v>
                </c:pt>
                <c:pt idx="9">
                  <c:v>1.5131017638130035E-2</c:v>
                </c:pt>
                <c:pt idx="10">
                  <c:v>1.5132623476503265E-2</c:v>
                </c:pt>
                <c:pt idx="11">
                  <c:v>1.5139952243827791E-2</c:v>
                </c:pt>
                <c:pt idx="12">
                  <c:v>1.5129598323442479E-2</c:v>
                </c:pt>
                <c:pt idx="13">
                  <c:v>1.5110704761586958E-2</c:v>
                </c:pt>
                <c:pt idx="14">
                  <c:v>1.5101907168003819E-2</c:v>
                </c:pt>
                <c:pt idx="15">
                  <c:v>1.5097268443943214E-2</c:v>
                </c:pt>
                <c:pt idx="16">
                  <c:v>1.5083841748916452E-2</c:v>
                </c:pt>
                <c:pt idx="17">
                  <c:v>1.5060238925859887E-2</c:v>
                </c:pt>
                <c:pt idx="18">
                  <c:v>1.5030194107028135E-2</c:v>
                </c:pt>
                <c:pt idx="19">
                  <c:v>1.5003683679449037E-2</c:v>
                </c:pt>
                <c:pt idx="20">
                  <c:v>1.4985203756378157E-2</c:v>
                </c:pt>
                <c:pt idx="21">
                  <c:v>1.4992721899789395E-2</c:v>
                </c:pt>
                <c:pt idx="22">
                  <c:v>1.5002288945310541E-2</c:v>
                </c:pt>
                <c:pt idx="23">
                  <c:v>1.5006724347119634E-2</c:v>
                </c:pt>
                <c:pt idx="24">
                  <c:v>1.4997327556793942E-2</c:v>
                </c:pt>
                <c:pt idx="25">
                  <c:v>1.4994545126484692E-2</c:v>
                </c:pt>
                <c:pt idx="26">
                  <c:v>1.4997134092657332E-2</c:v>
                </c:pt>
                <c:pt idx="27">
                  <c:v>1.4994103153607217E-2</c:v>
                </c:pt>
                <c:pt idx="28">
                  <c:v>1.4995734845806663E-2</c:v>
                </c:pt>
                <c:pt idx="29">
                  <c:v>1.4990753892335597E-2</c:v>
                </c:pt>
                <c:pt idx="30">
                  <c:v>1.4979670726146258E-2</c:v>
                </c:pt>
                <c:pt idx="31">
                  <c:v>1.4963077354220471E-2</c:v>
                </c:pt>
                <c:pt idx="32">
                  <c:v>1.4923847148077726E-2</c:v>
                </c:pt>
                <c:pt idx="33">
                  <c:v>1.4881082047046258E-2</c:v>
                </c:pt>
                <c:pt idx="34">
                  <c:v>1.4839217042577402E-2</c:v>
                </c:pt>
                <c:pt idx="35">
                  <c:v>1.4804078919308119E-2</c:v>
                </c:pt>
                <c:pt idx="36">
                  <c:v>1.4771477561341657E-2</c:v>
                </c:pt>
                <c:pt idx="37">
                  <c:v>1.4734489832322206E-2</c:v>
                </c:pt>
                <c:pt idx="38">
                  <c:v>1.469154148081629E-2</c:v>
                </c:pt>
                <c:pt idx="39">
                  <c:v>1.4644427504750163E-2</c:v>
                </c:pt>
                <c:pt idx="40">
                  <c:v>1.4596030062013569E-2</c:v>
                </c:pt>
                <c:pt idx="41">
                  <c:v>1.4546228908734995E-2</c:v>
                </c:pt>
                <c:pt idx="42">
                  <c:v>1.4497324339612854E-2</c:v>
                </c:pt>
                <c:pt idx="43">
                  <c:v>1.4457500924219572E-2</c:v>
                </c:pt>
                <c:pt idx="44">
                  <c:v>1.4408093516026236E-2</c:v>
                </c:pt>
                <c:pt idx="45">
                  <c:v>1.4352918801393265E-2</c:v>
                </c:pt>
                <c:pt idx="46">
                  <c:v>1.4300267196391247E-2</c:v>
                </c:pt>
                <c:pt idx="47">
                  <c:v>1.4227329197720618E-2</c:v>
                </c:pt>
                <c:pt idx="48">
                  <c:v>1.414448076723313E-2</c:v>
                </c:pt>
                <c:pt idx="49">
                  <c:v>1.4056746677663235E-2</c:v>
                </c:pt>
                <c:pt idx="50">
                  <c:v>1.3964453961480898E-2</c:v>
                </c:pt>
                <c:pt idx="51">
                  <c:v>1.3880278941683944E-2</c:v>
                </c:pt>
                <c:pt idx="52">
                  <c:v>1.3796649524732295E-2</c:v>
                </c:pt>
                <c:pt idx="53">
                  <c:v>1.3718896762760975E-2</c:v>
                </c:pt>
                <c:pt idx="54">
                  <c:v>1.3644507913449207E-2</c:v>
                </c:pt>
                <c:pt idx="55">
                  <c:v>1.3577779639292856E-2</c:v>
                </c:pt>
                <c:pt idx="56">
                  <c:v>1.3510942528611271E-2</c:v>
                </c:pt>
                <c:pt idx="57">
                  <c:v>1.3451675499099149E-2</c:v>
                </c:pt>
                <c:pt idx="58">
                  <c:v>1.3388894434219397E-2</c:v>
                </c:pt>
                <c:pt idx="59">
                  <c:v>1.3322161963012748E-2</c:v>
                </c:pt>
                <c:pt idx="60">
                  <c:v>1.3252438171957584E-2</c:v>
                </c:pt>
                <c:pt idx="61">
                  <c:v>1.3177029634857272E-2</c:v>
                </c:pt>
                <c:pt idx="62">
                  <c:v>1.3106304652241328E-2</c:v>
                </c:pt>
                <c:pt idx="63">
                  <c:v>1.3035911273560779E-2</c:v>
                </c:pt>
                <c:pt idx="64">
                  <c:v>1.2958162801689743E-2</c:v>
                </c:pt>
                <c:pt idx="65">
                  <c:v>1.2874518094559084E-2</c:v>
                </c:pt>
                <c:pt idx="66">
                  <c:v>1.2794423987446173E-2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80-48BE-A914-BE9F4948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025414"/>
        <c:axId val="1750810961"/>
      </c:lineChart>
      <c:catAx>
        <c:axId val="815025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0810961"/>
        <c:crosses val="autoZero"/>
        <c:auto val="1"/>
        <c:lblAlgn val="ctr"/>
        <c:lblOffset val="100"/>
        <c:noMultiLvlLbl val="1"/>
      </c:catAx>
      <c:valAx>
        <c:axId val="1750810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0254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Population'!$BG$1:$BG$67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1.5748456733138592E-2</c:v>
                </c:pt>
                <c:pt idx="2">
                  <c:v>1.5829118088566903E-2</c:v>
                </c:pt>
                <c:pt idx="3">
                  <c:v>1.5907876974701595E-2</c:v>
                </c:pt>
                <c:pt idx="4">
                  <c:v>1.5990950374498332E-2</c:v>
                </c:pt>
                <c:pt idx="5">
                  <c:v>1.6075053713724866E-2</c:v>
                </c:pt>
                <c:pt idx="6">
                  <c:v>1.6175961670035096E-2</c:v>
                </c:pt>
                <c:pt idx="7">
                  <c:v>1.6261090199609605E-2</c:v>
                </c:pt>
                <c:pt idx="8">
                  <c:v>1.6355578419902914E-2</c:v>
                </c:pt>
                <c:pt idx="9">
                  <c:v>1.6453233020322977E-2</c:v>
                </c:pt>
                <c:pt idx="10">
                  <c:v>1.653348126620564E-2</c:v>
                </c:pt>
                <c:pt idx="11">
                  <c:v>1.6613280424111383E-2</c:v>
                </c:pt>
                <c:pt idx="12">
                  <c:v>1.6678904650301044E-2</c:v>
                </c:pt>
                <c:pt idx="13">
                  <c:v>1.6737345308976935E-2</c:v>
                </c:pt>
                <c:pt idx="14">
                  <c:v>1.6781742826832723E-2</c:v>
                </c:pt>
                <c:pt idx="15">
                  <c:v>1.683571523443872E-2</c:v>
                </c:pt>
                <c:pt idx="16">
                  <c:v>1.689384229923388E-2</c:v>
                </c:pt>
                <c:pt idx="17">
                  <c:v>1.6928657298728188E-2</c:v>
                </c:pt>
                <c:pt idx="18">
                  <c:v>1.6931457806491221E-2</c:v>
                </c:pt>
                <c:pt idx="19">
                  <c:v>1.6956796109114849E-2</c:v>
                </c:pt>
                <c:pt idx="20">
                  <c:v>1.6957801952735232E-2</c:v>
                </c:pt>
                <c:pt idx="21">
                  <c:v>1.6989924795839609E-2</c:v>
                </c:pt>
                <c:pt idx="22">
                  <c:v>1.7047743718822259E-2</c:v>
                </c:pt>
                <c:pt idx="23">
                  <c:v>1.7040905830907345E-2</c:v>
                </c:pt>
                <c:pt idx="24">
                  <c:v>1.70580081454774E-2</c:v>
                </c:pt>
                <c:pt idx="25">
                  <c:v>1.7068527784536252E-2</c:v>
                </c:pt>
                <c:pt idx="26">
                  <c:v>1.7118281428900844E-2</c:v>
                </c:pt>
                <c:pt idx="27">
                  <c:v>1.7215381576187135E-2</c:v>
                </c:pt>
                <c:pt idx="28">
                  <c:v>1.7318850472996743E-2</c:v>
                </c:pt>
                <c:pt idx="29">
                  <c:v>1.7441902219218052E-2</c:v>
                </c:pt>
                <c:pt idx="30">
                  <c:v>1.7549658636871114E-2</c:v>
                </c:pt>
                <c:pt idx="31">
                  <c:v>1.7670486838991147E-2</c:v>
                </c:pt>
                <c:pt idx="32">
                  <c:v>1.7779862933901314E-2</c:v>
                </c:pt>
                <c:pt idx="33">
                  <c:v>1.7858225377996421E-2</c:v>
                </c:pt>
                <c:pt idx="34">
                  <c:v>1.7953064517730617E-2</c:v>
                </c:pt>
                <c:pt idx="35">
                  <c:v>1.8023950246526657E-2</c:v>
                </c:pt>
                <c:pt idx="36">
                  <c:v>1.8072297695680972E-2</c:v>
                </c:pt>
                <c:pt idx="37">
                  <c:v>1.8099860327825717E-2</c:v>
                </c:pt>
                <c:pt idx="38">
                  <c:v>1.8128498467000421E-2</c:v>
                </c:pt>
                <c:pt idx="39">
                  <c:v>1.8210401032455633E-2</c:v>
                </c:pt>
                <c:pt idx="40">
                  <c:v>1.824919600404111E-2</c:v>
                </c:pt>
                <c:pt idx="41">
                  <c:v>1.8281465496846516E-2</c:v>
                </c:pt>
                <c:pt idx="42">
                  <c:v>1.8304837419546843E-2</c:v>
                </c:pt>
                <c:pt idx="43">
                  <c:v>1.8351072299903796E-2</c:v>
                </c:pt>
                <c:pt idx="44">
                  <c:v>1.8399993825303017E-2</c:v>
                </c:pt>
                <c:pt idx="45">
                  <c:v>1.8447462647171824E-2</c:v>
                </c:pt>
                <c:pt idx="46">
                  <c:v>1.8503575956495027E-2</c:v>
                </c:pt>
                <c:pt idx="47">
                  <c:v>1.8545077780517324E-2</c:v>
                </c:pt>
                <c:pt idx="48">
                  <c:v>1.8583396132570366E-2</c:v>
                </c:pt>
                <c:pt idx="49">
                  <c:v>1.8612383050417947E-2</c:v>
                </c:pt>
                <c:pt idx="50">
                  <c:v>1.8615989354611007E-2</c:v>
                </c:pt>
                <c:pt idx="51">
                  <c:v>1.8619926493248902E-2</c:v>
                </c:pt>
                <c:pt idx="52">
                  <c:v>1.86848350691174E-2</c:v>
                </c:pt>
                <c:pt idx="53">
                  <c:v>1.8777607388605969E-2</c:v>
                </c:pt>
                <c:pt idx="54">
                  <c:v>1.8845493132375428E-2</c:v>
                </c:pt>
                <c:pt idx="55">
                  <c:v>1.888319492561048E-2</c:v>
                </c:pt>
                <c:pt idx="56">
                  <c:v>1.9157301793183111E-2</c:v>
                </c:pt>
                <c:pt idx="57">
                  <c:v>1.9105802435655479E-2</c:v>
                </c:pt>
                <c:pt idx="58">
                  <c:v>1.9118454647736875E-2</c:v>
                </c:pt>
                <c:pt idx="59">
                  <c:v>1.9112700759656744E-2</c:v>
                </c:pt>
                <c:pt idx="60">
                  <c:v>1.9086566567405306E-2</c:v>
                </c:pt>
                <c:pt idx="61">
                  <c:v>1.9050436598269885E-2</c:v>
                </c:pt>
                <c:pt idx="62">
                  <c:v>1.9051781968709103E-2</c:v>
                </c:pt>
                <c:pt idx="63">
                  <c:v>1.9032347427552925E-2</c:v>
                </c:pt>
                <c:pt idx="64">
                  <c:v>1.9005800721890134E-2</c:v>
                </c:pt>
                <c:pt idx="65">
                  <c:v>1.8963290021210891E-2</c:v>
                </c:pt>
                <c:pt idx="66">
                  <c:v>1.8905328828049586E-2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49-417B-92B7-10BB5BB32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514482"/>
        <c:axId val="793241058"/>
      </c:lineChart>
      <c:catAx>
        <c:axId val="1056514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3241058"/>
        <c:crosses val="autoZero"/>
        <c:auto val="1"/>
        <c:lblAlgn val="ctr"/>
        <c:lblOffset val="100"/>
        <c:noMultiLvlLbl val="1"/>
      </c:catAx>
      <c:valAx>
        <c:axId val="793241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65144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Population'!$AV$1:$AV$67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4.7900373221706406E-2</c:v>
                </c:pt>
                <c:pt idx="2">
                  <c:v>4.7706969702683059E-2</c:v>
                </c:pt>
                <c:pt idx="3">
                  <c:v>4.7499705428076841E-2</c:v>
                </c:pt>
                <c:pt idx="4">
                  <c:v>4.7195489650210844E-2</c:v>
                </c:pt>
                <c:pt idx="5">
                  <c:v>4.6888498574174632E-2</c:v>
                </c:pt>
                <c:pt idx="6">
                  <c:v>4.6733623773061859E-2</c:v>
                </c:pt>
                <c:pt idx="7">
                  <c:v>4.6520945404479264E-2</c:v>
                </c:pt>
                <c:pt idx="8">
                  <c:v>4.6121339428705992E-2</c:v>
                </c:pt>
                <c:pt idx="9">
                  <c:v>4.5777580471823329E-2</c:v>
                </c:pt>
                <c:pt idx="10">
                  <c:v>4.5494416160856622E-2</c:v>
                </c:pt>
                <c:pt idx="11">
                  <c:v>4.5414215941218944E-2</c:v>
                </c:pt>
                <c:pt idx="12">
                  <c:v>4.5388425801500792E-2</c:v>
                </c:pt>
                <c:pt idx="13">
                  <c:v>4.542679162387931E-2</c:v>
                </c:pt>
                <c:pt idx="14">
                  <c:v>4.5438746699630425E-2</c:v>
                </c:pt>
                <c:pt idx="15">
                  <c:v>4.546507385562807E-2</c:v>
                </c:pt>
                <c:pt idx="16">
                  <c:v>4.5449503360284624E-2</c:v>
                </c:pt>
                <c:pt idx="17">
                  <c:v>4.548862734451195E-2</c:v>
                </c:pt>
                <c:pt idx="18">
                  <c:v>4.5554406505360925E-2</c:v>
                </c:pt>
                <c:pt idx="19">
                  <c:v>4.5658364566983994E-2</c:v>
                </c:pt>
                <c:pt idx="20">
                  <c:v>4.5741543274100571E-2</c:v>
                </c:pt>
                <c:pt idx="21">
                  <c:v>4.5789127335621925E-2</c:v>
                </c:pt>
                <c:pt idx="22">
                  <c:v>4.5892422440819342E-2</c:v>
                </c:pt>
                <c:pt idx="23">
                  <c:v>4.6059868540567366E-2</c:v>
                </c:pt>
                <c:pt idx="24">
                  <c:v>4.6247300999476472E-2</c:v>
                </c:pt>
                <c:pt idx="25">
                  <c:v>4.6362808299220355E-2</c:v>
                </c:pt>
                <c:pt idx="26">
                  <c:v>4.6439692969744088E-2</c:v>
                </c:pt>
                <c:pt idx="27">
                  <c:v>4.643950233751299E-2</c:v>
                </c:pt>
                <c:pt idx="28">
                  <c:v>4.6378177260789633E-2</c:v>
                </c:pt>
                <c:pt idx="29">
                  <c:v>4.6354619823943954E-2</c:v>
                </c:pt>
                <c:pt idx="30">
                  <c:v>4.6388320419869532E-2</c:v>
                </c:pt>
                <c:pt idx="31">
                  <c:v>4.6468364227585907E-2</c:v>
                </c:pt>
                <c:pt idx="32">
                  <c:v>4.6615007019048166E-2</c:v>
                </c:pt>
                <c:pt idx="33">
                  <c:v>4.6827236309800971E-2</c:v>
                </c:pt>
                <c:pt idx="34">
                  <c:v>4.698428646198375E-2</c:v>
                </c:pt>
                <c:pt idx="35">
                  <c:v>4.7017394299283817E-2</c:v>
                </c:pt>
                <c:pt idx="36">
                  <c:v>4.7125041915258889E-2</c:v>
                </c:pt>
                <c:pt idx="37">
                  <c:v>4.7376369402871307E-2</c:v>
                </c:pt>
                <c:pt idx="38">
                  <c:v>4.7690020690117865E-2</c:v>
                </c:pt>
                <c:pt idx="39">
                  <c:v>4.7970388010300791E-2</c:v>
                </c:pt>
                <c:pt idx="40">
                  <c:v>4.826932367735999E-2</c:v>
                </c:pt>
                <c:pt idx="41">
                  <c:v>4.8619041628543004E-2</c:v>
                </c:pt>
                <c:pt idx="42">
                  <c:v>4.8863261433601E-2</c:v>
                </c:pt>
                <c:pt idx="43">
                  <c:v>4.8588466186177966E-2</c:v>
                </c:pt>
                <c:pt idx="44">
                  <c:v>4.8730519558890316E-2</c:v>
                </c:pt>
                <c:pt idx="45">
                  <c:v>4.8738569719189474E-2</c:v>
                </c:pt>
                <c:pt idx="46">
                  <c:v>4.8129983675722784E-2</c:v>
                </c:pt>
                <c:pt idx="47">
                  <c:v>4.8089218402895047E-2</c:v>
                </c:pt>
                <c:pt idx="48">
                  <c:v>4.8001189078436757E-2</c:v>
                </c:pt>
                <c:pt idx="49">
                  <c:v>4.8059756169195125E-2</c:v>
                </c:pt>
                <c:pt idx="50">
                  <c:v>4.8339239595375456E-2</c:v>
                </c:pt>
                <c:pt idx="51">
                  <c:v>4.8236503260706831E-2</c:v>
                </c:pt>
                <c:pt idx="52">
                  <c:v>4.8276040576636516E-2</c:v>
                </c:pt>
                <c:pt idx="53">
                  <c:v>4.8333854658861461E-2</c:v>
                </c:pt>
                <c:pt idx="54">
                  <c:v>4.841737646053286E-2</c:v>
                </c:pt>
                <c:pt idx="55">
                  <c:v>4.8303205919770734E-2</c:v>
                </c:pt>
                <c:pt idx="56">
                  <c:v>4.8363109378982666E-2</c:v>
                </c:pt>
                <c:pt idx="57">
                  <c:v>4.8443349431328837E-2</c:v>
                </c:pt>
                <c:pt idx="58">
                  <c:v>4.8487733444886688E-2</c:v>
                </c:pt>
                <c:pt idx="59">
                  <c:v>4.8537228657318791E-2</c:v>
                </c:pt>
                <c:pt idx="60">
                  <c:v>4.8593825105559485E-2</c:v>
                </c:pt>
                <c:pt idx="61">
                  <c:v>4.8641062418860292E-2</c:v>
                </c:pt>
                <c:pt idx="62">
                  <c:v>4.8640993623231939E-2</c:v>
                </c:pt>
                <c:pt idx="63">
                  <c:v>4.8618504659281643E-2</c:v>
                </c:pt>
                <c:pt idx="64">
                  <c:v>4.8586435852271972E-2</c:v>
                </c:pt>
                <c:pt idx="65">
                  <c:v>4.8498057287295081E-2</c:v>
                </c:pt>
                <c:pt idx="66">
                  <c:v>4.8355192777180499E-2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1C-42B7-8F7E-55808C6E8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753270"/>
        <c:axId val="1166163229"/>
      </c:lineChart>
      <c:catAx>
        <c:axId val="755753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6163229"/>
        <c:crosses val="autoZero"/>
        <c:auto val="1"/>
        <c:lblAlgn val="ctr"/>
        <c:lblOffset val="100"/>
        <c:noMultiLvlLbl val="1"/>
      </c:catAx>
      <c:valAx>
        <c:axId val="1166163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57532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Population'!$AK$1:$AK$67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3.420564030955095E-2</c:v>
                </c:pt>
                <c:pt idx="2">
                  <c:v>3.36530885230533E-2</c:v>
                </c:pt>
                <c:pt idx="3">
                  <c:v>3.310151092357283E-2</c:v>
                </c:pt>
                <c:pt idx="4">
                  <c:v>3.2551271280283983E-2</c:v>
                </c:pt>
                <c:pt idx="5">
                  <c:v>3.2015333345168789E-2</c:v>
                </c:pt>
                <c:pt idx="6">
                  <c:v>3.1485255366199082E-2</c:v>
                </c:pt>
                <c:pt idx="7">
                  <c:v>3.0970413356980475E-2</c:v>
                </c:pt>
                <c:pt idx="8">
                  <c:v>3.0482911488160454E-2</c:v>
                </c:pt>
                <c:pt idx="9">
                  <c:v>3.002114330786949E-2</c:v>
                </c:pt>
                <c:pt idx="10">
                  <c:v>2.9559030962718006E-2</c:v>
                </c:pt>
                <c:pt idx="11">
                  <c:v>2.9113793984563208E-2</c:v>
                </c:pt>
                <c:pt idx="12">
                  <c:v>2.8676813484990637E-2</c:v>
                </c:pt>
                <c:pt idx="13">
                  <c:v>2.8252519288897555E-2</c:v>
                </c:pt>
                <c:pt idx="14">
                  <c:v>2.7847642384372692E-2</c:v>
                </c:pt>
                <c:pt idx="15">
                  <c:v>2.7456005669028116E-2</c:v>
                </c:pt>
                <c:pt idx="16">
                  <c:v>2.7075250820437494E-2</c:v>
                </c:pt>
                <c:pt idx="17">
                  <c:v>2.6690615414495078E-2</c:v>
                </c:pt>
                <c:pt idx="18">
                  <c:v>2.6320161444975915E-2</c:v>
                </c:pt>
                <c:pt idx="19">
                  <c:v>2.595242336778069E-2</c:v>
                </c:pt>
                <c:pt idx="20">
                  <c:v>2.5593249194288549E-2</c:v>
                </c:pt>
                <c:pt idx="21">
                  <c:v>2.5245751504275639E-2</c:v>
                </c:pt>
                <c:pt idx="22">
                  <c:v>2.4907708814181792E-2</c:v>
                </c:pt>
                <c:pt idx="23">
                  <c:v>2.4639469361088517E-2</c:v>
                </c:pt>
                <c:pt idx="24">
                  <c:v>2.4342061674283193E-2</c:v>
                </c:pt>
                <c:pt idx="25">
                  <c:v>2.4020392305547544E-2</c:v>
                </c:pt>
                <c:pt idx="26">
                  <c:v>2.3725690584339834E-2</c:v>
                </c:pt>
                <c:pt idx="27">
                  <c:v>2.3428935486965195E-2</c:v>
                </c:pt>
                <c:pt idx="28">
                  <c:v>2.3144578593097122E-2</c:v>
                </c:pt>
                <c:pt idx="29">
                  <c:v>2.2854950636442339E-2</c:v>
                </c:pt>
                <c:pt idx="30">
                  <c:v>2.2573156308001541E-2</c:v>
                </c:pt>
                <c:pt idx="31">
                  <c:v>2.2325234676358784E-2</c:v>
                </c:pt>
                <c:pt idx="32">
                  <c:v>2.2075417774057662E-2</c:v>
                </c:pt>
                <c:pt idx="33">
                  <c:v>2.185086702840092E-2</c:v>
                </c:pt>
                <c:pt idx="34">
                  <c:v>2.1620245949187086E-2</c:v>
                </c:pt>
                <c:pt idx="35">
                  <c:v>2.1360399944676992E-2</c:v>
                </c:pt>
                <c:pt idx="36">
                  <c:v>2.1089914484212283E-2</c:v>
                </c:pt>
                <c:pt idx="37">
                  <c:v>2.0812836217828892E-2</c:v>
                </c:pt>
                <c:pt idx="38">
                  <c:v>2.0537772916050304E-2</c:v>
                </c:pt>
                <c:pt idx="39">
                  <c:v>2.025488269616944E-2</c:v>
                </c:pt>
                <c:pt idx="40">
                  <c:v>1.9979682257849511E-2</c:v>
                </c:pt>
                <c:pt idx="41">
                  <c:v>1.9717178300302656E-2</c:v>
                </c:pt>
                <c:pt idx="42">
                  <c:v>1.9480306548690336E-2</c:v>
                </c:pt>
                <c:pt idx="43">
                  <c:v>1.9278030037985155E-2</c:v>
                </c:pt>
                <c:pt idx="44">
                  <c:v>1.9087978971701568E-2</c:v>
                </c:pt>
                <c:pt idx="45">
                  <c:v>1.8915151187872799E-2</c:v>
                </c:pt>
                <c:pt idx="46">
                  <c:v>1.8783492966304039E-2</c:v>
                </c:pt>
                <c:pt idx="47">
                  <c:v>1.8671513919961011E-2</c:v>
                </c:pt>
                <c:pt idx="48">
                  <c:v>1.8574292753766791E-2</c:v>
                </c:pt>
                <c:pt idx="49">
                  <c:v>1.8484113066071461E-2</c:v>
                </c:pt>
                <c:pt idx="50">
                  <c:v>1.8397174570695802E-2</c:v>
                </c:pt>
                <c:pt idx="51">
                  <c:v>1.8322747785210612E-2</c:v>
                </c:pt>
                <c:pt idx="52">
                  <c:v>1.8249287031223107E-2</c:v>
                </c:pt>
                <c:pt idx="53">
                  <c:v>1.8182745843485011E-2</c:v>
                </c:pt>
                <c:pt idx="54">
                  <c:v>1.8119187471883045E-2</c:v>
                </c:pt>
                <c:pt idx="55">
                  <c:v>1.8066165489677759E-2</c:v>
                </c:pt>
                <c:pt idx="56">
                  <c:v>1.8006139818275434E-2</c:v>
                </c:pt>
                <c:pt idx="57">
                  <c:v>1.7956880309009726E-2</c:v>
                </c:pt>
                <c:pt idx="58">
                  <c:v>1.7908634105262958E-2</c:v>
                </c:pt>
                <c:pt idx="59">
                  <c:v>1.7860989679861477E-2</c:v>
                </c:pt>
                <c:pt idx="60">
                  <c:v>1.7821914474692981E-2</c:v>
                </c:pt>
                <c:pt idx="61">
                  <c:v>1.7781456563636035E-2</c:v>
                </c:pt>
                <c:pt idx="62">
                  <c:v>1.7741969582160448E-2</c:v>
                </c:pt>
                <c:pt idx="63">
                  <c:v>1.7705295583362753E-2</c:v>
                </c:pt>
                <c:pt idx="64">
                  <c:v>1.7668746301543248E-2</c:v>
                </c:pt>
                <c:pt idx="65">
                  <c:v>1.7637619190770667E-2</c:v>
                </c:pt>
                <c:pt idx="66">
                  <c:v>1.7604789123861909E-2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D8-4687-9FB4-F361FA104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95848"/>
        <c:axId val="390982330"/>
      </c:lineChart>
      <c:catAx>
        <c:axId val="51195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0982330"/>
        <c:crosses val="autoZero"/>
        <c:auto val="1"/>
        <c:lblAlgn val="ctr"/>
        <c:lblOffset val="100"/>
        <c:noMultiLvlLbl val="1"/>
      </c:catAx>
      <c:valAx>
        <c:axId val="39098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1958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Population'!$Z$1:$Z$67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0.10203099257749167</c:v>
                </c:pt>
                <c:pt idx="2">
                  <c:v>0.10254171630227296</c:v>
                </c:pt>
                <c:pt idx="3">
                  <c:v>0.103050926446284</c:v>
                </c:pt>
                <c:pt idx="4">
                  <c:v>0.10365851307218657</c:v>
                </c:pt>
                <c:pt idx="5">
                  <c:v>0.10437697951274148</c:v>
                </c:pt>
                <c:pt idx="6">
                  <c:v>0.10496525159634663</c:v>
                </c:pt>
                <c:pt idx="7">
                  <c:v>0.10548123771344194</c:v>
                </c:pt>
                <c:pt idx="8">
                  <c:v>0.10604800328343031</c:v>
                </c:pt>
                <c:pt idx="9">
                  <c:v>0.10614939985753689</c:v>
                </c:pt>
                <c:pt idx="10">
                  <c:v>0.10657550753142672</c:v>
                </c:pt>
                <c:pt idx="11">
                  <c:v>0.10688292685369591</c:v>
                </c:pt>
                <c:pt idx="12">
                  <c:v>0.10718407149717825</c:v>
                </c:pt>
                <c:pt idx="13">
                  <c:v>0.10746710025147495</c:v>
                </c:pt>
                <c:pt idx="14">
                  <c:v>0.10772306695924784</c:v>
                </c:pt>
                <c:pt idx="15">
                  <c:v>0.10796031082529771</c:v>
                </c:pt>
                <c:pt idx="16">
                  <c:v>0.10817273441415649</c:v>
                </c:pt>
                <c:pt idx="17">
                  <c:v>0.10832850059980682</c:v>
                </c:pt>
                <c:pt idx="18">
                  <c:v>0.1084657782617916</c:v>
                </c:pt>
                <c:pt idx="19">
                  <c:v>0.10860633000909763</c:v>
                </c:pt>
                <c:pt idx="20">
                  <c:v>0.10880284008458758</c:v>
                </c:pt>
                <c:pt idx="21">
                  <c:v>0.10907738457974639</c:v>
                </c:pt>
                <c:pt idx="22">
                  <c:v>0.10942085400525316</c:v>
                </c:pt>
                <c:pt idx="23">
                  <c:v>0.10978990072337061</c:v>
                </c:pt>
                <c:pt idx="24">
                  <c:v>0.11012637000028595</c:v>
                </c:pt>
                <c:pt idx="25">
                  <c:v>0.11048242163470763</c:v>
                </c:pt>
                <c:pt idx="26">
                  <c:v>0.11086576846677323</c:v>
                </c:pt>
                <c:pt idx="27">
                  <c:v>0.11120091746126995</c:v>
                </c:pt>
                <c:pt idx="28">
                  <c:v>0.11156955684963321</c:v>
                </c:pt>
                <c:pt idx="29">
                  <c:v>0.1119363668408213</c:v>
                </c:pt>
                <c:pt idx="30">
                  <c:v>0.11226070846020554</c:v>
                </c:pt>
                <c:pt idx="31">
                  <c:v>0.11256930056434025</c:v>
                </c:pt>
                <c:pt idx="32">
                  <c:v>0.11284385101653581</c:v>
                </c:pt>
                <c:pt idx="33">
                  <c:v>0.11308361944935749</c:v>
                </c:pt>
                <c:pt idx="34">
                  <c:v>0.1133068309425975</c:v>
                </c:pt>
                <c:pt idx="35">
                  <c:v>0.11354225708741958</c:v>
                </c:pt>
                <c:pt idx="36">
                  <c:v>0.11374573185867205</c:v>
                </c:pt>
                <c:pt idx="37">
                  <c:v>0.11390826975670462</c:v>
                </c:pt>
                <c:pt idx="38">
                  <c:v>0.11404998987382137</c:v>
                </c:pt>
                <c:pt idx="39">
                  <c:v>0.11417364762501733</c:v>
                </c:pt>
                <c:pt idx="40">
                  <c:v>0.11426236224335261</c:v>
                </c:pt>
                <c:pt idx="41">
                  <c:v>0.11428370098786168</c:v>
                </c:pt>
                <c:pt idx="42">
                  <c:v>0.11420297265652075</c:v>
                </c:pt>
                <c:pt idx="43">
                  <c:v>0.11413750618038619</c:v>
                </c:pt>
                <c:pt idx="44">
                  <c:v>0.11397617387307658</c:v>
                </c:pt>
                <c:pt idx="45">
                  <c:v>0.11377133243915111</c:v>
                </c:pt>
                <c:pt idx="46">
                  <c:v>0.11361309611267459</c:v>
                </c:pt>
                <c:pt idx="47">
                  <c:v>0.11335763166960722</c:v>
                </c:pt>
                <c:pt idx="48">
                  <c:v>0.11307360795671231</c:v>
                </c:pt>
                <c:pt idx="49">
                  <c:v>0.11273435794185412</c:v>
                </c:pt>
                <c:pt idx="50">
                  <c:v>0.11233370397162934</c:v>
                </c:pt>
                <c:pt idx="51">
                  <c:v>0.11195634210125238</c:v>
                </c:pt>
                <c:pt idx="52">
                  <c:v>0.1115017870469958</c:v>
                </c:pt>
                <c:pt idx="53">
                  <c:v>0.11101585756096402</c:v>
                </c:pt>
                <c:pt idx="54">
                  <c:v>0.11049677422166282</c:v>
                </c:pt>
                <c:pt idx="55">
                  <c:v>0.1099951852878292</c:v>
                </c:pt>
                <c:pt idx="56">
                  <c:v>0.10942266070337724</c:v>
                </c:pt>
                <c:pt idx="57">
                  <c:v>0.10887238687215216</c:v>
                </c:pt>
                <c:pt idx="58">
                  <c:v>0.10830573668839596</c:v>
                </c:pt>
                <c:pt idx="59">
                  <c:v>0.10773203664590097</c:v>
                </c:pt>
                <c:pt idx="60">
                  <c:v>0.10716859382675541</c:v>
                </c:pt>
                <c:pt idx="61">
                  <c:v>0.10658556983644724</c:v>
                </c:pt>
                <c:pt idx="62">
                  <c:v>0.10599376498472994</c:v>
                </c:pt>
                <c:pt idx="63">
                  <c:v>0.1053588088528561</c:v>
                </c:pt>
                <c:pt idx="64">
                  <c:v>0.1047194467401001</c:v>
                </c:pt>
                <c:pt idx="65">
                  <c:v>0.10405658750571255</c:v>
                </c:pt>
                <c:pt idx="66">
                  <c:v>0.10336232510436678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90-49C9-8EA1-67D8A861E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641744"/>
        <c:axId val="1104214472"/>
      </c:lineChart>
      <c:catAx>
        <c:axId val="105664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4214472"/>
        <c:crosses val="autoZero"/>
        <c:auto val="1"/>
        <c:lblAlgn val="ctr"/>
        <c:lblOffset val="100"/>
        <c:noMultiLvlLbl val="1"/>
      </c:catAx>
      <c:valAx>
        <c:axId val="1104214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66417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Population'!$CY$1:$CY$67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3.669708526221916E-2</c:v>
                </c:pt>
                <c:pt idx="2">
                  <c:v>3.679100259556714E-2</c:v>
                </c:pt>
                <c:pt idx="3">
                  <c:v>3.693666228110784E-2</c:v>
                </c:pt>
                <c:pt idx="4">
                  <c:v>3.7103228872455415E-2</c:v>
                </c:pt>
                <c:pt idx="5">
                  <c:v>3.7294416497266544E-2</c:v>
                </c:pt>
                <c:pt idx="6">
                  <c:v>3.7504155693105806E-2</c:v>
                </c:pt>
                <c:pt idx="7">
                  <c:v>3.7749633439855157E-2</c:v>
                </c:pt>
                <c:pt idx="8">
                  <c:v>3.8013071695479073E-2</c:v>
                </c:pt>
                <c:pt idx="9">
                  <c:v>3.8262790275231391E-2</c:v>
                </c:pt>
                <c:pt idx="10">
                  <c:v>3.8516424122153274E-2</c:v>
                </c:pt>
                <c:pt idx="11">
                  <c:v>3.8773550955882211E-2</c:v>
                </c:pt>
                <c:pt idx="12">
                  <c:v>3.899951041873418E-2</c:v>
                </c:pt>
                <c:pt idx="13">
                  <c:v>3.9196462223296133E-2</c:v>
                </c:pt>
                <c:pt idx="14">
                  <c:v>3.9399783070353731E-2</c:v>
                </c:pt>
                <c:pt idx="15">
                  <c:v>3.9655457331165413E-2</c:v>
                </c:pt>
                <c:pt idx="16">
                  <c:v>3.9924779349891436E-2</c:v>
                </c:pt>
                <c:pt idx="17">
                  <c:v>4.025847683887334E-2</c:v>
                </c:pt>
                <c:pt idx="18">
                  <c:v>4.0628192268773677E-2</c:v>
                </c:pt>
                <c:pt idx="19">
                  <c:v>4.0984330184971496E-2</c:v>
                </c:pt>
                <c:pt idx="20">
                  <c:v>4.1354829553301574E-2</c:v>
                </c:pt>
                <c:pt idx="21">
                  <c:v>4.1745314564276388E-2</c:v>
                </c:pt>
                <c:pt idx="22">
                  <c:v>4.2157692966415639E-2</c:v>
                </c:pt>
                <c:pt idx="23">
                  <c:v>4.2538274605946037E-2</c:v>
                </c:pt>
                <c:pt idx="24">
                  <c:v>4.2846866280709044E-2</c:v>
                </c:pt>
                <c:pt idx="25">
                  <c:v>4.3128111714790238E-2</c:v>
                </c:pt>
                <c:pt idx="26">
                  <c:v>4.346802048081131E-2</c:v>
                </c:pt>
                <c:pt idx="27">
                  <c:v>4.3854476706049042E-2</c:v>
                </c:pt>
                <c:pt idx="28">
                  <c:v>4.4327786701289999E-2</c:v>
                </c:pt>
                <c:pt idx="29">
                  <c:v>4.4891914169753099E-2</c:v>
                </c:pt>
                <c:pt idx="30">
                  <c:v>4.5465018049913396E-2</c:v>
                </c:pt>
                <c:pt idx="31">
                  <c:v>4.6072658414251295E-2</c:v>
                </c:pt>
                <c:pt idx="32">
                  <c:v>4.6687591771432842E-2</c:v>
                </c:pt>
                <c:pt idx="33">
                  <c:v>4.736326432303016E-2</c:v>
                </c:pt>
                <c:pt idx="34">
                  <c:v>4.8090409986754103E-2</c:v>
                </c:pt>
                <c:pt idx="35">
                  <c:v>4.8791604481160405E-2</c:v>
                </c:pt>
                <c:pt idx="36">
                  <c:v>4.9448874879981487E-2</c:v>
                </c:pt>
                <c:pt idx="37">
                  <c:v>5.0072053495015541E-2</c:v>
                </c:pt>
                <c:pt idx="38">
                  <c:v>5.0805444836768902E-2</c:v>
                </c:pt>
                <c:pt idx="39">
                  <c:v>5.1531306936021377E-2</c:v>
                </c:pt>
                <c:pt idx="40">
                  <c:v>5.2253363491081582E-2</c:v>
                </c:pt>
                <c:pt idx="41">
                  <c:v>5.30313128999617E-2</c:v>
                </c:pt>
                <c:pt idx="42">
                  <c:v>5.3788239150909412E-2</c:v>
                </c:pt>
                <c:pt idx="43">
                  <c:v>5.449361984624905E-2</c:v>
                </c:pt>
                <c:pt idx="44">
                  <c:v>5.5096380138082081E-2</c:v>
                </c:pt>
                <c:pt idx="45">
                  <c:v>5.5688624311160909E-2</c:v>
                </c:pt>
                <c:pt idx="46">
                  <c:v>5.6374756122866292E-2</c:v>
                </c:pt>
                <c:pt idx="47">
                  <c:v>5.7065397744927152E-2</c:v>
                </c:pt>
                <c:pt idx="48">
                  <c:v>5.7768013238994151E-2</c:v>
                </c:pt>
                <c:pt idx="49">
                  <c:v>5.8445494291626043E-2</c:v>
                </c:pt>
                <c:pt idx="50">
                  <c:v>5.9034123562427356E-2</c:v>
                </c:pt>
                <c:pt idx="51">
                  <c:v>5.9703477916386076E-2</c:v>
                </c:pt>
                <c:pt idx="52">
                  <c:v>6.0390342866635041E-2</c:v>
                </c:pt>
                <c:pt idx="53">
                  <c:v>6.1066178208404383E-2</c:v>
                </c:pt>
                <c:pt idx="54">
                  <c:v>6.1792645251746367E-2</c:v>
                </c:pt>
                <c:pt idx="55">
                  <c:v>6.2558172105699084E-2</c:v>
                </c:pt>
                <c:pt idx="56">
                  <c:v>6.3339188785639308E-2</c:v>
                </c:pt>
                <c:pt idx="57">
                  <c:v>6.4190161789342379E-2</c:v>
                </c:pt>
                <c:pt idx="58">
                  <c:v>6.5066092487563801E-2</c:v>
                </c:pt>
                <c:pt idx="59">
                  <c:v>6.5978299609193783E-2</c:v>
                </c:pt>
                <c:pt idx="60">
                  <c:v>6.6968196524882811E-2</c:v>
                </c:pt>
                <c:pt idx="61">
                  <c:v>6.7973221438930184E-2</c:v>
                </c:pt>
                <c:pt idx="62">
                  <c:v>6.8965863416968559E-2</c:v>
                </c:pt>
                <c:pt idx="63">
                  <c:v>6.9923064112198313E-2</c:v>
                </c:pt>
                <c:pt idx="64">
                  <c:v>7.0737174564496311E-2</c:v>
                </c:pt>
                <c:pt idx="65">
                  <c:v>7.1663036700678015E-2</c:v>
                </c:pt>
                <c:pt idx="66">
                  <c:v>7.2558680077716403E-2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D-4A8B-860F-69514689B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02814"/>
        <c:axId val="822598333"/>
      </c:lineChart>
      <c:catAx>
        <c:axId val="1736702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2598333"/>
        <c:crosses val="autoZero"/>
        <c:auto val="1"/>
        <c:lblAlgn val="ctr"/>
        <c:lblOffset val="100"/>
        <c:noMultiLvlLbl val="1"/>
      </c:catAx>
      <c:valAx>
        <c:axId val="82259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67028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Population'!$CX$1:$CX$67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7.0197974614573189E-3</c:v>
                </c:pt>
                <c:pt idx="2">
                  <c:v>5.7930163784236134E-3</c:v>
                </c:pt>
                <c:pt idx="3">
                  <c:v>5.2339792069340807E-3</c:v>
                </c:pt>
                <c:pt idx="4">
                  <c:v>4.8031023921481075E-3</c:v>
                </c:pt>
                <c:pt idx="5">
                  <c:v>4.3686324513475027E-3</c:v>
                </c:pt>
                <c:pt idx="6">
                  <c:v>3.7847272707337686E-3</c:v>
                </c:pt>
                <c:pt idx="7">
                  <c:v>3.8366785462588676E-3</c:v>
                </c:pt>
                <c:pt idx="8">
                  <c:v>4.8915463729019976E-3</c:v>
                </c:pt>
                <c:pt idx="9">
                  <c:v>4.460001086652521E-3</c:v>
                </c:pt>
                <c:pt idx="10">
                  <c:v>4.5694917773052134E-3</c:v>
                </c:pt>
                <c:pt idx="11">
                  <c:v>5.3790594685591752E-3</c:v>
                </c:pt>
                <c:pt idx="12">
                  <c:v>6.2525435344694012E-3</c:v>
                </c:pt>
                <c:pt idx="13">
                  <c:v>6.2257251554778074E-3</c:v>
                </c:pt>
                <c:pt idx="14">
                  <c:v>5.1371943795859723E-3</c:v>
                </c:pt>
                <c:pt idx="15">
                  <c:v>5.101515843109845E-3</c:v>
                </c:pt>
                <c:pt idx="16">
                  <c:v>3.4924904173664656E-3</c:v>
                </c:pt>
                <c:pt idx="17">
                  <c:v>2.7624906727703024E-3</c:v>
                </c:pt>
                <c:pt idx="18">
                  <c:v>3.2524825650380833E-3</c:v>
                </c:pt>
                <c:pt idx="19">
                  <c:v>3.2661983935856039E-3</c:v>
                </c:pt>
                <c:pt idx="20">
                  <c:v>3.2825353999073503E-3</c:v>
                </c:pt>
                <c:pt idx="21">
                  <c:v>3.1665724318675616E-3</c:v>
                </c:pt>
                <c:pt idx="22">
                  <c:v>4.0868781587980758E-3</c:v>
                </c:pt>
                <c:pt idx="23">
                  <c:v>5.6724589569875153E-3</c:v>
                </c:pt>
                <c:pt idx="24">
                  <c:v>6.8750593689708758E-3</c:v>
                </c:pt>
                <c:pt idx="25">
                  <c:v>6.1553702739538581E-3</c:v>
                </c:pt>
                <c:pt idx="26">
                  <c:v>5.280193171005523E-3</c:v>
                </c:pt>
                <c:pt idx="27">
                  <c:v>3.9455206054649699E-3</c:v>
                </c:pt>
                <c:pt idx="28">
                  <c:v>2.4021922693253477E-3</c:v>
                </c:pt>
                <c:pt idx="29">
                  <c:v>2.4386173884672056E-3</c:v>
                </c:pt>
                <c:pt idx="30">
                  <c:v>2.1541717066335497E-3</c:v>
                </c:pt>
                <c:pt idx="31">
                  <c:v>2.4591531865143074E-3</c:v>
                </c:pt>
                <c:pt idx="32">
                  <c:v>1.5165001485357703E-3</c:v>
                </c:pt>
                <c:pt idx="33">
                  <c:v>1.0020966674865251E-3</c:v>
                </c:pt>
                <c:pt idx="34">
                  <c:v>2.2629101884174651E-3</c:v>
                </c:pt>
                <c:pt idx="35">
                  <c:v>3.4843350597072221E-3</c:v>
                </c:pt>
                <c:pt idx="36">
                  <c:v>4.4040250008296486E-3</c:v>
                </c:pt>
                <c:pt idx="37">
                  <c:v>2.4059145400272125E-3</c:v>
                </c:pt>
                <c:pt idx="38">
                  <c:v>2.7148314225211023E-3</c:v>
                </c:pt>
                <c:pt idx="39">
                  <c:v>3.0606456023805949E-3</c:v>
                </c:pt>
                <c:pt idx="40">
                  <c:v>2.0887130103404111E-3</c:v>
                </c:pt>
                <c:pt idx="41">
                  <c:v>2.6471723464104612E-3</c:v>
                </c:pt>
                <c:pt idx="42">
                  <c:v>4.6757399080884906E-3</c:v>
                </c:pt>
                <c:pt idx="43">
                  <c:v>6.4957708095497047E-3</c:v>
                </c:pt>
                <c:pt idx="44">
                  <c:v>6.8018111750426978E-3</c:v>
                </c:pt>
                <c:pt idx="45">
                  <c:v>5.9759696820753851E-3</c:v>
                </c:pt>
                <c:pt idx="46">
                  <c:v>5.5708793891712481E-3</c:v>
                </c:pt>
                <c:pt idx="47">
                  <c:v>5.7128637523279841E-3</c:v>
                </c:pt>
                <c:pt idx="48">
                  <c:v>6.4999065756066393E-3</c:v>
                </c:pt>
                <c:pt idx="49">
                  <c:v>8.284122074898757E-3</c:v>
                </c:pt>
                <c:pt idx="50">
                  <c:v>8.0149922435458747E-3</c:v>
                </c:pt>
                <c:pt idx="51">
                  <c:v>7.9317557008296239E-3</c:v>
                </c:pt>
                <c:pt idx="52">
                  <c:v>8.5637126317853769E-3</c:v>
                </c:pt>
                <c:pt idx="53">
                  <c:v>7.9751479549941412E-3</c:v>
                </c:pt>
                <c:pt idx="54">
                  <c:v>7.8710910028181955E-3</c:v>
                </c:pt>
                <c:pt idx="55">
                  <c:v>7.3424604790440174E-3</c:v>
                </c:pt>
                <c:pt idx="56">
                  <c:v>6.7195493071248117E-3</c:v>
                </c:pt>
                <c:pt idx="57">
                  <c:v>6.5051983782039146E-3</c:v>
                </c:pt>
                <c:pt idx="58">
                  <c:v>6.1864079005470654E-3</c:v>
                </c:pt>
                <c:pt idx="59">
                  <c:v>5.3010063451125631E-3</c:v>
                </c:pt>
                <c:pt idx="60">
                  <c:v>5.0681265098517598E-3</c:v>
                </c:pt>
                <c:pt idx="61">
                  <c:v>5.346619651473E-3</c:v>
                </c:pt>
                <c:pt idx="62">
                  <c:v>5.6026430466782481E-3</c:v>
                </c:pt>
                <c:pt idx="63">
                  <c:v>7.6309143218865191E-3</c:v>
                </c:pt>
                <c:pt idx="64">
                  <c:v>5.8918982533503472E-3</c:v>
                </c:pt>
                <c:pt idx="65">
                  <c:v>6.1687866238249872E-3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FF-4AD9-8B36-FF76D390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545412"/>
        <c:axId val="1669148193"/>
      </c:lineChart>
      <c:catAx>
        <c:axId val="1746545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9148193"/>
        <c:crosses val="autoZero"/>
        <c:auto val="1"/>
        <c:lblAlgn val="ctr"/>
        <c:lblOffset val="100"/>
        <c:noMultiLvlLbl val="1"/>
      </c:catAx>
      <c:valAx>
        <c:axId val="1669148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65454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Population'!$CW$1</c:f>
              <c:strCache>
                <c:ptCount val="1"/>
                <c:pt idx="0">
                  <c:v>South Ayuman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Population'!$CW$2:$CW$67</c:f>
              <c:numCache>
                <c:formatCode>#,###</c:formatCode>
                <c:ptCount val="66"/>
                <c:pt idx="0">
                  <c:v>250044910.79776329</c:v>
                </c:pt>
                <c:pt idx="1">
                  <c:v>248301881.87768325</c:v>
                </c:pt>
                <c:pt idx="2">
                  <c:v>246871749.78779247</c:v>
                </c:pt>
                <c:pt idx="3">
                  <c:v>245586355.90746608</c:v>
                </c:pt>
                <c:pt idx="4">
                  <c:v>244412418.03771842</c:v>
                </c:pt>
                <c:pt idx="5">
                  <c:v>243349314.32614008</c:v>
                </c:pt>
                <c:pt idx="6">
                  <c:v>242431776.17157111</c:v>
                </c:pt>
                <c:pt idx="7">
                  <c:v>241505198.35822013</c:v>
                </c:pt>
                <c:pt idx="8">
                  <c:v>240329614.90214461</c:v>
                </c:pt>
                <c:pt idx="9">
                  <c:v>239262503.8748675</c:v>
                </c:pt>
                <c:pt idx="10">
                  <c:v>238174168.9682008</c:v>
                </c:pt>
                <c:pt idx="11">
                  <c:v>236899870.47681206</c:v>
                </c:pt>
                <c:pt idx="12">
                  <c:v>235427847.6104016</c:v>
                </c:pt>
                <c:pt idx="13">
                  <c:v>233971207.18020231</c:v>
                </c:pt>
                <c:pt idx="14">
                  <c:v>232775394.73068592</c:v>
                </c:pt>
                <c:pt idx="15">
                  <c:v>231593914.70564723</c:v>
                </c:pt>
                <c:pt idx="16">
                  <c:v>230787890.21064234</c:v>
                </c:pt>
                <c:pt idx="17">
                  <c:v>230152097.18883964</c:v>
                </c:pt>
                <c:pt idx="18">
                  <c:v>229405958.30912337</c:v>
                </c:pt>
                <c:pt idx="19">
                  <c:v>228659112.28390297</c:v>
                </c:pt>
                <c:pt idx="20">
                  <c:v>227910986.4030073</c:v>
                </c:pt>
                <c:pt idx="21">
                  <c:v>227191567.84750861</c:v>
                </c:pt>
                <c:pt idx="22">
                  <c:v>226266842.82948858</c:v>
                </c:pt>
                <c:pt idx="23">
                  <c:v>224990592.9254109</c:v>
                </c:pt>
                <c:pt idx="24">
                  <c:v>223454331.13262045</c:v>
                </c:pt>
                <c:pt idx="25">
                  <c:v>222087301.55838534</c:v>
                </c:pt>
                <c:pt idx="26">
                  <c:v>220920797.07434031</c:v>
                </c:pt>
                <c:pt idx="27">
                  <c:v>220052575.104978</c:v>
                </c:pt>
                <c:pt idx="28">
                  <c:v>219525233.28665495</c:v>
                </c:pt>
                <c:pt idx="29">
                  <c:v>218991197.54440191</c:v>
                </c:pt>
                <c:pt idx="30">
                  <c:v>218520466.93720543</c:v>
                </c:pt>
                <c:pt idx="31">
                  <c:v>217984409.88103604</c:v>
                </c:pt>
                <c:pt idx="32">
                  <c:v>217654337.04657546</c:v>
                </c:pt>
                <c:pt idx="33">
                  <c:v>217436444.70994151</c:v>
                </c:pt>
                <c:pt idx="34">
                  <c:v>216945516.49034402</c:v>
                </c:pt>
                <c:pt idx="35">
                  <c:v>216192230.3225947</c:v>
                </c:pt>
                <c:pt idx="36">
                  <c:v>215244289.09214708</c:v>
                </c:pt>
                <c:pt idx="37">
                  <c:v>214727672.66234255</c:v>
                </c:pt>
                <c:pt idx="38">
                  <c:v>214146301.55386743</c:v>
                </c:pt>
                <c:pt idx="39">
                  <c:v>213492875.52325758</c:v>
                </c:pt>
                <c:pt idx="40">
                  <c:v>213047879.64521718</c:v>
                </c:pt>
                <c:pt idx="41">
                  <c:v>212485394.18571264</c:v>
                </c:pt>
                <c:pt idx="42">
                  <c:v>211496491.59952006</c:v>
                </c:pt>
                <c:pt idx="43">
                  <c:v>210131525.37084994</c:v>
                </c:pt>
                <c:pt idx="44">
                  <c:v>208711906.39357764</c:v>
                </c:pt>
                <c:pt idx="45">
                  <c:v>207472059.65520042</c:v>
                </c:pt>
                <c:pt idx="46">
                  <c:v>206322660.99554139</c:v>
                </c:pt>
                <c:pt idx="47">
                  <c:v>205150663.20793474</c:v>
                </c:pt>
                <c:pt idx="48">
                  <c:v>203825814.45627204</c:v>
                </c:pt>
                <c:pt idx="49">
                  <c:v>202151169.49062812</c:v>
                </c:pt>
                <c:pt idx="50">
                  <c:v>200543812.3898325</c:v>
                </c:pt>
                <c:pt idx="51">
                  <c:v>198965665.33950651</c:v>
                </c:pt>
                <c:pt idx="52">
                  <c:v>197276248.24049813</c:v>
                </c:pt>
                <c:pt idx="53">
                  <c:v>195715389.0557096</c:v>
                </c:pt>
                <c:pt idx="54">
                  <c:v>194186926.08890629</c:v>
                </c:pt>
                <c:pt idx="55">
                  <c:v>192771508.90329814</c:v>
                </c:pt>
                <c:pt idx="56">
                  <c:v>191484817.23233965</c:v>
                </c:pt>
                <c:pt idx="57">
                  <c:v>190247221.31677198</c:v>
                </c:pt>
                <c:pt idx="58">
                  <c:v>189077510.71069556</c:v>
                </c:pt>
                <c:pt idx="59">
                  <c:v>188080494.81429309</c:v>
                </c:pt>
                <c:pt idx="60">
                  <c:v>187132085.72976223</c:v>
                </c:pt>
                <c:pt idx="61">
                  <c:v>186136882.6153073</c:v>
                </c:pt>
                <c:pt idx="62">
                  <c:v>185099834.3156375</c:v>
                </c:pt>
                <c:pt idx="63">
                  <c:v>183698050.23321027</c:v>
                </c:pt>
                <c:pt idx="64">
                  <c:v>182622059.639</c:v>
                </c:pt>
                <c:pt idx="65">
                  <c:v>181502410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6-4206-8E04-0D1DE47E2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02188"/>
        <c:axId val="2071600786"/>
      </c:lineChart>
      <c:catAx>
        <c:axId val="60502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1600786"/>
        <c:crosses val="autoZero"/>
        <c:auto val="1"/>
        <c:lblAlgn val="ctr"/>
        <c:lblOffset val="100"/>
        <c:noMultiLvlLbl val="1"/>
      </c:catAx>
      <c:valAx>
        <c:axId val="2071600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5021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Population'!$DJ$1:$DJ$67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2.5455913460522454E-2</c:v>
                </c:pt>
                <c:pt idx="2">
                  <c:v>2.5576996116518841E-2</c:v>
                </c:pt>
                <c:pt idx="3">
                  <c:v>2.5710971396811284E-2</c:v>
                </c:pt>
                <c:pt idx="4">
                  <c:v>2.587404226130461E-2</c:v>
                </c:pt>
                <c:pt idx="5">
                  <c:v>2.6053404406741757E-2</c:v>
                </c:pt>
                <c:pt idx="6">
                  <c:v>2.6208339442504034E-2</c:v>
                </c:pt>
                <c:pt idx="7">
                  <c:v>2.6363590233416351E-2</c:v>
                </c:pt>
                <c:pt idx="8">
                  <c:v>2.6532605130193763E-2</c:v>
                </c:pt>
                <c:pt idx="9">
                  <c:v>2.6733627468084959E-2</c:v>
                </c:pt>
                <c:pt idx="10">
                  <c:v>2.6960770158071568E-2</c:v>
                </c:pt>
                <c:pt idx="11">
                  <c:v>2.7198233803952761E-2</c:v>
                </c:pt>
                <c:pt idx="12">
                  <c:v>2.7440308043836854E-2</c:v>
                </c:pt>
                <c:pt idx="13">
                  <c:v>2.7680395913927087E-2</c:v>
                </c:pt>
                <c:pt idx="14">
                  <c:v>2.791719483220724E-2</c:v>
                </c:pt>
                <c:pt idx="15">
                  <c:v>2.8157020538926016E-2</c:v>
                </c:pt>
                <c:pt idx="16">
                  <c:v>2.841017465432193E-2</c:v>
                </c:pt>
                <c:pt idx="17">
                  <c:v>2.8675476983149227E-2</c:v>
                </c:pt>
                <c:pt idx="18">
                  <c:v>2.8960782246662702E-2</c:v>
                </c:pt>
                <c:pt idx="19">
                  <c:v>2.9240881196328502E-2</c:v>
                </c:pt>
                <c:pt idx="20">
                  <c:v>2.9532823488351713E-2</c:v>
                </c:pt>
                <c:pt idx="21">
                  <c:v>2.9853609208702357E-2</c:v>
                </c:pt>
                <c:pt idx="22">
                  <c:v>3.017184161816306E-2</c:v>
                </c:pt>
                <c:pt idx="23">
                  <c:v>3.0474623810118381E-2</c:v>
                </c:pt>
                <c:pt idx="24">
                  <c:v>3.0757202838328366E-2</c:v>
                </c:pt>
                <c:pt idx="25">
                  <c:v>3.1051309504410301E-2</c:v>
                </c:pt>
                <c:pt idx="26">
                  <c:v>3.1363974596964009E-2</c:v>
                </c:pt>
                <c:pt idx="27">
                  <c:v>3.17274773052547E-2</c:v>
                </c:pt>
                <c:pt idx="28">
                  <c:v>3.2115003229786755E-2</c:v>
                </c:pt>
                <c:pt idx="29">
                  <c:v>3.2495903547916226E-2</c:v>
                </c:pt>
                <c:pt idx="30">
                  <c:v>3.2884670180817387E-2</c:v>
                </c:pt>
                <c:pt idx="31">
                  <c:v>3.3273089007464889E-2</c:v>
                </c:pt>
                <c:pt idx="32">
                  <c:v>3.365307987901478E-2</c:v>
                </c:pt>
                <c:pt idx="33">
                  <c:v>3.4039543467870047E-2</c:v>
                </c:pt>
                <c:pt idx="34">
                  <c:v>3.4425449595628307E-2</c:v>
                </c:pt>
                <c:pt idx="35">
                  <c:v>3.4813445853959533E-2</c:v>
                </c:pt>
                <c:pt idx="36">
                  <c:v>3.5193168244520547E-2</c:v>
                </c:pt>
                <c:pt idx="37">
                  <c:v>3.5559787427474704E-2</c:v>
                </c:pt>
                <c:pt idx="38">
                  <c:v>3.5906183395072407E-2</c:v>
                </c:pt>
                <c:pt idx="39">
                  <c:v>3.6227789217755553E-2</c:v>
                </c:pt>
                <c:pt idx="40">
                  <c:v>3.6529406270755439E-2</c:v>
                </c:pt>
                <c:pt idx="41">
                  <c:v>3.6812359694650507E-2</c:v>
                </c:pt>
                <c:pt idx="42">
                  <c:v>3.70922792348337E-2</c:v>
                </c:pt>
                <c:pt idx="43">
                  <c:v>3.7420490177427178E-2</c:v>
                </c:pt>
                <c:pt idx="44">
                  <c:v>3.7754819464601075E-2</c:v>
                </c:pt>
                <c:pt idx="45">
                  <c:v>3.8063295973011141E-2</c:v>
                </c:pt>
                <c:pt idx="46">
                  <c:v>3.8395131980023575E-2</c:v>
                </c:pt>
                <c:pt idx="47">
                  <c:v>3.8694053630186208E-2</c:v>
                </c:pt>
                <c:pt idx="48">
                  <c:v>3.9013599604356769E-2</c:v>
                </c:pt>
                <c:pt idx="49">
                  <c:v>3.9362768596560092E-2</c:v>
                </c:pt>
                <c:pt idx="50">
                  <c:v>3.9707577253672834E-2</c:v>
                </c:pt>
                <c:pt idx="51">
                  <c:v>4.0091597084044188E-2</c:v>
                </c:pt>
                <c:pt idx="52">
                  <c:v>4.0483660713435107E-2</c:v>
                </c:pt>
                <c:pt idx="53">
                  <c:v>4.0869371502662247E-2</c:v>
                </c:pt>
                <c:pt idx="54">
                  <c:v>4.1272738843795627E-2</c:v>
                </c:pt>
                <c:pt idx="55">
                  <c:v>4.169477020629174E-2</c:v>
                </c:pt>
                <c:pt idx="56">
                  <c:v>4.2096236622471889E-2</c:v>
                </c:pt>
                <c:pt idx="57">
                  <c:v>4.2546292693243865E-2</c:v>
                </c:pt>
                <c:pt idx="58">
                  <c:v>4.3021517156806258E-2</c:v>
                </c:pt>
                <c:pt idx="59">
                  <c:v>4.3504536414924633E-2</c:v>
                </c:pt>
                <c:pt idx="60">
                  <c:v>4.4004812443903002E-2</c:v>
                </c:pt>
                <c:pt idx="61">
                  <c:v>4.4627487478858141E-2</c:v>
                </c:pt>
                <c:pt idx="62">
                  <c:v>4.5041633075792863E-2</c:v>
                </c:pt>
                <c:pt idx="63">
                  <c:v>4.5419390634772988E-2</c:v>
                </c:pt>
                <c:pt idx="64">
                  <c:v>4.5790747357567739E-2</c:v>
                </c:pt>
                <c:pt idx="65">
                  <c:v>4.6127861662456318E-2</c:v>
                </c:pt>
                <c:pt idx="66">
                  <c:v>4.6446892848207758E-2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E2-42EB-B223-37D7FC5AC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670505"/>
        <c:axId val="174108120"/>
      </c:lineChart>
      <c:catAx>
        <c:axId val="104367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108120"/>
        <c:crosses val="autoZero"/>
        <c:auto val="1"/>
        <c:lblAlgn val="ctr"/>
        <c:lblOffset val="100"/>
        <c:noMultiLvlLbl val="1"/>
      </c:catAx>
      <c:valAx>
        <c:axId val="174108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36705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Population'!$DI$1:$DI$67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4.8175436555675478E-3</c:v>
                </c:pt>
                <c:pt idx="2">
                  <c:v>4.5133056662651719E-3</c:v>
                </c:pt>
                <c:pt idx="3">
                  <c:v>3.4030552743086985E-3</c:v>
                </c:pt>
                <c:pt idx="4">
                  <c:v>3.0275942715009968E-3</c:v>
                </c:pt>
                <c:pt idx="5">
                  <c:v>4.0461907365260345E-3</c:v>
                </c:pt>
                <c:pt idx="6">
                  <c:v>4.4050361488427326E-3</c:v>
                </c:pt>
                <c:pt idx="7">
                  <c:v>4.4028701081042206E-3</c:v>
                </c:pt>
                <c:pt idx="8">
                  <c:v>3.887085196919758E-3</c:v>
                </c:pt>
                <c:pt idx="9">
                  <c:v>2.5996947195854343E-3</c:v>
                </c:pt>
                <c:pt idx="10">
                  <c:v>2.4464727889216844E-3</c:v>
                </c:pt>
                <c:pt idx="11">
                  <c:v>2.3170878390572436E-3</c:v>
                </c:pt>
                <c:pt idx="12">
                  <c:v>2.5623503250397552E-3</c:v>
                </c:pt>
                <c:pt idx="13">
                  <c:v>2.8659742822289818E-3</c:v>
                </c:pt>
                <c:pt idx="14">
                  <c:v>3.0430106121260101E-3</c:v>
                </c:pt>
                <c:pt idx="15">
                  <c:v>2.9107439483587018E-3</c:v>
                </c:pt>
                <c:pt idx="16">
                  <c:v>2.518036183040087E-3</c:v>
                </c:pt>
                <c:pt idx="17">
                  <c:v>2.0020320629909986E-3</c:v>
                </c:pt>
                <c:pt idx="18">
                  <c:v>2.3523610402285894E-3</c:v>
                </c:pt>
                <c:pt idx="19">
                  <c:v>2.3284568347817177E-3</c:v>
                </c:pt>
                <c:pt idx="20">
                  <c:v>1.8734812028764851E-3</c:v>
                </c:pt>
                <c:pt idx="21">
                  <c:v>2.3910375785993138E-3</c:v>
                </c:pt>
                <c:pt idx="22">
                  <c:v>3.0851281900213688E-3</c:v>
                </c:pt>
                <c:pt idx="23">
                  <c:v>3.6615041918073056E-3</c:v>
                </c:pt>
                <c:pt idx="24">
                  <c:v>3.8848025844893746E-3</c:v>
                </c:pt>
                <c:pt idx="25">
                  <c:v>3.975917472508278E-3</c:v>
                </c:pt>
                <c:pt idx="26">
                  <c:v>2.5977998994800478E-3</c:v>
                </c:pt>
                <c:pt idx="27">
                  <c:v>2.535667714362231E-3</c:v>
                </c:pt>
                <c:pt idx="28">
                  <c:v>3.2598615138231791E-3</c:v>
                </c:pt>
                <c:pt idx="29">
                  <c:v>3.233808741105587E-3</c:v>
                </c:pt>
                <c:pt idx="30">
                  <c:v>3.69280625549143E-3</c:v>
                </c:pt>
                <c:pt idx="31">
                  <c:v>4.3687507482717356E-3</c:v>
                </c:pt>
                <c:pt idx="32">
                  <c:v>4.4755089170675751E-3</c:v>
                </c:pt>
                <c:pt idx="33">
                  <c:v>4.976591220754569E-3</c:v>
                </c:pt>
                <c:pt idx="34">
                  <c:v>5.5435581173416985E-3</c:v>
                </c:pt>
                <c:pt idx="35">
                  <c:v>6.0291351961758053E-3</c:v>
                </c:pt>
                <c:pt idx="36">
                  <c:v>6.5761641827162768E-3</c:v>
                </c:pt>
                <c:pt idx="37">
                  <c:v>7.2757710711842342E-3</c:v>
                </c:pt>
                <c:pt idx="38">
                  <c:v>8.0121112410967005E-3</c:v>
                </c:pt>
                <c:pt idx="39">
                  <c:v>8.7173803042787119E-3</c:v>
                </c:pt>
                <c:pt idx="40">
                  <c:v>9.1907366369057761E-3</c:v>
                </c:pt>
                <c:pt idx="41">
                  <c:v>9.2836031170952481E-3</c:v>
                </c:pt>
                <c:pt idx="42">
                  <c:v>8.9236315212910585E-3</c:v>
                </c:pt>
                <c:pt idx="43">
                  <c:v>8.6173563128250485E-3</c:v>
                </c:pt>
                <c:pt idx="44">
                  <c:v>9.3770295113560827E-3</c:v>
                </c:pt>
                <c:pt idx="45">
                  <c:v>9.5690320627028012E-3</c:v>
                </c:pt>
                <c:pt idx="46">
                  <c:v>1.0026564055902085E-2</c:v>
                </c:pt>
                <c:pt idx="47">
                  <c:v>9.7568190601079914E-3</c:v>
                </c:pt>
                <c:pt idx="48">
                  <c:v>9.2708469661013822E-3</c:v>
                </c:pt>
                <c:pt idx="49">
                  <c:v>9.5951598053951506E-3</c:v>
                </c:pt>
                <c:pt idx="50">
                  <c:v>9.6794909901573231E-3</c:v>
                </c:pt>
                <c:pt idx="51">
                  <c:v>9.6540072239621397E-3</c:v>
                </c:pt>
                <c:pt idx="52">
                  <c:v>1.022567351742699E-2</c:v>
                </c:pt>
                <c:pt idx="53">
                  <c:v>9.9980621374232519E-3</c:v>
                </c:pt>
                <c:pt idx="54">
                  <c:v>1.0029263280754867E-2</c:v>
                </c:pt>
                <c:pt idx="55">
                  <c:v>1.0191940543440641E-2</c:v>
                </c:pt>
                <c:pt idx="56">
                  <c:v>9.4528164491322602E-3</c:v>
                </c:pt>
                <c:pt idx="57">
                  <c:v>8.9700613663511002E-3</c:v>
                </c:pt>
                <c:pt idx="58">
                  <c:v>8.964800742711455E-3</c:v>
                </c:pt>
                <c:pt idx="59">
                  <c:v>8.7835062504260722E-3</c:v>
                </c:pt>
                <c:pt idx="60">
                  <c:v>5.9177866873452306E-3</c:v>
                </c:pt>
                <c:pt idx="61">
                  <c:v>1.0649243737979017E-2</c:v>
                </c:pt>
                <c:pt idx="62">
                  <c:v>1.1079965330683174E-2</c:v>
                </c:pt>
                <c:pt idx="63">
                  <c:v>1.109581386208704E-2</c:v>
                </c:pt>
                <c:pt idx="64">
                  <c:v>1.1610242274599222E-2</c:v>
                </c:pt>
                <c:pt idx="65">
                  <c:v>1.1746389505004553E-2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5C-4EA6-9D3F-B69EDB6D8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00807"/>
        <c:axId val="1716668082"/>
      </c:lineChart>
      <c:catAx>
        <c:axId val="16330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6668082"/>
        <c:crosses val="autoZero"/>
        <c:auto val="1"/>
        <c:lblAlgn val="ctr"/>
        <c:lblOffset val="100"/>
        <c:noMultiLvlLbl val="1"/>
      </c:catAx>
      <c:valAx>
        <c:axId val="1716668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3008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Population'!$DH$1</c:f>
              <c:strCache>
                <c:ptCount val="1"/>
                <c:pt idx="0">
                  <c:v>West Ayuman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Population'!$DH$2:$DH$67</c:f>
              <c:numCache>
                <c:formatCode>#,###</c:formatCode>
                <c:ptCount val="66"/>
                <c:pt idx="0">
                  <c:v>173450331.68247336</c:v>
                </c:pt>
                <c:pt idx="1">
                  <c:v>172618733.39855704</c:v>
                </c:pt>
                <c:pt idx="2">
                  <c:v>171843152.72366047</c:v>
                </c:pt>
                <c:pt idx="3">
                  <c:v>171260344.30569106</c:v>
                </c:pt>
                <c:pt idx="4">
                  <c:v>170743402.55820924</c:v>
                </c:pt>
                <c:pt idx="5">
                  <c:v>170055326.27234915</c:v>
                </c:pt>
                <c:pt idx="6">
                  <c:v>169309511.75273544</c:v>
                </c:pt>
                <c:pt idx="7">
                  <c:v>168567331.68684852</c:v>
                </c:pt>
                <c:pt idx="8">
                  <c:v>167914633.20178366</c:v>
                </c:pt>
                <c:pt idx="9">
                  <c:v>167479238.31030816</c:v>
                </c:pt>
                <c:pt idx="10">
                  <c:v>167070504.8663213</c:v>
                </c:pt>
                <c:pt idx="11">
                  <c:v>166684282.74181825</c:v>
                </c:pt>
                <c:pt idx="12">
                  <c:v>166258270.80757391</c:v>
                </c:pt>
                <c:pt idx="13">
                  <c:v>165783140.59021521</c:v>
                </c:pt>
                <c:pt idx="14">
                  <c:v>165280191.21437564</c:v>
                </c:pt>
                <c:pt idx="15">
                  <c:v>164800499.15876278</c:v>
                </c:pt>
                <c:pt idx="16">
                  <c:v>164386567.83295363</c:v>
                </c:pt>
                <c:pt idx="17">
                  <c:v>164058118.22008306</c:v>
                </c:pt>
                <c:pt idx="18">
                  <c:v>163673099.99631828</c:v>
                </c:pt>
                <c:pt idx="19">
                  <c:v>163292879.57480115</c:v>
                </c:pt>
                <c:pt idx="20">
                  <c:v>162987525.50945583</c:v>
                </c:pt>
                <c:pt idx="21">
                  <c:v>162598745.79801965</c:v>
                </c:pt>
                <c:pt idx="22">
                  <c:v>162098650.68123853</c:v>
                </c:pt>
                <c:pt idx="23">
                  <c:v>161507291.05802214</c:v>
                </c:pt>
                <c:pt idx="24">
                  <c:v>160882295.10221049</c:v>
                </c:pt>
                <c:pt idx="25">
                  <c:v>160245173.51693937</c:v>
                </c:pt>
                <c:pt idx="26">
                  <c:v>159829967.24409875</c:v>
                </c:pt>
                <c:pt idx="27">
                  <c:v>159425716.60167283</c:v>
                </c:pt>
                <c:pt idx="28">
                  <c:v>158907699.50779718</c:v>
                </c:pt>
                <c:pt idx="29">
                  <c:v>158395478.82382509</c:v>
                </c:pt>
                <c:pt idx="30">
                  <c:v>157812707.07195374</c:v>
                </c:pt>
                <c:pt idx="31">
                  <c:v>157126261.59901989</c:v>
                </c:pt>
                <c:pt idx="32">
                  <c:v>156426174.85857755</c:v>
                </c:pt>
                <c:pt idx="33">
                  <c:v>155651560.66825914</c:v>
                </c:pt>
                <c:pt idx="34">
                  <c:v>154793454.15894496</c:v>
                </c:pt>
                <c:pt idx="35">
                  <c:v>153865776.58982036</c:v>
                </c:pt>
                <c:pt idx="36">
                  <c:v>152860540.57792118</c:v>
                </c:pt>
                <c:pt idx="37">
                  <c:v>151756395.7836116</c:v>
                </c:pt>
                <c:pt idx="38">
                  <c:v>150550171.06566733</c:v>
                </c:pt>
                <c:pt idx="39">
                  <c:v>149249109.81533203</c:v>
                </c:pt>
                <c:pt idx="40">
                  <c:v>147889892.75971723</c:v>
                </c:pt>
                <c:pt idx="41">
                  <c:v>146529570.38335964</c:v>
                </c:pt>
                <c:pt idx="42">
                  <c:v>145233559.61284912</c:v>
                </c:pt>
                <c:pt idx="43">
                  <c:v>143992723.01219907</c:v>
                </c:pt>
                <c:pt idx="44">
                  <c:v>142655042.46902329</c:v>
                </c:pt>
                <c:pt idx="45">
                  <c:v>141302910.38895813</c:v>
                </c:pt>
                <c:pt idx="46">
                  <c:v>139900192.15092388</c:v>
                </c:pt>
                <c:pt idx="47">
                  <c:v>138548400.47640818</c:v>
                </c:pt>
                <c:pt idx="48">
                  <c:v>137275738.11617452</c:v>
                </c:pt>
                <c:pt idx="49">
                  <c:v>135971073.93287736</c:v>
                </c:pt>
                <c:pt idx="50">
                  <c:v>134667560.4944053</c:v>
                </c:pt>
                <c:pt idx="51">
                  <c:v>133379909.88088383</c:v>
                </c:pt>
                <c:pt idx="52">
                  <c:v>132029816.08701211</c:v>
                </c:pt>
                <c:pt idx="53">
                  <c:v>130722840.99991447</c:v>
                </c:pt>
                <c:pt idx="54">
                  <c:v>129424805.54999308</c:v>
                </c:pt>
                <c:pt idx="55">
                  <c:v>128119024.07414575</c:v>
                </c:pt>
                <c:pt idx="56">
                  <c:v>126919279.42191426</c:v>
                </c:pt>
                <c:pt idx="57">
                  <c:v>125790927.08661711</c:v>
                </c:pt>
                <c:pt idx="58">
                  <c:v>124673256.18695603</c:v>
                </c:pt>
                <c:pt idx="59">
                  <c:v>123587722.65256134</c:v>
                </c:pt>
                <c:pt idx="60">
                  <c:v>122860659.47750689</c:v>
                </c:pt>
                <c:pt idx="61">
                  <c:v>121566072.73864418</c:v>
                </c:pt>
                <c:pt idx="62">
                  <c:v>120233885.45621598</c:v>
                </c:pt>
                <c:pt idx="63">
                  <c:v>118914433.04166999</c:v>
                </c:pt>
                <c:pt idx="64">
                  <c:v>117549653.09</c:v>
                </c:pt>
                <c:pt idx="65">
                  <c:v>116184900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9-4710-B7C0-45BB45198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75873"/>
        <c:axId val="1922425005"/>
      </c:lineChart>
      <c:catAx>
        <c:axId val="212775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2425005"/>
        <c:crosses val="autoZero"/>
        <c:auto val="1"/>
        <c:lblAlgn val="ctr"/>
        <c:lblOffset val="100"/>
        <c:noMultiLvlLbl val="1"/>
      </c:catAx>
      <c:valAx>
        <c:axId val="1922425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7758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Population'!$DU$1:$DU$67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2.992917900030459E-2</c:v>
                </c:pt>
                <c:pt idx="2">
                  <c:v>2.9873121702004093E-2</c:v>
                </c:pt>
                <c:pt idx="3">
                  <c:v>2.9808062558338351E-2</c:v>
                </c:pt>
                <c:pt idx="4">
                  <c:v>2.9730810786468487E-2</c:v>
                </c:pt>
                <c:pt idx="5">
                  <c:v>2.9656955451811108E-2</c:v>
                </c:pt>
                <c:pt idx="6">
                  <c:v>2.9578904583006205E-2</c:v>
                </c:pt>
                <c:pt idx="7">
                  <c:v>2.9514690036370368E-2</c:v>
                </c:pt>
                <c:pt idx="8">
                  <c:v>2.9474766353653224E-2</c:v>
                </c:pt>
                <c:pt idx="9">
                  <c:v>2.9466433463121205E-2</c:v>
                </c:pt>
                <c:pt idx="10">
                  <c:v>2.946247648731001E-2</c:v>
                </c:pt>
                <c:pt idx="11">
                  <c:v>2.9473666757600787E-2</c:v>
                </c:pt>
                <c:pt idx="12">
                  <c:v>2.9490290536406095E-2</c:v>
                </c:pt>
                <c:pt idx="13">
                  <c:v>2.9513217579927083E-2</c:v>
                </c:pt>
                <c:pt idx="14">
                  <c:v>2.9533758245679793E-2</c:v>
                </c:pt>
                <c:pt idx="15">
                  <c:v>2.9551513035570007E-2</c:v>
                </c:pt>
                <c:pt idx="16">
                  <c:v>2.9563389648236401E-2</c:v>
                </c:pt>
                <c:pt idx="17">
                  <c:v>2.9562450798710824E-2</c:v>
                </c:pt>
                <c:pt idx="18">
                  <c:v>2.9555766463344364E-2</c:v>
                </c:pt>
                <c:pt idx="19">
                  <c:v>2.9541906569076213E-2</c:v>
                </c:pt>
                <c:pt idx="20">
                  <c:v>2.9520127447680962E-2</c:v>
                </c:pt>
                <c:pt idx="21">
                  <c:v>2.9481799730035264E-2</c:v>
                </c:pt>
                <c:pt idx="22">
                  <c:v>2.9416770441632226E-2</c:v>
                </c:pt>
                <c:pt idx="23">
                  <c:v>2.931413688840508E-2</c:v>
                </c:pt>
                <c:pt idx="24">
                  <c:v>2.9167613458510645E-2</c:v>
                </c:pt>
                <c:pt idx="25">
                  <c:v>2.900365803878608E-2</c:v>
                </c:pt>
                <c:pt idx="26">
                  <c:v>2.8829320168874462E-2</c:v>
                </c:pt>
                <c:pt idx="27">
                  <c:v>2.862801646302187E-2</c:v>
                </c:pt>
                <c:pt idx="28">
                  <c:v>2.8414481187956534E-2</c:v>
                </c:pt>
                <c:pt idx="29">
                  <c:v>2.8185049649480046E-2</c:v>
                </c:pt>
                <c:pt idx="30">
                  <c:v>2.7934533326340296E-2</c:v>
                </c:pt>
                <c:pt idx="31">
                  <c:v>2.7675132751674648E-2</c:v>
                </c:pt>
                <c:pt idx="32">
                  <c:v>2.7417367442232683E-2</c:v>
                </c:pt>
                <c:pt idx="33">
                  <c:v>2.7160222866252453E-2</c:v>
                </c:pt>
                <c:pt idx="34">
                  <c:v>2.6912569261952266E-2</c:v>
                </c:pt>
                <c:pt idx="35">
                  <c:v>2.6684278622787085E-2</c:v>
                </c:pt>
                <c:pt idx="36">
                  <c:v>2.6465266746866067E-2</c:v>
                </c:pt>
                <c:pt idx="37">
                  <c:v>2.6247218014189146E-2</c:v>
                </c:pt>
                <c:pt idx="38">
                  <c:v>2.6031326987854275E-2</c:v>
                </c:pt>
                <c:pt idx="39">
                  <c:v>2.5815567065627116E-2</c:v>
                </c:pt>
                <c:pt idx="40">
                  <c:v>2.5605754999899775E-2</c:v>
                </c:pt>
                <c:pt idx="41">
                  <c:v>2.5393746505452081E-2</c:v>
                </c:pt>
                <c:pt idx="42">
                  <c:v>2.5175850192853014E-2</c:v>
                </c:pt>
                <c:pt idx="43">
                  <c:v>2.4971379539761019E-2</c:v>
                </c:pt>
                <c:pt idx="44">
                  <c:v>2.4752085562161411E-2</c:v>
                </c:pt>
                <c:pt idx="45">
                  <c:v>2.4526224984308974E-2</c:v>
                </c:pt>
                <c:pt idx="46">
                  <c:v>2.4312496229902832E-2</c:v>
                </c:pt>
                <c:pt idx="47">
                  <c:v>2.408545948654137E-2</c:v>
                </c:pt>
                <c:pt idx="48">
                  <c:v>2.3864695108484428E-2</c:v>
                </c:pt>
                <c:pt idx="49">
                  <c:v>2.3648942406405752E-2</c:v>
                </c:pt>
                <c:pt idx="50">
                  <c:v>2.3438925866949983E-2</c:v>
                </c:pt>
                <c:pt idx="51">
                  <c:v>2.3254876278017859E-2</c:v>
                </c:pt>
                <c:pt idx="52">
                  <c:v>2.3101248873369212E-2</c:v>
                </c:pt>
                <c:pt idx="53">
                  <c:v>2.3000854534722222E-2</c:v>
                </c:pt>
                <c:pt idx="54">
                  <c:v>2.2928272462661058E-2</c:v>
                </c:pt>
                <c:pt idx="55">
                  <c:v>2.2846390097098709E-2</c:v>
                </c:pt>
                <c:pt idx="56">
                  <c:v>2.2727732211335779E-2</c:v>
                </c:pt>
                <c:pt idx="57">
                  <c:v>2.2621039799434545E-2</c:v>
                </c:pt>
                <c:pt idx="58">
                  <c:v>2.251574063754809E-2</c:v>
                </c:pt>
                <c:pt idx="59">
                  <c:v>2.2414062759077084E-2</c:v>
                </c:pt>
                <c:pt idx="60">
                  <c:v>2.231894311506407E-2</c:v>
                </c:pt>
                <c:pt idx="61">
                  <c:v>2.2225411677969174E-2</c:v>
                </c:pt>
                <c:pt idx="62">
                  <c:v>2.2141852335478312E-2</c:v>
                </c:pt>
                <c:pt idx="63">
                  <c:v>2.2064147149201793E-2</c:v>
                </c:pt>
                <c:pt idx="64">
                  <c:v>2.1997338105173108E-2</c:v>
                </c:pt>
                <c:pt idx="65">
                  <c:v>2.1936775552490344E-2</c:v>
                </c:pt>
                <c:pt idx="66">
                  <c:v>2.1876571322093728E-2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4D-4210-85AF-0C151F2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411487"/>
        <c:axId val="348145450"/>
      </c:lineChart>
      <c:catAx>
        <c:axId val="39841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8145450"/>
        <c:crosses val="autoZero"/>
        <c:auto val="1"/>
        <c:lblAlgn val="ctr"/>
        <c:lblOffset val="100"/>
        <c:noMultiLvlLbl val="1"/>
      </c:catAx>
      <c:valAx>
        <c:axId val="348145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4114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Population'!$DT$1:$DT$67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1.1491543438458372E-2</c:v>
                </c:pt>
                <c:pt idx="2">
                  <c:v>1.1979000487162904E-2</c:v>
                </c:pt>
                <c:pt idx="3">
                  <c:v>1.2390854024701513E-2</c:v>
                </c:pt>
                <c:pt idx="4">
                  <c:v>1.2495884902980538E-2</c:v>
                </c:pt>
                <c:pt idx="5">
                  <c:v>1.2682244353072991E-2</c:v>
                </c:pt>
                <c:pt idx="6">
                  <c:v>1.2553057247019755E-2</c:v>
                </c:pt>
                <c:pt idx="7">
                  <c:v>1.2211206999723409E-2</c:v>
                </c:pt>
                <c:pt idx="8">
                  <c:v>1.1779004877400535E-2</c:v>
                </c:pt>
                <c:pt idx="9">
                  <c:v>1.1254097792499381E-2</c:v>
                </c:pt>
                <c:pt idx="10">
                  <c:v>1.0891816647149281E-2</c:v>
                </c:pt>
                <c:pt idx="11">
                  <c:v>1.0668038531176028E-2</c:v>
                </c:pt>
                <c:pt idx="12">
                  <c:v>1.054858450066222E-2</c:v>
                </c:pt>
                <c:pt idx="13">
                  <c:v>1.07417858297631E-2</c:v>
                </c:pt>
                <c:pt idx="14">
                  <c:v>1.1051947551862453E-2</c:v>
                </c:pt>
                <c:pt idx="15">
                  <c:v>1.1521187420691708E-2</c:v>
                </c:pt>
                <c:pt idx="16">
                  <c:v>1.1911971522054457E-2</c:v>
                </c:pt>
                <c:pt idx="17">
                  <c:v>1.2200270107946424E-2</c:v>
                </c:pt>
                <c:pt idx="18">
                  <c:v>1.2521588422803143E-2</c:v>
                </c:pt>
                <c:pt idx="19">
                  <c:v>1.3082622780362475E-2</c:v>
                </c:pt>
                <c:pt idx="20">
                  <c:v>1.4072467381733893E-2</c:v>
                </c:pt>
                <c:pt idx="21">
                  <c:v>1.5315815097719664E-2</c:v>
                </c:pt>
                <c:pt idx="22">
                  <c:v>1.6698552856483063E-2</c:v>
                </c:pt>
                <c:pt idx="23">
                  <c:v>1.8056699275421684E-2</c:v>
                </c:pt>
                <c:pt idx="24">
                  <c:v>1.9213301431412023E-2</c:v>
                </c:pt>
                <c:pt idx="25">
                  <c:v>2.0217675512511801E-2</c:v>
                </c:pt>
                <c:pt idx="26">
                  <c:v>2.1349402054499891E-2</c:v>
                </c:pt>
                <c:pt idx="27">
                  <c:v>2.2406938355441573E-2</c:v>
                </c:pt>
                <c:pt idx="28">
                  <c:v>2.3422618245039953E-2</c:v>
                </c:pt>
                <c:pt idx="29">
                  <c:v>2.4340670946787397E-2</c:v>
                </c:pt>
                <c:pt idx="30">
                  <c:v>2.5066759193940011E-2</c:v>
                </c:pt>
                <c:pt idx="31">
                  <c:v>2.5389454886867151E-2</c:v>
                </c:pt>
                <c:pt idx="32">
                  <c:v>2.5629929652296261E-2</c:v>
                </c:pt>
                <c:pt idx="33">
                  <c:v>2.5722798838524241E-2</c:v>
                </c:pt>
                <c:pt idx="34">
                  <c:v>2.5576292999843677E-2</c:v>
                </c:pt>
                <c:pt idx="35">
                  <c:v>2.5418392479711879E-2</c:v>
                </c:pt>
                <c:pt idx="36">
                  <c:v>2.5511251300514289E-2</c:v>
                </c:pt>
                <c:pt idx="37">
                  <c:v>2.5523099898486116E-2</c:v>
                </c:pt>
                <c:pt idx="38">
                  <c:v>2.554087790258612E-2</c:v>
                </c:pt>
                <c:pt idx="39">
                  <c:v>2.5449714506782659E-2</c:v>
                </c:pt>
                <c:pt idx="40">
                  <c:v>2.5498677756774987E-2</c:v>
                </c:pt>
                <c:pt idx="41">
                  <c:v>2.5759896287017719E-2</c:v>
                </c:pt>
                <c:pt idx="42">
                  <c:v>2.6185458242744788E-2</c:v>
                </c:pt>
                <c:pt idx="43">
                  <c:v>2.6644538076913655E-2</c:v>
                </c:pt>
                <c:pt idx="44">
                  <c:v>2.6995406424411103E-2</c:v>
                </c:pt>
                <c:pt idx="45">
                  <c:v>2.7322854183589027E-2</c:v>
                </c:pt>
                <c:pt idx="46">
                  <c:v>2.748496565619692E-2</c:v>
                </c:pt>
                <c:pt idx="47">
                  <c:v>2.751372960697207E-2</c:v>
                </c:pt>
                <c:pt idx="48">
                  <c:v>2.7593882110089691E-2</c:v>
                </c:pt>
                <c:pt idx="49">
                  <c:v>2.7564354321075606E-2</c:v>
                </c:pt>
                <c:pt idx="50">
                  <c:v>2.7512643386357286E-2</c:v>
                </c:pt>
                <c:pt idx="51">
                  <c:v>2.6307652303880848E-2</c:v>
                </c:pt>
                <c:pt idx="52">
                  <c:v>2.4302119736573615E-2</c:v>
                </c:pt>
                <c:pt idx="53">
                  <c:v>2.3195233435442528E-2</c:v>
                </c:pt>
                <c:pt idx="54">
                  <c:v>2.401424410761303E-2</c:v>
                </c:pt>
                <c:pt idx="55">
                  <c:v>2.524360944156211E-2</c:v>
                </c:pt>
                <c:pt idx="56">
                  <c:v>2.5056999397713761E-2</c:v>
                </c:pt>
                <c:pt idx="57">
                  <c:v>2.5011185447577401E-2</c:v>
                </c:pt>
                <c:pt idx="58">
                  <c:v>2.4921238229376998E-2</c:v>
                </c:pt>
                <c:pt idx="59">
                  <c:v>2.4732617897845723E-2</c:v>
                </c:pt>
                <c:pt idx="60">
                  <c:v>2.4444797194197589E-2</c:v>
                </c:pt>
                <c:pt idx="61">
                  <c:v>2.3877527128889128E-2</c:v>
                </c:pt>
                <c:pt idx="62">
                  <c:v>2.315041484017873E-2</c:v>
                </c:pt>
                <c:pt idx="63">
                  <c:v>2.2458656041418341E-2</c:v>
                </c:pt>
                <c:pt idx="64">
                  <c:v>2.1871170857457153E-2</c:v>
                </c:pt>
                <c:pt idx="65">
                  <c:v>2.1547445238134302E-2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01-457D-9520-3CE08814B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838439"/>
        <c:axId val="1730246894"/>
      </c:lineChart>
      <c:catAx>
        <c:axId val="1233838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0246894"/>
        <c:crosses val="autoZero"/>
        <c:auto val="1"/>
        <c:lblAlgn val="ctr"/>
        <c:lblOffset val="100"/>
        <c:noMultiLvlLbl val="1"/>
      </c:catAx>
      <c:valAx>
        <c:axId val="1730246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38384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Population'!$DS$1</c:f>
              <c:strCache>
                <c:ptCount val="1"/>
                <c:pt idx="0">
                  <c:v>East Mahean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Population'!$DS$2:$DS$67</c:f>
              <c:numCache>
                <c:formatCode>#,###</c:formatCode>
                <c:ptCount val="66"/>
                <c:pt idx="0">
                  <c:v>203930062.56238285</c:v>
                </c:pt>
                <c:pt idx="1">
                  <c:v>201613215.53825769</c:v>
                </c:pt>
                <c:pt idx="2">
                  <c:v>199226679.05282801</c:v>
                </c:pt>
                <c:pt idx="3">
                  <c:v>196788303.905368</c:v>
                </c:pt>
                <c:pt idx="4">
                  <c:v>194359608.60643366</c:v>
                </c:pt>
                <c:pt idx="5">
                  <c:v>191925561.73491073</c:v>
                </c:pt>
                <c:pt idx="6">
                  <c:v>189546177.7150993</c:v>
                </c:pt>
                <c:pt idx="7">
                  <c:v>187259513.03871614</c:v>
                </c:pt>
                <c:pt idx="8">
                  <c:v>185079461.16297084</c:v>
                </c:pt>
                <c:pt idx="9">
                  <c:v>183019739.12094599</c:v>
                </c:pt>
                <c:pt idx="10">
                  <c:v>181047799.6824351</c:v>
                </c:pt>
                <c:pt idx="11">
                  <c:v>179136761.80514768</c:v>
                </c:pt>
                <c:pt idx="12">
                  <c:v>177266847.48528317</c:v>
                </c:pt>
                <c:pt idx="13">
                  <c:v>175382921.70216045</c:v>
                </c:pt>
                <c:pt idx="14">
                  <c:v>173465786.92304441</c:v>
                </c:pt>
                <c:pt idx="15">
                  <c:v>171490018.28164375</c:v>
                </c:pt>
                <c:pt idx="16">
                  <c:v>169471281.20611048</c:v>
                </c:pt>
                <c:pt idx="17">
                  <c:v>167428606.97719154</c:v>
                </c:pt>
                <c:pt idx="18">
                  <c:v>165358061.39007244</c:v>
                </c:pt>
                <c:pt idx="19">
                  <c:v>163222680.63018811</c:v>
                </c:pt>
                <c:pt idx="20">
                  <c:v>160957609.91481996</c:v>
                </c:pt>
                <c:pt idx="21">
                  <c:v>158529599.87560964</c:v>
                </c:pt>
                <c:pt idx="22">
                  <c:v>155925863.60058254</c:v>
                </c:pt>
                <c:pt idx="23">
                  <c:v>153160294.22679421</c:v>
                </c:pt>
                <c:pt idx="24">
                  <c:v>150273052.76696405</c:v>
                </c:pt>
                <c:pt idx="25">
                  <c:v>147295088.4638159</c:v>
                </c:pt>
                <c:pt idx="26">
                  <c:v>144216159.68788332</c:v>
                </c:pt>
                <c:pt idx="27">
                  <c:v>141055536.96638384</c:v>
                </c:pt>
                <c:pt idx="28">
                  <c:v>137827261.63338581</c:v>
                </c:pt>
                <c:pt idx="29">
                  <c:v>134552171.50168753</c:v>
                </c:pt>
                <c:pt idx="30">
                  <c:v>131261862.01520422</c:v>
                </c:pt>
                <c:pt idx="31">
                  <c:v>128011714.36826074</c:v>
                </c:pt>
                <c:pt idx="32">
                  <c:v>124812771.80713575</c:v>
                </c:pt>
                <c:pt idx="33">
                  <c:v>121682750.88402764</c:v>
                </c:pt>
                <c:pt idx="34">
                  <c:v>118648170.51113933</c:v>
                </c:pt>
                <c:pt idx="35">
                  <c:v>115707082.47607994</c:v>
                </c:pt>
                <c:pt idx="36">
                  <c:v>112828681.62523291</c:v>
                </c:pt>
                <c:pt idx="37">
                  <c:v>110020614.49069409</c:v>
                </c:pt>
                <c:pt idx="38">
                  <c:v>107280574.43766245</c:v>
                </c:pt>
                <c:pt idx="39">
                  <c:v>104618074.31411876</c:v>
                </c:pt>
                <c:pt idx="40">
                  <c:v>102016781.28241506</c:v>
                </c:pt>
                <c:pt idx="41">
                  <c:v>99454835.046377912</c:v>
                </c:pt>
                <c:pt idx="42">
                  <c:v>96917018.505296156</c:v>
                </c:pt>
                <c:pt idx="43">
                  <c:v>94401728.067281038</c:v>
                </c:pt>
                <c:pt idx="44">
                  <c:v>91920302.152032256</c:v>
                </c:pt>
                <c:pt idx="45">
                  <c:v>89475574.088226721</c:v>
                </c:pt>
                <c:pt idx="46">
                  <c:v>87082124.876721382</c:v>
                </c:pt>
                <c:pt idx="47">
                  <c:v>84750327.28762722</c:v>
                </c:pt>
                <c:pt idx="48">
                  <c:v>82474534.700030088</c:v>
                </c:pt>
                <c:pt idx="49">
                  <c:v>80262160.080982983</c:v>
                </c:pt>
                <c:pt idx="50">
                  <c:v>78113063.228559643</c:v>
                </c:pt>
                <c:pt idx="51">
                  <c:v>76110767.617497057</c:v>
                </c:pt>
                <c:pt idx="52">
                  <c:v>74304998.64343828</c:v>
                </c:pt>
                <c:pt idx="53">
                  <c:v>72620548.078546613</c:v>
                </c:pt>
                <c:pt idx="54">
                  <c:v>70917517.501753584</c:v>
                </c:pt>
                <c:pt idx="55">
                  <c:v>69171382.146318868</c:v>
                </c:pt>
                <c:pt idx="56">
                  <c:v>67480522.72894235</c:v>
                </c:pt>
                <c:pt idx="57">
                  <c:v>65833937.899396256</c:v>
                </c:pt>
                <c:pt idx="58">
                  <c:v>64233167.82187964</c:v>
                </c:pt>
                <c:pt idx="59">
                  <c:v>62682856.678895101</c:v>
                </c:pt>
                <c:pt idx="60">
                  <c:v>61187149.225194126</c:v>
                </c:pt>
                <c:pt idx="61">
                  <c:v>59760222.882098362</c:v>
                </c:pt>
                <c:pt idx="62">
                  <c:v>58408052.242673635</c:v>
                </c:pt>
                <c:pt idx="63">
                  <c:v>57125099.286467001</c:v>
                </c:pt>
                <c:pt idx="64">
                  <c:v>55902447.309999995</c:v>
                </c:pt>
                <c:pt idx="65">
                  <c:v>54723300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B-4FC0-B0E0-ED7AD526A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56578"/>
        <c:axId val="2040827285"/>
      </c:lineChart>
      <c:catAx>
        <c:axId val="921056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0827285"/>
        <c:crosses val="autoZero"/>
        <c:auto val="1"/>
        <c:lblAlgn val="ctr"/>
        <c:lblOffset val="100"/>
        <c:noMultiLvlLbl val="1"/>
      </c:catAx>
      <c:valAx>
        <c:axId val="2040827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10565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Population'!$EF$1:$EF$67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5.8979387015650635E-2</c:v>
                </c:pt>
                <c:pt idx="2">
                  <c:v>5.9214671800085411E-2</c:v>
                </c:pt>
                <c:pt idx="3">
                  <c:v>5.945362775059853E-2</c:v>
                </c:pt>
                <c:pt idx="4">
                  <c:v>5.9708867780726205E-2</c:v>
                </c:pt>
                <c:pt idx="5">
                  <c:v>5.993028895944956E-2</c:v>
                </c:pt>
                <c:pt idx="6">
                  <c:v>6.0211239248040824E-2</c:v>
                </c:pt>
                <c:pt idx="7">
                  <c:v>6.0558281317451168E-2</c:v>
                </c:pt>
                <c:pt idx="8">
                  <c:v>6.0841031073990783E-2</c:v>
                </c:pt>
                <c:pt idx="9">
                  <c:v>6.1173257239188934E-2</c:v>
                </c:pt>
                <c:pt idx="10">
                  <c:v>6.146841749332986E-2</c:v>
                </c:pt>
                <c:pt idx="11">
                  <c:v>6.1733405700247927E-2</c:v>
                </c:pt>
                <c:pt idx="12">
                  <c:v>6.2060559984585373E-2</c:v>
                </c:pt>
                <c:pt idx="13">
                  <c:v>6.2390591363050141E-2</c:v>
                </c:pt>
                <c:pt idx="14">
                  <c:v>6.2735436875496639E-2</c:v>
                </c:pt>
                <c:pt idx="15">
                  <c:v>6.3018497995496761E-2</c:v>
                </c:pt>
                <c:pt idx="16">
                  <c:v>6.3285127175430556E-2</c:v>
                </c:pt>
                <c:pt idx="17">
                  <c:v>6.3629114473623447E-2</c:v>
                </c:pt>
                <c:pt idx="18">
                  <c:v>6.3824892298640898E-2</c:v>
                </c:pt>
                <c:pt idx="19">
                  <c:v>6.4055737283897712E-2</c:v>
                </c:pt>
                <c:pt idx="20">
                  <c:v>6.4242211895107815E-2</c:v>
                </c:pt>
                <c:pt idx="21">
                  <c:v>6.4469467846560047E-2</c:v>
                </c:pt>
                <c:pt idx="22">
                  <c:v>6.4713343152503974E-2</c:v>
                </c:pt>
                <c:pt idx="23">
                  <c:v>6.4941571891548144E-2</c:v>
                </c:pt>
                <c:pt idx="24">
                  <c:v>6.5136382752096073E-2</c:v>
                </c:pt>
                <c:pt idx="25">
                  <c:v>6.5326034166905633E-2</c:v>
                </c:pt>
                <c:pt idx="26">
                  <c:v>6.5546773061096214E-2</c:v>
                </c:pt>
                <c:pt idx="27">
                  <c:v>6.5852208508128021E-2</c:v>
                </c:pt>
                <c:pt idx="28">
                  <c:v>6.6173970314316544E-2</c:v>
                </c:pt>
                <c:pt idx="29">
                  <c:v>6.6425671228084487E-2</c:v>
                </c:pt>
                <c:pt idx="30">
                  <c:v>6.6698106572111379E-2</c:v>
                </c:pt>
                <c:pt idx="31">
                  <c:v>6.6830895711977867E-2</c:v>
                </c:pt>
                <c:pt idx="32">
                  <c:v>6.6973417083930717E-2</c:v>
                </c:pt>
                <c:pt idx="33">
                  <c:v>6.7048735764591139E-2</c:v>
                </c:pt>
                <c:pt idx="34">
                  <c:v>6.7081207004121068E-2</c:v>
                </c:pt>
                <c:pt idx="35">
                  <c:v>6.7082567384694314E-2</c:v>
                </c:pt>
                <c:pt idx="36">
                  <c:v>6.7040462247418761E-2</c:v>
                </c:pt>
                <c:pt idx="37">
                  <c:v>6.6919383255583692E-2</c:v>
                </c:pt>
                <c:pt idx="38">
                  <c:v>6.6683645761908009E-2</c:v>
                </c:pt>
                <c:pt idx="39">
                  <c:v>6.6457646922569211E-2</c:v>
                </c:pt>
                <c:pt idx="40">
                  <c:v>6.6246073234185424E-2</c:v>
                </c:pt>
                <c:pt idx="41">
                  <c:v>6.6001336275861355E-2</c:v>
                </c:pt>
                <c:pt idx="42">
                  <c:v>6.6037495851010625E-2</c:v>
                </c:pt>
                <c:pt idx="43">
                  <c:v>6.597134142750298E-2</c:v>
                </c:pt>
                <c:pt idx="44">
                  <c:v>6.5814402764914376E-2</c:v>
                </c:pt>
                <c:pt idx="45">
                  <c:v>6.5601896812239213E-2</c:v>
                </c:pt>
                <c:pt idx="46">
                  <c:v>6.5389214543943239E-2</c:v>
                </c:pt>
                <c:pt idx="47">
                  <c:v>6.5331595737967374E-2</c:v>
                </c:pt>
                <c:pt idx="48">
                  <c:v>6.5154326589136363E-2</c:v>
                </c:pt>
                <c:pt idx="49">
                  <c:v>6.495016399247662E-2</c:v>
                </c:pt>
                <c:pt idx="50">
                  <c:v>6.4690531031993403E-2</c:v>
                </c:pt>
                <c:pt idx="51">
                  <c:v>6.4071622610278947E-2</c:v>
                </c:pt>
                <c:pt idx="52">
                  <c:v>6.338263871149262E-2</c:v>
                </c:pt>
                <c:pt idx="53">
                  <c:v>6.2643343406717705E-2</c:v>
                </c:pt>
                <c:pt idx="54">
                  <c:v>6.1848989061504767E-2</c:v>
                </c:pt>
                <c:pt idx="55">
                  <c:v>6.1052584936358012E-2</c:v>
                </c:pt>
                <c:pt idx="56">
                  <c:v>6.020562283199863E-2</c:v>
                </c:pt>
                <c:pt idx="57">
                  <c:v>5.9351779758507438E-2</c:v>
                </c:pt>
                <c:pt idx="58">
                  <c:v>5.8463783719939301E-2</c:v>
                </c:pt>
                <c:pt idx="59">
                  <c:v>5.7538917238074638E-2</c:v>
                </c:pt>
                <c:pt idx="60">
                  <c:v>5.6564626361368837E-2</c:v>
                </c:pt>
                <c:pt idx="61">
                  <c:v>5.5621438222741106E-2</c:v>
                </c:pt>
                <c:pt idx="62">
                  <c:v>5.4752145974144864E-2</c:v>
                </c:pt>
                <c:pt idx="63">
                  <c:v>5.3934246498414745E-2</c:v>
                </c:pt>
                <c:pt idx="64">
                  <c:v>5.3143066362766798E-2</c:v>
                </c:pt>
                <c:pt idx="65">
                  <c:v>5.2357300704320354E-2</c:v>
                </c:pt>
                <c:pt idx="66">
                  <c:v>5.1617079896661304E-2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2-4000-A270-DB84B7A0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566648"/>
        <c:axId val="155876627"/>
      </c:lineChart>
      <c:catAx>
        <c:axId val="1547566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876627"/>
        <c:crosses val="autoZero"/>
        <c:auto val="1"/>
        <c:lblAlgn val="ctr"/>
        <c:lblOffset val="100"/>
        <c:noMultiLvlLbl val="1"/>
      </c:catAx>
      <c:valAx>
        <c:axId val="155876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75666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Population'!$EE$1:$EE$67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5.585468208166345E-3</c:v>
                </c:pt>
                <c:pt idx="2">
                  <c:v>5.7165764447475731E-3</c:v>
                </c:pt>
                <c:pt idx="3">
                  <c:v>5.4506069698925632E-3</c:v>
                </c:pt>
                <c:pt idx="4">
                  <c:v>6.2491880930918339E-3</c:v>
                </c:pt>
                <c:pt idx="5">
                  <c:v>5.3042600666429402E-3</c:v>
                </c:pt>
                <c:pt idx="6">
                  <c:v>4.5647948801499924E-3</c:v>
                </c:pt>
                <c:pt idx="7">
                  <c:v>6.1442778359116264E-3</c:v>
                </c:pt>
                <c:pt idx="8">
                  <c:v>5.9996396518262425E-3</c:v>
                </c:pt>
                <c:pt idx="9">
                  <c:v>6.2630912322298197E-3</c:v>
                </c:pt>
                <c:pt idx="10">
                  <c:v>6.9349065175838501E-3</c:v>
                </c:pt>
                <c:pt idx="11">
                  <c:v>5.9073021319631753E-3</c:v>
                </c:pt>
                <c:pt idx="12">
                  <c:v>5.9845118709642058E-3</c:v>
                </c:pt>
                <c:pt idx="13">
                  <c:v>5.8855096440079977E-3</c:v>
                </c:pt>
                <c:pt idx="14">
                  <c:v>7.1156738627137957E-3</c:v>
                </c:pt>
                <c:pt idx="15">
                  <c:v>7.6643185878969332E-3</c:v>
                </c:pt>
                <c:pt idx="16">
                  <c:v>6.409481591889519E-3</c:v>
                </c:pt>
                <c:pt idx="17">
                  <c:v>8.867260054150972E-3</c:v>
                </c:pt>
                <c:pt idx="18">
                  <c:v>8.3995474037790313E-3</c:v>
                </c:pt>
                <c:pt idx="19">
                  <c:v>9.397262711386592E-3</c:v>
                </c:pt>
                <c:pt idx="20">
                  <c:v>9.1858562059238882E-3</c:v>
                </c:pt>
                <c:pt idx="21">
                  <c:v>9.2584627381022133E-3</c:v>
                </c:pt>
                <c:pt idx="22">
                  <c:v>9.5907563663135634E-3</c:v>
                </c:pt>
                <c:pt idx="23">
                  <c:v>9.9384569889145822E-3</c:v>
                </c:pt>
                <c:pt idx="24">
                  <c:v>1.0541855774076448E-2</c:v>
                </c:pt>
                <c:pt idx="25">
                  <c:v>1.0670167845353991E-2</c:v>
                </c:pt>
                <c:pt idx="26">
                  <c:v>9.5135838146256386E-3</c:v>
                </c:pt>
                <c:pt idx="27">
                  <c:v>9.8466123463335758E-3</c:v>
                </c:pt>
                <c:pt idx="28">
                  <c:v>1.131238293431228E-2</c:v>
                </c:pt>
                <c:pt idx="29">
                  <c:v>1.1089217670801569E-2</c:v>
                </c:pt>
                <c:pt idx="30">
                  <c:v>1.3530135670661395E-2</c:v>
                </c:pt>
                <c:pt idx="31">
                  <c:v>1.3677275153145124E-2</c:v>
                </c:pt>
                <c:pt idx="32">
                  <c:v>1.4869327780689603E-2</c:v>
                </c:pt>
                <c:pt idx="33">
                  <c:v>1.5878022914996955E-2</c:v>
                </c:pt>
                <c:pt idx="34">
                  <c:v>1.6856038863718649E-2</c:v>
                </c:pt>
                <c:pt idx="35">
                  <c:v>1.7640979643282911E-2</c:v>
                </c:pt>
                <c:pt idx="36">
                  <c:v>1.8902206771434074E-2</c:v>
                </c:pt>
                <c:pt idx="37">
                  <c:v>2.0683443632357409E-2</c:v>
                </c:pt>
                <c:pt idx="38">
                  <c:v>2.0499305175803052E-2</c:v>
                </c:pt>
                <c:pt idx="39">
                  <c:v>2.0363946281109165E-2</c:v>
                </c:pt>
                <c:pt idx="40">
                  <c:v>2.0778962079169981E-2</c:v>
                </c:pt>
                <c:pt idx="41">
                  <c:v>1.6401303693591347E-2</c:v>
                </c:pt>
                <c:pt idx="42">
                  <c:v>1.8871765626586722E-2</c:v>
                </c:pt>
                <c:pt idx="43">
                  <c:v>2.0055339013129215E-2</c:v>
                </c:pt>
                <c:pt idx="44">
                  <c:v>2.092058150891889E-2</c:v>
                </c:pt>
                <c:pt idx="45">
                  <c:v>2.168276984550482E-2</c:v>
                </c:pt>
                <c:pt idx="46">
                  <c:v>1.8787751815910896E-2</c:v>
                </c:pt>
                <c:pt idx="47">
                  <c:v>2.0865656161054579E-2</c:v>
                </c:pt>
                <c:pt idx="48">
                  <c:v>2.150465916163545E-2</c:v>
                </c:pt>
                <c:pt idx="49">
                  <c:v>2.2526443248787744E-2</c:v>
                </c:pt>
                <c:pt idx="50">
                  <c:v>2.929175976671473E-2</c:v>
                </c:pt>
                <c:pt idx="51">
                  <c:v>3.0610113002563045E-2</c:v>
                </c:pt>
                <c:pt idx="52">
                  <c:v>3.1886594901790813E-2</c:v>
                </c:pt>
                <c:pt idx="53">
                  <c:v>3.3066299702711688E-2</c:v>
                </c:pt>
                <c:pt idx="54">
                  <c:v>3.3667354977766246E-2</c:v>
                </c:pt>
                <c:pt idx="55">
                  <c:v>3.4266813052341499E-2</c:v>
                </c:pt>
                <c:pt idx="56">
                  <c:v>3.4922389790511342E-2</c:v>
                </c:pt>
                <c:pt idx="57">
                  <c:v>3.5736080869898393E-2</c:v>
                </c:pt>
                <c:pt idx="58">
                  <c:v>3.6692777414538504E-2</c:v>
                </c:pt>
                <c:pt idx="59">
                  <c:v>3.7959395310648278E-2</c:v>
                </c:pt>
                <c:pt idx="60">
                  <c:v>3.7450676705052116E-2</c:v>
                </c:pt>
                <c:pt idx="61">
                  <c:v>3.6222971098715882E-2</c:v>
                </c:pt>
                <c:pt idx="62">
                  <c:v>3.5021115185245019E-2</c:v>
                </c:pt>
                <c:pt idx="63">
                  <c:v>3.4538713112929685E-2</c:v>
                </c:pt>
                <c:pt idx="64">
                  <c:v>3.4351550999723042E-2</c:v>
                </c:pt>
                <c:pt idx="65">
                  <c:v>3.3353282774890219E-2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5E-471E-ACBE-7C0609AF9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758033"/>
        <c:axId val="896835012"/>
      </c:lineChart>
      <c:catAx>
        <c:axId val="315758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835012"/>
        <c:crosses val="autoZero"/>
        <c:auto val="1"/>
        <c:lblAlgn val="ctr"/>
        <c:lblOffset val="100"/>
        <c:noMultiLvlLbl val="1"/>
      </c:catAx>
      <c:valAx>
        <c:axId val="896835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57580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Population'!$ED$1</c:f>
              <c:strCache>
                <c:ptCount val="1"/>
                <c:pt idx="0">
                  <c:v>North Mahean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Population'!$ED$2:$ED$67</c:f>
              <c:numCache>
                <c:formatCode>#,###</c:formatCode>
                <c:ptCount val="66"/>
                <c:pt idx="0">
                  <c:v>401871033.0767917</c:v>
                </c:pt>
                <c:pt idx="1">
                  <c:v>399638862.91324204</c:v>
                </c:pt>
                <c:pt idx="2">
                  <c:v>397367282.46638137</c:v>
                </c:pt>
                <c:pt idx="3">
                  <c:v>395213131.01985151</c:v>
                </c:pt>
                <c:pt idx="4">
                  <c:v>392758707.97849417</c:v>
                </c:pt>
                <c:pt idx="5">
                  <c:v>390686405.67827463</c:v>
                </c:pt>
                <c:pt idx="6">
                  <c:v>388911106.25162375</c:v>
                </c:pt>
                <c:pt idx="7">
                  <c:v>386536120.9310081</c:v>
                </c:pt>
                <c:pt idx="8">
                  <c:v>384230874.14304364</c:v>
                </c:pt>
                <c:pt idx="9">
                  <c:v>381839379.27458888</c:v>
                </c:pt>
                <c:pt idx="10">
                  <c:v>379209596.17454767</c:v>
                </c:pt>
                <c:pt idx="11">
                  <c:v>376982645.78737479</c:v>
                </c:pt>
                <c:pt idx="12">
                  <c:v>374740009.7504977</c:v>
                </c:pt>
                <c:pt idx="13">
                  <c:v>372547378.56112629</c:v>
                </c:pt>
                <c:pt idx="14">
                  <c:v>369915182.76371354</c:v>
                </c:pt>
                <c:pt idx="15">
                  <c:v>367101599.15367335</c:v>
                </c:pt>
                <c:pt idx="16">
                  <c:v>364763653.23288679</c:v>
                </c:pt>
                <c:pt idx="17">
                  <c:v>361557627.72330236</c:v>
                </c:pt>
                <c:pt idx="18">
                  <c:v>358546003.56988162</c:v>
                </c:pt>
                <c:pt idx="19">
                  <c:v>355208020.4842</c:v>
                </c:pt>
                <c:pt idx="20">
                  <c:v>351974830.30491459</c:v>
                </c:pt>
                <c:pt idx="21">
                  <c:v>348745978.65646076</c:v>
                </c:pt>
                <c:pt idx="22">
                  <c:v>345433014.77091175</c:v>
                </c:pt>
                <c:pt idx="23">
                  <c:v>342033727.28354609</c:v>
                </c:pt>
                <c:pt idx="24">
                  <c:v>338465670.99543619</c:v>
                </c:pt>
                <c:pt idx="25">
                  <c:v>334892313.79710215</c:v>
                </c:pt>
                <c:pt idx="26">
                  <c:v>331736312.58298904</c:v>
                </c:pt>
                <c:pt idx="27">
                  <c:v>328501683.84702951</c:v>
                </c:pt>
                <c:pt idx="28">
                  <c:v>324827115.13319486</c:v>
                </c:pt>
                <c:pt idx="29">
                  <c:v>321264542.68940157</c:v>
                </c:pt>
                <c:pt idx="30">
                  <c:v>316975816.88266045</c:v>
                </c:pt>
                <c:pt idx="31">
                  <c:v>312698947.33979523</c:v>
                </c:pt>
                <c:pt idx="32">
                  <c:v>308117448.01037931</c:v>
                </c:pt>
                <c:pt idx="33">
                  <c:v>303301617.9700945</c:v>
                </c:pt>
                <c:pt idx="34">
                  <c:v>298273901.49447072</c:v>
                </c:pt>
                <c:pt idx="35">
                  <c:v>293103272.62864912</c:v>
                </c:pt>
                <c:pt idx="36">
                  <c:v>287665755.04571432</c:v>
                </c:pt>
                <c:pt idx="37">
                  <c:v>281836407.59566331</c:v>
                </c:pt>
                <c:pt idx="38">
                  <c:v>276175011.74791187</c:v>
                </c:pt>
                <c:pt idx="39">
                  <c:v>270663240.06691819</c:v>
                </c:pt>
                <c:pt idx="40">
                  <c:v>265153622.98966148</c:v>
                </c:pt>
                <c:pt idx="41">
                  <c:v>260874933.97154853</c:v>
                </c:pt>
                <c:pt idx="42">
                  <c:v>256042951.40234396</c:v>
                </c:pt>
                <c:pt idx="43">
                  <c:v>251008883.15535635</c:v>
                </c:pt>
                <c:pt idx="44">
                  <c:v>245865239.37480587</c:v>
                </c:pt>
                <c:pt idx="45">
                  <c:v>240647338.51974887</c:v>
                </c:pt>
                <c:pt idx="46">
                  <c:v>236209493.1852228</c:v>
                </c:pt>
                <c:pt idx="47">
                  <c:v>231381565.0077641</c:v>
                </c:pt>
                <c:pt idx="48">
                  <c:v>226510533.19488773</c:v>
                </c:pt>
                <c:pt idx="49">
                  <c:v>221520465.01136416</c:v>
                </c:pt>
                <c:pt idx="50">
                  <c:v>215216397.98376602</c:v>
                </c:pt>
                <c:pt idx="51">
                  <c:v>208824263.67499733</c:v>
                </c:pt>
                <c:pt idx="52">
                  <c:v>202371331.02293286</c:v>
                </c:pt>
                <c:pt idx="53">
                  <c:v>195893846.38833907</c:v>
                </c:pt>
                <c:pt idx="54">
                  <c:v>189513430.45224899</c:v>
                </c:pt>
                <c:pt idx="55">
                  <c:v>183234565.83988664</c:v>
                </c:pt>
                <c:pt idx="56">
                  <c:v>177051504.19731176</c:v>
                </c:pt>
                <c:pt idx="57">
                  <c:v>170942682.66546145</c:v>
                </c:pt>
                <c:pt idx="58">
                  <c:v>164892325.27671719</c:v>
                </c:pt>
                <c:pt idx="59">
                  <c:v>158862019.09407735</c:v>
                </c:pt>
                <c:pt idx="60">
                  <c:v>153127298.15611458</c:v>
                </c:pt>
                <c:pt idx="61">
                  <c:v>147774467.87707517</c:v>
                </c:pt>
                <c:pt idx="62">
                  <c:v>142774350.88908976</c:v>
                </c:pt>
                <c:pt idx="63">
                  <c:v>138007741.11147699</c:v>
                </c:pt>
                <c:pt idx="64">
                  <c:v>133424405.83</c:v>
                </c:pt>
                <c:pt idx="65">
                  <c:v>129117900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6-4B20-82C1-F07AC53B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967296"/>
        <c:axId val="810848867"/>
      </c:lineChart>
      <c:catAx>
        <c:axId val="182096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0848867"/>
        <c:crosses val="autoZero"/>
        <c:auto val="1"/>
        <c:lblAlgn val="ctr"/>
        <c:lblOffset val="100"/>
        <c:noMultiLvlLbl val="1"/>
      </c:catAx>
      <c:valAx>
        <c:axId val="810848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09672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Population'!$EQ$1:$EQ$67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4.3762772392633785E-2</c:v>
                </c:pt>
                <c:pt idx="2">
                  <c:v>4.3392504943717831E-2</c:v>
                </c:pt>
                <c:pt idx="3">
                  <c:v>4.3036297922746977E-2</c:v>
                </c:pt>
                <c:pt idx="4">
                  <c:v>4.2690390216031285E-2</c:v>
                </c:pt>
                <c:pt idx="5">
                  <c:v>4.2370479349741773E-2</c:v>
                </c:pt>
                <c:pt idx="6">
                  <c:v>4.2071383618658413E-2</c:v>
                </c:pt>
                <c:pt idx="7">
                  <c:v>4.1796857708410871E-2</c:v>
                </c:pt>
                <c:pt idx="8">
                  <c:v>4.155377351172107E-2</c:v>
                </c:pt>
                <c:pt idx="9">
                  <c:v>4.135261605059435E-2</c:v>
                </c:pt>
                <c:pt idx="10">
                  <c:v>4.1164151700408852E-2</c:v>
                </c:pt>
                <c:pt idx="11">
                  <c:v>4.0880380313134616E-2</c:v>
                </c:pt>
                <c:pt idx="12">
                  <c:v>4.0583289625096219E-2</c:v>
                </c:pt>
                <c:pt idx="13">
                  <c:v>4.0297263094943574E-2</c:v>
                </c:pt>
                <c:pt idx="14">
                  <c:v>4.0029585784048576E-2</c:v>
                </c:pt>
                <c:pt idx="15">
                  <c:v>3.9761984230318188E-2</c:v>
                </c:pt>
                <c:pt idx="16">
                  <c:v>3.9559296708140561E-2</c:v>
                </c:pt>
                <c:pt idx="17">
                  <c:v>3.9339227097376424E-2</c:v>
                </c:pt>
                <c:pt idx="18">
                  <c:v>3.9127229703506669E-2</c:v>
                </c:pt>
                <c:pt idx="19">
                  <c:v>3.8906059331486567E-2</c:v>
                </c:pt>
                <c:pt idx="20">
                  <c:v>3.8641779240363952E-2</c:v>
                </c:pt>
                <c:pt idx="21">
                  <c:v>3.8336597674235098E-2</c:v>
                </c:pt>
                <c:pt idx="22">
                  <c:v>3.7774698039684862E-2</c:v>
                </c:pt>
                <c:pt idx="23">
                  <c:v>3.7146621198227286E-2</c:v>
                </c:pt>
                <c:pt idx="24">
                  <c:v>3.6772636290932033E-2</c:v>
                </c:pt>
                <c:pt idx="25">
                  <c:v>3.649183283544135E-2</c:v>
                </c:pt>
                <c:pt idx="26">
                  <c:v>3.6103562161556968E-2</c:v>
                </c:pt>
                <c:pt idx="27">
                  <c:v>3.5713180581142853E-2</c:v>
                </c:pt>
                <c:pt idx="28">
                  <c:v>3.5344745903471878E-2</c:v>
                </c:pt>
                <c:pt idx="29">
                  <c:v>3.4907536412035117E-2</c:v>
                </c:pt>
                <c:pt idx="30">
                  <c:v>3.4524890525297725E-2</c:v>
                </c:pt>
                <c:pt idx="31">
                  <c:v>3.4103027007648168E-2</c:v>
                </c:pt>
                <c:pt idx="32">
                  <c:v>3.3678390580071577E-2</c:v>
                </c:pt>
                <c:pt idx="33">
                  <c:v>3.3290113329689341E-2</c:v>
                </c:pt>
                <c:pt idx="34">
                  <c:v>3.2888557525802969E-2</c:v>
                </c:pt>
                <c:pt idx="35">
                  <c:v>3.2496132694103487E-2</c:v>
                </c:pt>
                <c:pt idx="36">
                  <c:v>3.2149984289428869E-2</c:v>
                </c:pt>
                <c:pt idx="37">
                  <c:v>3.1753661285015049E-2</c:v>
                </c:pt>
                <c:pt idx="38">
                  <c:v>3.1283814020099762E-2</c:v>
                </c:pt>
                <c:pt idx="39">
                  <c:v>3.0844121416608201E-2</c:v>
                </c:pt>
                <c:pt idx="40">
                  <c:v>3.0435108197691938E-2</c:v>
                </c:pt>
                <c:pt idx="41">
                  <c:v>3.007364931499857E-2</c:v>
                </c:pt>
                <c:pt idx="42">
                  <c:v>2.9718801418324836E-2</c:v>
                </c:pt>
                <c:pt idx="43">
                  <c:v>2.9413067537590942E-2</c:v>
                </c:pt>
                <c:pt idx="44">
                  <c:v>2.911953424094756E-2</c:v>
                </c:pt>
                <c:pt idx="45">
                  <c:v>2.8850852486360566E-2</c:v>
                </c:pt>
                <c:pt idx="46">
                  <c:v>2.8635139286366258E-2</c:v>
                </c:pt>
                <c:pt idx="47">
                  <c:v>2.8417956859237824E-2</c:v>
                </c:pt>
                <c:pt idx="48">
                  <c:v>2.8212369370700832E-2</c:v>
                </c:pt>
                <c:pt idx="49">
                  <c:v>2.8023835584376034E-2</c:v>
                </c:pt>
                <c:pt idx="50">
                  <c:v>2.7841084588355977E-2</c:v>
                </c:pt>
                <c:pt idx="51">
                  <c:v>2.7675166145249373E-2</c:v>
                </c:pt>
                <c:pt idx="52">
                  <c:v>2.7512718994286915E-2</c:v>
                </c:pt>
                <c:pt idx="53">
                  <c:v>2.7371674209647076E-2</c:v>
                </c:pt>
                <c:pt idx="54">
                  <c:v>2.7241519385981489E-2</c:v>
                </c:pt>
                <c:pt idx="55">
                  <c:v>2.7133250478933092E-2</c:v>
                </c:pt>
                <c:pt idx="56">
                  <c:v>2.7026394110184128E-2</c:v>
                </c:pt>
                <c:pt idx="57">
                  <c:v>2.6936763506286012E-2</c:v>
                </c:pt>
                <c:pt idx="58">
                  <c:v>2.6847480625784945E-2</c:v>
                </c:pt>
                <c:pt idx="59">
                  <c:v>2.6780904160848752E-2</c:v>
                </c:pt>
                <c:pt idx="60">
                  <c:v>2.6721069716508471E-2</c:v>
                </c:pt>
                <c:pt idx="61">
                  <c:v>2.6655534424991155E-2</c:v>
                </c:pt>
                <c:pt idx="62">
                  <c:v>2.6593139047242285E-2</c:v>
                </c:pt>
                <c:pt idx="63">
                  <c:v>2.6532060258617901E-2</c:v>
                </c:pt>
                <c:pt idx="64">
                  <c:v>2.6474245186048562E-2</c:v>
                </c:pt>
                <c:pt idx="65">
                  <c:v>2.6414635139455227E-2</c:v>
                </c:pt>
                <c:pt idx="66">
                  <c:v>2.6352931901283079E-2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85-4DBA-B2AA-D3E2A338D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6460"/>
        <c:axId val="1898397692"/>
      </c:lineChart>
      <c:catAx>
        <c:axId val="146616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8397692"/>
        <c:crosses val="autoZero"/>
        <c:auto val="1"/>
        <c:lblAlgn val="ctr"/>
        <c:lblOffset val="100"/>
        <c:noMultiLvlLbl val="1"/>
      </c:catAx>
      <c:valAx>
        <c:axId val="1898397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6164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Population'!$EP$1:$EP$67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1.821189447195206E-2</c:v>
                </c:pt>
                <c:pt idx="2">
                  <c:v>1.813286774936064E-2</c:v>
                </c:pt>
                <c:pt idx="3">
                  <c:v>1.7948947794145603E-2</c:v>
                </c:pt>
                <c:pt idx="4">
                  <c:v>1.760639092310964E-2</c:v>
                </c:pt>
                <c:pt idx="5">
                  <c:v>1.7197535528072683E-2</c:v>
                </c:pt>
                <c:pt idx="6">
                  <c:v>1.699095845646002E-2</c:v>
                </c:pt>
                <c:pt idx="7">
                  <c:v>1.6755312625160904E-2</c:v>
                </c:pt>
                <c:pt idx="8">
                  <c:v>1.6413312397429634E-2</c:v>
                </c:pt>
                <c:pt idx="9">
                  <c:v>1.5747563605610266E-2</c:v>
                </c:pt>
                <c:pt idx="10">
                  <c:v>1.8295544194806293E-2</c:v>
                </c:pt>
                <c:pt idx="11">
                  <c:v>1.8640863125418423E-2</c:v>
                </c:pt>
                <c:pt idx="12">
                  <c:v>1.8512593174941132E-2</c:v>
                </c:pt>
                <c:pt idx="13">
                  <c:v>1.8208764808527789E-2</c:v>
                </c:pt>
                <c:pt idx="14">
                  <c:v>1.8468317675430782E-2</c:v>
                </c:pt>
                <c:pt idx="15">
                  <c:v>1.7112464424276868E-2</c:v>
                </c:pt>
                <c:pt idx="16">
                  <c:v>1.7540445539191402E-2</c:v>
                </c:pt>
                <c:pt idx="17">
                  <c:v>1.7454420423939947E-2</c:v>
                </c:pt>
                <c:pt idx="18">
                  <c:v>1.7799986930757444E-2</c:v>
                </c:pt>
                <c:pt idx="19">
                  <c:v>1.925934888362122E-2</c:v>
                </c:pt>
                <c:pt idx="20">
                  <c:v>2.0817961675172917E-2</c:v>
                </c:pt>
                <c:pt idx="21">
                  <c:v>2.8145825476154469E-2</c:v>
                </c:pt>
                <c:pt idx="22">
                  <c:v>3.0281756713685919E-2</c:v>
                </c:pt>
                <c:pt idx="23">
                  <c:v>2.3270140263212152E-2</c:v>
                </c:pt>
                <c:pt idx="24">
                  <c:v>2.128288174077253E-2</c:v>
                </c:pt>
                <c:pt idx="25">
                  <c:v>2.499109381629273E-2</c:v>
                </c:pt>
                <c:pt idx="26">
                  <c:v>2.530416112275595E-2</c:v>
                </c:pt>
                <c:pt idx="27">
                  <c:v>2.5358949840655769E-2</c:v>
                </c:pt>
                <c:pt idx="28">
                  <c:v>2.7873686822130019E-2</c:v>
                </c:pt>
                <c:pt idx="29">
                  <c:v>2.6488107856251237E-2</c:v>
                </c:pt>
                <c:pt idx="30">
                  <c:v>2.8110569587734606E-2</c:v>
                </c:pt>
                <c:pt idx="31">
                  <c:v>2.864728975152046E-2</c:v>
                </c:pt>
                <c:pt idx="32">
                  <c:v>2.7860835176230104E-2</c:v>
                </c:pt>
                <c:pt idx="33">
                  <c:v>2.877946670521549E-2</c:v>
                </c:pt>
                <c:pt idx="34">
                  <c:v>2.9156510835223588E-2</c:v>
                </c:pt>
                <c:pt idx="35">
                  <c:v>2.7951977480859768E-2</c:v>
                </c:pt>
                <c:pt idx="36">
                  <c:v>2.9756138817613638E-2</c:v>
                </c:pt>
                <c:pt idx="37">
                  <c:v>3.2363374920951704E-2</c:v>
                </c:pt>
                <c:pt idx="38">
                  <c:v>3.1538944776420788E-2</c:v>
                </c:pt>
                <c:pt idx="39">
                  <c:v>3.0784404306717358E-2</c:v>
                </c:pt>
                <c:pt idx="40">
                  <c:v>2.923137734940405E-2</c:v>
                </c:pt>
                <c:pt idx="41">
                  <c:v>2.9100815958270899E-2</c:v>
                </c:pt>
                <c:pt idx="42">
                  <c:v>2.8431134330112056E-2</c:v>
                </c:pt>
                <c:pt idx="43">
                  <c:v>2.7886728983386785E-2</c:v>
                </c:pt>
                <c:pt idx="44">
                  <c:v>2.7101078681446525E-2</c:v>
                </c:pt>
                <c:pt idx="45">
                  <c:v>2.604201166903846E-2</c:v>
                </c:pt>
                <c:pt idx="46">
                  <c:v>2.566918964374543E-2</c:v>
                </c:pt>
                <c:pt idx="47">
                  <c:v>2.5514670093597376E-2</c:v>
                </c:pt>
                <c:pt idx="48">
                  <c:v>2.5154513777127057E-2</c:v>
                </c:pt>
                <c:pt idx="49">
                  <c:v>2.5124088428608537E-2</c:v>
                </c:pt>
                <c:pt idx="50">
                  <c:v>2.5556084021836727E-2</c:v>
                </c:pt>
                <c:pt idx="51">
                  <c:v>2.5547350604428799E-2</c:v>
                </c:pt>
                <c:pt idx="52">
                  <c:v>2.5105902653251119E-2</c:v>
                </c:pt>
                <c:pt idx="53">
                  <c:v>2.4839619429647242E-2</c:v>
                </c:pt>
                <c:pt idx="54">
                  <c:v>2.4428740973066375E-2</c:v>
                </c:pt>
                <c:pt idx="55">
                  <c:v>2.3951307905392922E-2</c:v>
                </c:pt>
                <c:pt idx="56">
                  <c:v>2.3639810637070418E-2</c:v>
                </c:pt>
                <c:pt idx="57">
                  <c:v>2.3632706728197478E-2</c:v>
                </c:pt>
                <c:pt idx="58">
                  <c:v>2.2829254995478505E-2</c:v>
                </c:pt>
                <c:pt idx="59">
                  <c:v>2.2668777962597204E-2</c:v>
                </c:pt>
                <c:pt idx="60">
                  <c:v>2.2659826704448143E-2</c:v>
                </c:pt>
                <c:pt idx="61">
                  <c:v>2.242141361989472E-2</c:v>
                </c:pt>
                <c:pt idx="62">
                  <c:v>2.1906847294745777E-2</c:v>
                </c:pt>
                <c:pt idx="63">
                  <c:v>2.1588814534206763E-2</c:v>
                </c:pt>
                <c:pt idx="64">
                  <c:v>2.1357492311743262E-2</c:v>
                </c:pt>
                <c:pt idx="65">
                  <c:v>2.1129172066271327E-2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6E-4808-A3C0-FEC0D8E81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333446"/>
        <c:axId val="208070307"/>
      </c:lineChart>
      <c:catAx>
        <c:axId val="1174333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070307"/>
        <c:crosses val="autoZero"/>
        <c:auto val="1"/>
        <c:lblAlgn val="ctr"/>
        <c:lblOffset val="100"/>
        <c:noMultiLvlLbl val="1"/>
      </c:catAx>
      <c:valAx>
        <c:axId val="208070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43334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Population'!$EO$1</c:f>
              <c:strCache>
                <c:ptCount val="1"/>
                <c:pt idx="0">
                  <c:v>South Mahean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Population'!$EO$2:$EO$67</c:f>
              <c:numCache>
                <c:formatCode>#,###</c:formatCode>
                <c:ptCount val="66"/>
                <c:pt idx="0">
                  <c:v>298188764.6113615</c:v>
                </c:pt>
                <c:pt idx="1">
                  <c:v>292855314.52763391</c:v>
                </c:pt>
                <c:pt idx="2">
                  <c:v>287639583.99163252</c:v>
                </c:pt>
                <c:pt idx="3">
                  <c:v>282567789.48977345</c:v>
                </c:pt>
                <c:pt idx="4">
                  <c:v>277678866.80963689</c:v>
                </c:pt>
                <c:pt idx="5">
                  <c:v>272984211.13995463</c:v>
                </c:pt>
                <c:pt idx="6">
                  <c:v>268423439.6284869</c:v>
                </c:pt>
                <c:pt idx="7">
                  <c:v>264000036.48414123</c:v>
                </c:pt>
                <c:pt idx="8">
                  <c:v>259736893.70659688</c:v>
                </c:pt>
                <c:pt idx="9">
                  <c:v>255710082.91135445</c:v>
                </c:pt>
                <c:pt idx="10">
                  <c:v>251115783.00536638</c:v>
                </c:pt>
                <c:pt idx="11">
                  <c:v>246520429.4228752</c:v>
                </c:pt>
                <c:pt idx="12">
                  <c:v>242039647.88929468</c:v>
                </c:pt>
                <c:pt idx="13">
                  <c:v>237711220.18853351</c:v>
                </c:pt>
                <c:pt idx="14">
                  <c:v>233400701.88053527</c:v>
                </c:pt>
                <c:pt idx="15">
                  <c:v>229473838.97477716</c:v>
                </c:pt>
                <c:pt idx="16">
                  <c:v>225518150.14407581</c:v>
                </c:pt>
                <c:pt idx="17">
                  <c:v>221649388.5299646</c:v>
                </c:pt>
                <c:pt idx="18">
                  <c:v>217773031.41687283</c:v>
                </c:pt>
                <c:pt idx="19">
                  <c:v>213658115.23376873</c:v>
                </c:pt>
                <c:pt idx="20">
                  <c:v>209300897.17774317</c:v>
                </c:pt>
                <c:pt idx="21">
                  <c:v>203571217.22573918</c:v>
                </c:pt>
                <c:pt idx="22">
                  <c:v>197587908.25829539</c:v>
                </c:pt>
                <c:pt idx="23">
                  <c:v>193094570.51827052</c:v>
                </c:pt>
                <c:pt idx="24">
                  <c:v>189070603.22908929</c:v>
                </c:pt>
                <c:pt idx="25">
                  <c:v>184460727.87338391</c:v>
                </c:pt>
                <c:pt idx="26">
                  <c:v>179908299.28105509</c:v>
                </c:pt>
                <c:pt idx="27">
                  <c:v>175458847.17640924</c:v>
                </c:pt>
                <c:pt idx="28">
                  <c:v>170700786.90201142</c:v>
                </c:pt>
                <c:pt idx="29">
                  <c:v>166295922.56895027</c:v>
                </c:pt>
                <c:pt idx="30">
                  <c:v>161749064.24280202</c:v>
                </c:pt>
                <c:pt idx="31">
                  <c:v>157244437.28605366</c:v>
                </c:pt>
                <c:pt idx="32">
                  <c:v>152982224.73774242</c:v>
                </c:pt>
                <c:pt idx="33">
                  <c:v>148702642.00323281</c:v>
                </c:pt>
                <c:pt idx="34">
                  <c:v>144489822.9158085</c:v>
                </c:pt>
                <c:pt idx="35">
                  <c:v>140560868.67978117</c:v>
                </c:pt>
                <c:pt idx="36">
                  <c:v>136499180.12741923</c:v>
                </c:pt>
                <c:pt idx="37">
                  <c:v>132220091.72678274</c:v>
                </c:pt>
                <c:pt idx="38">
                  <c:v>128177508.36876117</c:v>
                </c:pt>
                <c:pt idx="39">
                  <c:v>124349483.59057732</c:v>
                </c:pt>
                <c:pt idx="40">
                  <c:v>120817812.52221102</c:v>
                </c:pt>
                <c:pt idx="41">
                  <c:v>117401337.7977052</c:v>
                </c:pt>
                <c:pt idx="42">
                  <c:v>114155760.04919063</c:v>
                </c:pt>
                <c:pt idx="43">
                  <c:v>111058696.28465226</c:v>
                </c:pt>
                <c:pt idx="44">
                  <c:v>108128302.64692664</c:v>
                </c:pt>
                <c:pt idx="45">
                  <c:v>105383894.04838976</c:v>
                </c:pt>
                <c:pt idx="46">
                  <c:v>102746475.28897077</c:v>
                </c:pt>
                <c:pt idx="47">
                  <c:v>100190156.4992661</c:v>
                </c:pt>
                <c:pt idx="48">
                  <c:v>97731761.556724578</c:v>
                </c:pt>
                <c:pt idx="49">
                  <c:v>95336518.437036797</c:v>
                </c:pt>
                <c:pt idx="50">
                  <c:v>92960804.311319202</c:v>
                </c:pt>
                <c:pt idx="51">
                  <c:v>90645063.103649691</c:v>
                </c:pt>
                <c:pt idx="52">
                  <c:v>88425071.857488841</c:v>
                </c:pt>
                <c:pt idx="53">
                  <c:v>86281863.211631045</c:v>
                </c:pt>
                <c:pt idx="54">
                  <c:v>84224367.943518594</c:v>
                </c:pt>
                <c:pt idx="55">
                  <c:v>82254270.582269162</c:v>
                </c:pt>
                <c:pt idx="56">
                  <c:v>80354700.674524918</c:v>
                </c:pt>
                <c:pt idx="57">
                  <c:v>78499543.973501906</c:v>
                </c:pt>
                <c:pt idx="58">
                  <c:v>76747456.713925257</c:v>
                </c:pt>
                <c:pt idx="59">
                  <c:v>75046249.937173888</c:v>
                </c:pt>
                <c:pt idx="60">
                  <c:v>73383394.925185114</c:v>
                </c:pt>
                <c:pt idx="61">
                  <c:v>71774117.744042903</c:v>
                </c:pt>
                <c:pt idx="62">
                  <c:v>70235479.813104033</c:v>
                </c:pt>
                <c:pt idx="63">
                  <c:v>68751222.423209369</c:v>
                </c:pt>
                <c:pt idx="64">
                  <c:v>67313573.29900001</c:v>
                </c:pt>
                <c:pt idx="65">
                  <c:v>65920723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D-4116-94BB-497FADF53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569606"/>
        <c:axId val="351024724"/>
      </c:lineChart>
      <c:catAx>
        <c:axId val="877569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1024724"/>
        <c:crosses val="autoZero"/>
        <c:auto val="1"/>
        <c:lblAlgn val="ctr"/>
        <c:lblOffset val="100"/>
        <c:noMultiLvlLbl val="1"/>
      </c:catAx>
      <c:valAx>
        <c:axId val="351024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75696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Population'!$FB$1:$FB$67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2.1553350174150714E-2</c:v>
                </c:pt>
                <c:pt idx="2">
                  <c:v>2.1615272779736946E-2</c:v>
                </c:pt>
                <c:pt idx="3">
                  <c:v>2.1677846536318792E-2</c:v>
                </c:pt>
                <c:pt idx="4">
                  <c:v>2.1732910375705211E-2</c:v>
                </c:pt>
                <c:pt idx="5">
                  <c:v>2.1783847429575207E-2</c:v>
                </c:pt>
                <c:pt idx="6">
                  <c:v>2.1827870011992937E-2</c:v>
                </c:pt>
                <c:pt idx="7">
                  <c:v>2.1868524479712961E-2</c:v>
                </c:pt>
                <c:pt idx="8">
                  <c:v>2.1907353308634386E-2</c:v>
                </c:pt>
                <c:pt idx="9">
                  <c:v>2.1954348722521465E-2</c:v>
                </c:pt>
                <c:pt idx="10">
                  <c:v>2.1986909119922755E-2</c:v>
                </c:pt>
                <c:pt idx="11">
                  <c:v>2.2016795689504303E-2</c:v>
                </c:pt>
                <c:pt idx="12">
                  <c:v>2.2042124559431664E-2</c:v>
                </c:pt>
                <c:pt idx="13">
                  <c:v>2.2068166292321341E-2</c:v>
                </c:pt>
                <c:pt idx="14">
                  <c:v>2.2096895468256571E-2</c:v>
                </c:pt>
                <c:pt idx="15">
                  <c:v>2.2127236206260857E-2</c:v>
                </c:pt>
                <c:pt idx="16">
                  <c:v>2.2154972576228813E-2</c:v>
                </c:pt>
                <c:pt idx="17">
                  <c:v>2.2166162140144198E-2</c:v>
                </c:pt>
                <c:pt idx="18">
                  <c:v>2.2161657219145901E-2</c:v>
                </c:pt>
                <c:pt idx="19">
                  <c:v>2.2138283581289182E-2</c:v>
                </c:pt>
                <c:pt idx="20">
                  <c:v>2.2100422347941517E-2</c:v>
                </c:pt>
                <c:pt idx="21">
                  <c:v>2.2051472108868406E-2</c:v>
                </c:pt>
                <c:pt idx="22">
                  <c:v>2.198651133836825E-2</c:v>
                </c:pt>
                <c:pt idx="23">
                  <c:v>2.1877789568576327E-2</c:v>
                </c:pt>
                <c:pt idx="24">
                  <c:v>2.1699270757513232E-2</c:v>
                </c:pt>
                <c:pt idx="25">
                  <c:v>2.1477292274258375E-2</c:v>
                </c:pt>
                <c:pt idx="26">
                  <c:v>2.1359729820922619E-2</c:v>
                </c:pt>
                <c:pt idx="27">
                  <c:v>2.125098220313611E-2</c:v>
                </c:pt>
                <c:pt idx="28">
                  <c:v>2.1125024415916058E-2</c:v>
                </c:pt>
                <c:pt idx="29">
                  <c:v>2.099606479951938E-2</c:v>
                </c:pt>
                <c:pt idx="30">
                  <c:v>2.0861545028014808E-2</c:v>
                </c:pt>
                <c:pt idx="31">
                  <c:v>2.072552468694943E-2</c:v>
                </c:pt>
                <c:pt idx="32">
                  <c:v>2.0586287012023589E-2</c:v>
                </c:pt>
                <c:pt idx="33">
                  <c:v>2.0443602696204696E-2</c:v>
                </c:pt>
                <c:pt idx="34">
                  <c:v>2.0299082669868636E-2</c:v>
                </c:pt>
                <c:pt idx="35">
                  <c:v>2.0148565153590235E-2</c:v>
                </c:pt>
                <c:pt idx="36">
                  <c:v>2.0008570772679108E-2</c:v>
                </c:pt>
                <c:pt idx="37">
                  <c:v>1.9883538796422903E-2</c:v>
                </c:pt>
                <c:pt idx="38">
                  <c:v>1.9748405802688371E-2</c:v>
                </c:pt>
                <c:pt idx="39">
                  <c:v>1.9608450243977636E-2</c:v>
                </c:pt>
                <c:pt idx="40">
                  <c:v>1.946673381875735E-2</c:v>
                </c:pt>
                <c:pt idx="41">
                  <c:v>1.9315507383155392E-2</c:v>
                </c:pt>
                <c:pt idx="42">
                  <c:v>1.9162557088256045E-2</c:v>
                </c:pt>
                <c:pt idx="43">
                  <c:v>1.9023383087333534E-2</c:v>
                </c:pt>
                <c:pt idx="44">
                  <c:v>1.8876568944095562E-2</c:v>
                </c:pt>
                <c:pt idx="45">
                  <c:v>1.8728763239537486E-2</c:v>
                </c:pt>
                <c:pt idx="46">
                  <c:v>1.8593191233806851E-2</c:v>
                </c:pt>
                <c:pt idx="47">
                  <c:v>1.844820573459266E-2</c:v>
                </c:pt>
                <c:pt idx="48">
                  <c:v>1.8307040156560591E-2</c:v>
                </c:pt>
                <c:pt idx="49">
                  <c:v>1.8170425434062987E-2</c:v>
                </c:pt>
                <c:pt idx="50">
                  <c:v>1.8038963199724839E-2</c:v>
                </c:pt>
                <c:pt idx="51">
                  <c:v>1.7928661130088602E-2</c:v>
                </c:pt>
                <c:pt idx="52">
                  <c:v>1.782300937223897E-2</c:v>
                </c:pt>
                <c:pt idx="53">
                  <c:v>1.7727165805828664E-2</c:v>
                </c:pt>
                <c:pt idx="54">
                  <c:v>1.7637401632781685E-2</c:v>
                </c:pt>
                <c:pt idx="55">
                  <c:v>1.7557418265441174E-2</c:v>
                </c:pt>
                <c:pt idx="56">
                  <c:v>1.7469177020811077E-2</c:v>
                </c:pt>
                <c:pt idx="57">
                  <c:v>1.7380273080021484E-2</c:v>
                </c:pt>
                <c:pt idx="58">
                  <c:v>1.7283800835538134E-2</c:v>
                </c:pt>
                <c:pt idx="59">
                  <c:v>1.7177582777045213E-2</c:v>
                </c:pt>
                <c:pt idx="60">
                  <c:v>1.705892426051028E-2</c:v>
                </c:pt>
                <c:pt idx="61">
                  <c:v>1.6926085816351265E-2</c:v>
                </c:pt>
                <c:pt idx="62">
                  <c:v>1.6789563311499722E-2</c:v>
                </c:pt>
                <c:pt idx="63">
                  <c:v>1.6651429530954654E-2</c:v>
                </c:pt>
                <c:pt idx="64">
                  <c:v>1.6524484895361811E-2</c:v>
                </c:pt>
                <c:pt idx="65">
                  <c:v>1.6410553041724712E-2</c:v>
                </c:pt>
                <c:pt idx="66">
                  <c:v>1.6312573768619564E-2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E6-4669-9A3B-08DEE50CD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022088"/>
        <c:axId val="454693520"/>
      </c:lineChart>
      <c:catAx>
        <c:axId val="49302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4693520"/>
        <c:crosses val="autoZero"/>
        <c:auto val="1"/>
        <c:lblAlgn val="ctr"/>
        <c:lblOffset val="100"/>
        <c:noMultiLvlLbl val="1"/>
      </c:catAx>
      <c:valAx>
        <c:axId val="454693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30220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Population'!$FA$1:$FA$67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6.7047667219439812E-3</c:v>
                </c:pt>
                <c:pt idx="2">
                  <c:v>6.8603170708773642E-3</c:v>
                </c:pt>
                <c:pt idx="3">
                  <c:v>7.2086931560689377E-3</c:v>
                </c:pt>
                <c:pt idx="4">
                  <c:v>7.6190763937687761E-3</c:v>
                </c:pt>
                <c:pt idx="5">
                  <c:v>7.9800690391774332E-3</c:v>
                </c:pt>
                <c:pt idx="6">
                  <c:v>8.4765571769273955E-3</c:v>
                </c:pt>
                <c:pt idx="7">
                  <c:v>9.050390378632844E-3</c:v>
                </c:pt>
                <c:pt idx="8">
                  <c:v>9.3277632710456488E-3</c:v>
                </c:pt>
                <c:pt idx="9">
                  <c:v>9.6209345961908305E-3</c:v>
                </c:pt>
                <c:pt idx="10">
                  <c:v>9.9030174964368171E-3</c:v>
                </c:pt>
                <c:pt idx="11">
                  <c:v>1.007605112058641E-2</c:v>
                </c:pt>
                <c:pt idx="12">
                  <c:v>1.0140795417997115E-2</c:v>
                </c:pt>
                <c:pt idx="13">
                  <c:v>1.0130218003105417E-2</c:v>
                </c:pt>
                <c:pt idx="14">
                  <c:v>1.027257898255084E-2</c:v>
                </c:pt>
                <c:pt idx="15">
                  <c:v>1.0660855106662304E-2</c:v>
                </c:pt>
                <c:pt idx="16">
                  <c:v>1.13690352301191E-2</c:v>
                </c:pt>
                <c:pt idx="17">
                  <c:v>1.217711149447624E-2</c:v>
                </c:pt>
                <c:pt idx="18">
                  <c:v>1.3115296824606486E-2</c:v>
                </c:pt>
                <c:pt idx="19">
                  <c:v>1.4070028051762919E-2</c:v>
                </c:pt>
                <c:pt idx="20">
                  <c:v>1.500397037550121E-2</c:v>
                </c:pt>
                <c:pt idx="21">
                  <c:v>1.606949749559046E-2</c:v>
                </c:pt>
                <c:pt idx="22">
                  <c:v>1.8186205471177507E-2</c:v>
                </c:pt>
                <c:pt idx="23">
                  <c:v>2.1301694237754354E-2</c:v>
                </c:pt>
                <c:pt idx="24">
                  <c:v>2.395901657492713E-2</c:v>
                </c:pt>
                <c:pt idx="25">
                  <c:v>1.9666710819364178E-2</c:v>
                </c:pt>
                <c:pt idx="26">
                  <c:v>1.9407779124567193E-2</c:v>
                </c:pt>
                <c:pt idx="27">
                  <c:v>2.0831466853976219E-2</c:v>
                </c:pt>
                <c:pt idx="28">
                  <c:v>2.1394228336839228E-2</c:v>
                </c:pt>
                <c:pt idx="29">
                  <c:v>2.1782517281082017E-2</c:v>
                </c:pt>
                <c:pt idx="30">
                  <c:v>2.221294972501052E-2</c:v>
                </c:pt>
                <c:pt idx="31">
                  <c:v>2.2709751757701981E-2</c:v>
                </c:pt>
                <c:pt idx="32">
                  <c:v>2.3101811977675982E-2</c:v>
                </c:pt>
                <c:pt idx="33">
                  <c:v>2.3606087291146598E-2</c:v>
                </c:pt>
                <c:pt idx="34">
                  <c:v>2.4473119314008491E-2</c:v>
                </c:pt>
                <c:pt idx="35">
                  <c:v>2.4117926339223605E-2</c:v>
                </c:pt>
                <c:pt idx="36">
                  <c:v>2.3457514918170514E-2</c:v>
                </c:pt>
                <c:pt idx="37">
                  <c:v>2.4047530108867139E-2</c:v>
                </c:pt>
                <c:pt idx="38">
                  <c:v>2.4299851943318278E-2</c:v>
                </c:pt>
                <c:pt idx="39">
                  <c:v>2.4520057137981135E-2</c:v>
                </c:pt>
                <c:pt idx="40">
                  <c:v>2.4970270228158793E-2</c:v>
                </c:pt>
                <c:pt idx="41">
                  <c:v>2.5075232685767734E-2</c:v>
                </c:pt>
                <c:pt idx="42">
                  <c:v>2.5297631157074667E-2</c:v>
                </c:pt>
                <c:pt idx="43">
                  <c:v>2.5543433339522543E-2</c:v>
                </c:pt>
                <c:pt idx="44">
                  <c:v>2.5655162556496774E-2</c:v>
                </c:pt>
                <c:pt idx="45">
                  <c:v>2.5795894613374743E-2</c:v>
                </c:pt>
                <c:pt idx="46">
                  <c:v>2.5889685554604563E-2</c:v>
                </c:pt>
                <c:pt idx="47">
                  <c:v>2.5946199527261418E-2</c:v>
                </c:pt>
                <c:pt idx="48">
                  <c:v>2.5959888552041094E-2</c:v>
                </c:pt>
                <c:pt idx="49">
                  <c:v>2.5861037343135957E-2</c:v>
                </c:pt>
                <c:pt idx="50">
                  <c:v>2.5716203571021595E-2</c:v>
                </c:pt>
                <c:pt idx="51">
                  <c:v>2.557119844345606E-2</c:v>
                </c:pt>
                <c:pt idx="52">
                  <c:v>2.5364583526312642E-2</c:v>
                </c:pt>
                <c:pt idx="53">
                  <c:v>2.5157452061495812E-2</c:v>
                </c:pt>
                <c:pt idx="54">
                  <c:v>2.5005512692210161E-2</c:v>
                </c:pt>
                <c:pt idx="55">
                  <c:v>2.5070643714343477E-2</c:v>
                </c:pt>
                <c:pt idx="56">
                  <c:v>2.5463780153622492E-2</c:v>
                </c:pt>
                <c:pt idx="57">
                  <c:v>2.5934467597732984E-2</c:v>
                </c:pt>
                <c:pt idx="58">
                  <c:v>2.6601848878628171E-2</c:v>
                </c:pt>
                <c:pt idx="59">
                  <c:v>2.7481499907215066E-2</c:v>
                </c:pt>
                <c:pt idx="60">
                  <c:v>2.8157984430694213E-2</c:v>
                </c:pt>
                <c:pt idx="61">
                  <c:v>2.8322373205030973E-2</c:v>
                </c:pt>
                <c:pt idx="62">
                  <c:v>2.801761539276474E-2</c:v>
                </c:pt>
                <c:pt idx="63">
                  <c:v>2.719366938910937E-2</c:v>
                </c:pt>
                <c:pt idx="64">
                  <c:v>2.613268655515856E-2</c:v>
                </c:pt>
                <c:pt idx="65">
                  <c:v>2.4862814053110915E-2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44-4AAF-AB05-FF7CE0B8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427400"/>
        <c:axId val="447368033"/>
      </c:lineChart>
      <c:catAx>
        <c:axId val="853427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7368033"/>
        <c:crosses val="autoZero"/>
        <c:auto val="1"/>
        <c:lblAlgn val="ctr"/>
        <c:lblOffset val="100"/>
        <c:noMultiLvlLbl val="1"/>
      </c:catAx>
      <c:valAx>
        <c:axId val="447368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34274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Population'!$EZ$1</c:f>
              <c:strCache>
                <c:ptCount val="1"/>
                <c:pt idx="0">
                  <c:v>West Mahean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Population'!$EZ$2:$EZ$67</c:f>
              <c:numCache>
                <c:formatCode>#,###</c:formatCode>
                <c:ptCount val="66"/>
                <c:pt idx="0">
                  <c:v>146859225.55372363</c:v>
                </c:pt>
                <c:pt idx="1">
                  <c:v>145881126.63053155</c:v>
                </c:pt>
                <c:pt idx="2">
                  <c:v>144887154.80904421</c:v>
                </c:pt>
                <c:pt idx="3">
                  <c:v>143850182.97950062</c:v>
                </c:pt>
                <c:pt idx="4">
                  <c:v>142762464.85361817</c:v>
                </c:pt>
                <c:pt idx="5">
                  <c:v>141632229.88099518</c:v>
                </c:pt>
                <c:pt idx="6">
                  <c:v>140441767.21120071</c:v>
                </c:pt>
                <c:pt idx="7">
                  <c:v>139182114.7390883</c:v>
                </c:pt>
                <c:pt idx="8">
                  <c:v>137895854.84899837</c:v>
                </c:pt>
                <c:pt idx="9">
                  <c:v>136581810.1861679</c:v>
                </c:pt>
                <c:pt idx="10">
                  <c:v>135242501.32924253</c:v>
                </c:pt>
                <c:pt idx="11">
                  <c:v>133893384.739895</c:v>
                </c:pt>
                <c:pt idx="12">
                  <c:v>132549230.11449093</c:v>
                </c:pt>
                <c:pt idx="13">
                  <c:v>131219943.4806765</c:v>
                </c:pt>
                <c:pt idx="14">
                  <c:v>129885682.54799965</c:v>
                </c:pt>
                <c:pt idx="15">
                  <c:v>128515596.39587691</c:v>
                </c:pt>
                <c:pt idx="16">
                  <c:v>127070922.6001125</c:v>
                </c:pt>
                <c:pt idx="17">
                  <c:v>125542181.45922376</c:v>
                </c:pt>
                <c:pt idx="18">
                  <c:v>123916973.56925605</c:v>
                </c:pt>
                <c:pt idx="19">
                  <c:v>122197649.21691458</c:v>
                </c:pt>
                <c:pt idx="20">
                  <c:v>120391301.69284707</c:v>
                </c:pt>
                <c:pt idx="21">
                  <c:v>118487270.79160208</c:v>
                </c:pt>
                <c:pt idx="22">
                  <c:v>116370925.23441792</c:v>
                </c:pt>
                <c:pt idx="23">
                  <c:v>113943730.72226325</c:v>
                </c:pt>
                <c:pt idx="24">
                  <c:v>111277628.1841799</c:v>
                </c:pt>
                <c:pt idx="25">
                  <c:v>109131373.02948879</c:v>
                </c:pt>
                <c:pt idx="26">
                  <c:v>107053698.49463686</c:v>
                </c:pt>
                <c:pt idx="27">
                  <c:v>104869120.87903953</c:v>
                </c:pt>
                <c:pt idx="28">
                  <c:v>102672521.5099369</c:v>
                </c:pt>
                <c:pt idx="29">
                  <c:v>100483732.86239417</c:v>
                </c:pt>
                <c:pt idx="30">
                  <c:v>98300195.560451165</c:v>
                </c:pt>
                <c:pt idx="31">
                  <c:v>96117393.416368067</c:v>
                </c:pt>
                <c:pt idx="32">
                  <c:v>93947046.414248109</c:v>
                </c:pt>
                <c:pt idx="33">
                  <c:v>91780468.659450769</c:v>
                </c:pt>
                <c:pt idx="34">
                  <c:v>89587971.542784214</c:v>
                </c:pt>
                <c:pt idx="35">
                  <c:v>87478179.259123281</c:v>
                </c:pt>
                <c:pt idx="36">
                  <c:v>85473190.615164429</c:v>
                </c:pt>
                <c:pt idx="37">
                  <c:v>83466038.54029873</c:v>
                </c:pt>
                <c:pt idx="38">
                  <c:v>81485942.209154487</c:v>
                </c:pt>
                <c:pt idx="39">
                  <c:v>79535721.766919062</c:v>
                </c:pt>
                <c:pt idx="40">
                  <c:v>77598076.819549486</c:v>
                </c:pt>
                <c:pt idx="41">
                  <c:v>75699884.598945171</c:v>
                </c:pt>
                <c:pt idx="42">
                  <c:v>73832107.18385832</c:v>
                </c:pt>
                <c:pt idx="43">
                  <c:v>71993154.83249262</c:v>
                </c:pt>
                <c:pt idx="44">
                  <c:v>70192358.465827912</c:v>
                </c:pt>
                <c:pt idx="45">
                  <c:v>68427217.182696566</c:v>
                </c:pt>
                <c:pt idx="46">
                  <c:v>66700365.688640527</c:v>
                </c:pt>
                <c:pt idx="47">
                  <c:v>65013512.130923554</c:v>
                </c:pt>
                <c:pt idx="48">
                  <c:v>63368473.618085109</c:v>
                </c:pt>
                <c:pt idx="49">
                  <c:v>61771011.190952614</c:v>
                </c:pt>
                <c:pt idx="50">
                  <c:v>60222321.706430495</c:v>
                </c:pt>
                <c:pt idx="51">
                  <c:v>58720761.462326497</c:v>
                </c:pt>
                <c:pt idx="52">
                  <c:v>57268177.978588842</c:v>
                </c:pt>
                <c:pt idx="53">
                  <c:v>55862811.964569822</c:v>
                </c:pt>
                <c:pt idx="54">
                  <c:v>54500011.241738923</c:v>
                </c:pt>
                <c:pt idx="55">
                  <c:v>53167078.362773255</c:v>
                </c:pt>
                <c:pt idx="56">
                  <c:v>51846861.285347797</c:v>
                </c:pt>
                <c:pt idx="57">
                  <c:v>50536231.038956434</c:v>
                </c:pt>
                <c:pt idx="58">
                  <c:v>49226709.550696678</c:v>
                </c:pt>
                <c:pt idx="59">
                  <c:v>47910068.994081169</c:v>
                </c:pt>
                <c:pt idx="60">
                  <c:v>46597964.242440484</c:v>
                </c:pt>
                <c:pt idx="61">
                  <c:v>45314548.68302238</c:v>
                </c:pt>
                <c:pt idx="62">
                  <c:v>44079544.946036249</c:v>
                </c:pt>
                <c:pt idx="63">
                  <c:v>42912594.050790004</c:v>
                </c:pt>
                <c:pt idx="64">
                  <c:v>41819732.100000001</c:v>
                </c:pt>
                <c:pt idx="65">
                  <c:v>40805200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2-40CD-8828-2EAD508E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192182"/>
        <c:axId val="2104124430"/>
      </c:lineChart>
      <c:catAx>
        <c:axId val="2067192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4124430"/>
        <c:crosses val="autoZero"/>
        <c:auto val="1"/>
        <c:lblAlgn val="ctr"/>
        <c:lblOffset val="100"/>
        <c:noMultiLvlLbl val="1"/>
      </c:catAx>
      <c:valAx>
        <c:axId val="2104124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71921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Population'!$FM$1:$FM$67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2.9018443295611464E-2</c:v>
                </c:pt>
                <c:pt idx="2">
                  <c:v>2.8920497775253337E-2</c:v>
                </c:pt>
                <c:pt idx="3">
                  <c:v>2.8807345082635358E-2</c:v>
                </c:pt>
                <c:pt idx="4">
                  <c:v>2.8732186659199556E-2</c:v>
                </c:pt>
                <c:pt idx="5">
                  <c:v>2.8568237897948247E-2</c:v>
                </c:pt>
                <c:pt idx="6">
                  <c:v>2.8395557178518986E-2</c:v>
                </c:pt>
                <c:pt idx="7">
                  <c:v>2.8173316184295982E-2</c:v>
                </c:pt>
                <c:pt idx="8">
                  <c:v>2.7937795973798651E-2</c:v>
                </c:pt>
                <c:pt idx="9">
                  <c:v>2.7640418906003307E-2</c:v>
                </c:pt>
                <c:pt idx="10">
                  <c:v>2.7292069556453517E-2</c:v>
                </c:pt>
                <c:pt idx="11">
                  <c:v>2.6920725653114024E-2</c:v>
                </c:pt>
                <c:pt idx="12">
                  <c:v>2.6537187624577546E-2</c:v>
                </c:pt>
                <c:pt idx="13">
                  <c:v>2.6156835582091875E-2</c:v>
                </c:pt>
                <c:pt idx="14">
                  <c:v>2.5798964976260719E-2</c:v>
                </c:pt>
                <c:pt idx="15">
                  <c:v>2.5473671054940524E-2</c:v>
                </c:pt>
                <c:pt idx="16">
                  <c:v>2.5140763201003325E-2</c:v>
                </c:pt>
                <c:pt idx="17">
                  <c:v>2.4821205687445374E-2</c:v>
                </c:pt>
                <c:pt idx="18">
                  <c:v>2.4565780381270132E-2</c:v>
                </c:pt>
                <c:pt idx="19">
                  <c:v>2.4342050213260365E-2</c:v>
                </c:pt>
                <c:pt idx="20">
                  <c:v>2.4138757431482454E-2</c:v>
                </c:pt>
                <c:pt idx="21">
                  <c:v>2.3935587665463724E-2</c:v>
                </c:pt>
                <c:pt idx="22">
                  <c:v>2.3722966132647325E-2</c:v>
                </c:pt>
                <c:pt idx="23">
                  <c:v>2.3550260452896928E-2</c:v>
                </c:pt>
                <c:pt idx="24">
                  <c:v>2.3409820215809223E-2</c:v>
                </c:pt>
                <c:pt idx="25">
                  <c:v>2.3337276087545496E-2</c:v>
                </c:pt>
                <c:pt idx="26">
                  <c:v>2.3272084878915959E-2</c:v>
                </c:pt>
                <c:pt idx="27">
                  <c:v>2.3148591868682761E-2</c:v>
                </c:pt>
                <c:pt idx="28">
                  <c:v>2.3027462552644342E-2</c:v>
                </c:pt>
                <c:pt idx="29">
                  <c:v>2.2903817213092974E-2</c:v>
                </c:pt>
                <c:pt idx="30">
                  <c:v>2.2772951766087953E-2</c:v>
                </c:pt>
                <c:pt idx="31">
                  <c:v>2.263602133169702E-2</c:v>
                </c:pt>
                <c:pt idx="32">
                  <c:v>2.249704549340668E-2</c:v>
                </c:pt>
                <c:pt idx="33">
                  <c:v>2.2367252973856222E-2</c:v>
                </c:pt>
                <c:pt idx="34">
                  <c:v>2.2248143094602581E-2</c:v>
                </c:pt>
                <c:pt idx="35">
                  <c:v>2.2137660590246137E-2</c:v>
                </c:pt>
                <c:pt idx="36">
                  <c:v>2.2036342779413388E-2</c:v>
                </c:pt>
                <c:pt idx="37">
                  <c:v>2.194753039522971E-2</c:v>
                </c:pt>
                <c:pt idx="38">
                  <c:v>2.1858396378026827E-2</c:v>
                </c:pt>
                <c:pt idx="39">
                  <c:v>2.1789708301102603E-2</c:v>
                </c:pt>
                <c:pt idx="40">
                  <c:v>2.1701006283321164E-2</c:v>
                </c:pt>
                <c:pt idx="41">
                  <c:v>2.1627857678596572E-2</c:v>
                </c:pt>
                <c:pt idx="42">
                  <c:v>2.1523947242294221E-2</c:v>
                </c:pt>
                <c:pt idx="43">
                  <c:v>2.142712434341143E-2</c:v>
                </c:pt>
                <c:pt idx="44">
                  <c:v>2.1330473023583811E-2</c:v>
                </c:pt>
                <c:pt idx="45">
                  <c:v>2.1236039592059133E-2</c:v>
                </c:pt>
                <c:pt idx="46">
                  <c:v>2.1165374417400015E-2</c:v>
                </c:pt>
                <c:pt idx="47">
                  <c:v>2.1093122535358579E-2</c:v>
                </c:pt>
                <c:pt idx="48">
                  <c:v>2.1027997214710426E-2</c:v>
                </c:pt>
                <c:pt idx="49">
                  <c:v>2.0976279799495481E-2</c:v>
                </c:pt>
                <c:pt idx="50">
                  <c:v>2.0935489074990026E-2</c:v>
                </c:pt>
                <c:pt idx="51">
                  <c:v>2.0923358325687078E-2</c:v>
                </c:pt>
                <c:pt idx="52">
                  <c:v>2.0915902908221397E-2</c:v>
                </c:pt>
                <c:pt idx="53">
                  <c:v>2.0916768113663248E-2</c:v>
                </c:pt>
                <c:pt idx="54">
                  <c:v>2.092325073913065E-2</c:v>
                </c:pt>
                <c:pt idx="55">
                  <c:v>2.0946270837296471E-2</c:v>
                </c:pt>
                <c:pt idx="56">
                  <c:v>2.0967368882543247E-2</c:v>
                </c:pt>
                <c:pt idx="57">
                  <c:v>2.1006942134635786E-2</c:v>
                </c:pt>
                <c:pt idx="58">
                  <c:v>2.1048426872647227E-2</c:v>
                </c:pt>
                <c:pt idx="59">
                  <c:v>2.1098041649327916E-2</c:v>
                </c:pt>
                <c:pt idx="60">
                  <c:v>2.1158617281832846E-2</c:v>
                </c:pt>
                <c:pt idx="61">
                  <c:v>2.1222033955695659E-2</c:v>
                </c:pt>
                <c:pt idx="62">
                  <c:v>2.1286550300041087E-2</c:v>
                </c:pt>
                <c:pt idx="63">
                  <c:v>2.1343757159845947E-2</c:v>
                </c:pt>
                <c:pt idx="64">
                  <c:v>2.1405886369529652E-2</c:v>
                </c:pt>
                <c:pt idx="65">
                  <c:v>2.1468929377870202E-2</c:v>
                </c:pt>
                <c:pt idx="66">
                  <c:v>2.1537149122024951E-2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C5-4D32-98E5-1508D1380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738079"/>
        <c:axId val="1373773886"/>
      </c:lineChart>
      <c:catAx>
        <c:axId val="121173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3773886"/>
        <c:crosses val="autoZero"/>
        <c:auto val="1"/>
        <c:lblAlgn val="ctr"/>
        <c:lblOffset val="100"/>
        <c:noMultiLvlLbl val="1"/>
      </c:catAx>
      <c:valAx>
        <c:axId val="1373773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17380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Population'!$FL$1:$FL$67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1.3016240260895397E-2</c:v>
                </c:pt>
                <c:pt idx="2">
                  <c:v>1.374136994043058E-2</c:v>
                </c:pt>
                <c:pt idx="3">
                  <c:v>1.2408477064180872E-2</c:v>
                </c:pt>
                <c:pt idx="4">
                  <c:v>1.5776834168327463E-2</c:v>
                </c:pt>
                <c:pt idx="5">
                  <c:v>1.6159252485799379E-2</c:v>
                </c:pt>
                <c:pt idx="6">
                  <c:v>1.8324880745943559E-2</c:v>
                </c:pt>
                <c:pt idx="7">
                  <c:v>1.9363581955875696E-2</c:v>
                </c:pt>
                <c:pt idx="8">
                  <c:v>2.2375388032503312E-2</c:v>
                </c:pt>
                <c:pt idx="9">
                  <c:v>2.4023967412012254E-2</c:v>
                </c:pt>
                <c:pt idx="10">
                  <c:v>2.5225283745210957E-2</c:v>
                </c:pt>
                <c:pt idx="11">
                  <c:v>2.5853350560201584E-2</c:v>
                </c:pt>
                <c:pt idx="12">
                  <c:v>2.6040252768717742E-2</c:v>
                </c:pt>
                <c:pt idx="13">
                  <c:v>2.5475516852751214E-2</c:v>
                </c:pt>
                <c:pt idx="14">
                  <c:v>2.4578463197144514E-2</c:v>
                </c:pt>
                <c:pt idx="15">
                  <c:v>2.5327412923814435E-2</c:v>
                </c:pt>
                <c:pt idx="16">
                  <c:v>2.4907156674382331E-2</c:v>
                </c:pt>
                <c:pt idx="17">
                  <c:v>2.2493482500474286E-2</c:v>
                </c:pt>
                <c:pt idx="18">
                  <c:v>2.1348597156131195E-2</c:v>
                </c:pt>
                <c:pt idx="19">
                  <c:v>2.0861480803976363E-2</c:v>
                </c:pt>
                <c:pt idx="20">
                  <c:v>2.1352299319046839E-2</c:v>
                </c:pt>
                <c:pt idx="21">
                  <c:v>2.2156175052909555E-2</c:v>
                </c:pt>
                <c:pt idx="22">
                  <c:v>2.0581284193899645E-2</c:v>
                </c:pt>
                <c:pt idx="23">
                  <c:v>1.904505674760959E-2</c:v>
                </c:pt>
                <c:pt idx="24">
                  <c:v>1.66345788696463E-2</c:v>
                </c:pt>
                <c:pt idx="25">
                  <c:v>1.6925975325979625E-2</c:v>
                </c:pt>
                <c:pt idx="26">
                  <c:v>1.9628368796481676E-2</c:v>
                </c:pt>
                <c:pt idx="27">
                  <c:v>2.0118805823039994E-2</c:v>
                </c:pt>
                <c:pt idx="28">
                  <c:v>2.06393305481361E-2</c:v>
                </c:pt>
                <c:pt idx="29">
                  <c:v>2.1070139075661218E-2</c:v>
                </c:pt>
                <c:pt idx="30">
                  <c:v>2.1691251326077621E-2</c:v>
                </c:pt>
                <c:pt idx="31">
                  <c:v>2.2114370823645983E-2</c:v>
                </c:pt>
                <c:pt idx="32">
                  <c:v>2.190635415839479E-2</c:v>
                </c:pt>
                <c:pt idx="33">
                  <c:v>2.1811345520022271E-2</c:v>
                </c:pt>
                <c:pt idx="34">
                  <c:v>2.1951590404501158E-2</c:v>
                </c:pt>
                <c:pt idx="35">
                  <c:v>2.1678177730144788E-2</c:v>
                </c:pt>
                <c:pt idx="36">
                  <c:v>2.1177630168908276E-2</c:v>
                </c:pt>
                <c:pt idx="37">
                  <c:v>2.1235347061920724E-2</c:v>
                </c:pt>
                <c:pt idx="38">
                  <c:v>2.0246746299578244E-2</c:v>
                </c:pt>
                <c:pt idx="39">
                  <c:v>2.1272949178531831E-2</c:v>
                </c:pt>
                <c:pt idx="40">
                  <c:v>2.0447505842809542E-2</c:v>
                </c:pt>
                <c:pt idx="41">
                  <c:v>2.1867685256607199E-2</c:v>
                </c:pt>
                <c:pt idx="42">
                  <c:v>2.2450460766249257E-2</c:v>
                </c:pt>
                <c:pt idx="43">
                  <c:v>2.2239754435358798E-2</c:v>
                </c:pt>
                <c:pt idx="44">
                  <c:v>2.2149384308593943E-2</c:v>
                </c:pt>
                <c:pt idx="45">
                  <c:v>2.1770509765975613E-2</c:v>
                </c:pt>
                <c:pt idx="46">
                  <c:v>2.1376686241574946E-2</c:v>
                </c:pt>
                <c:pt idx="47">
                  <c:v>2.1248784719713771E-2</c:v>
                </c:pt>
                <c:pt idx="48">
                  <c:v>2.081439775823863E-2</c:v>
                </c:pt>
                <c:pt idx="49">
                  <c:v>2.0423304906810085E-2</c:v>
                </c:pt>
                <c:pt idx="50">
                  <c:v>2.003534487249092E-2</c:v>
                </c:pt>
                <c:pt idx="51">
                  <c:v>1.9891020631369521E-2</c:v>
                </c:pt>
                <c:pt idx="52">
                  <c:v>1.9808480981413207E-2</c:v>
                </c:pt>
                <c:pt idx="53">
                  <c:v>1.965039799606531E-2</c:v>
                </c:pt>
                <c:pt idx="54">
                  <c:v>1.9235863649802953E-2</c:v>
                </c:pt>
                <c:pt idx="55">
                  <c:v>1.8892499967734819E-2</c:v>
                </c:pt>
                <c:pt idx="56">
                  <c:v>1.8323045603010554E-2</c:v>
                </c:pt>
                <c:pt idx="57">
                  <c:v>1.8229029190388452E-2</c:v>
                </c:pt>
                <c:pt idx="58">
                  <c:v>1.7893489147713038E-2</c:v>
                </c:pt>
                <c:pt idx="59">
                  <c:v>1.7462623103743777E-2</c:v>
                </c:pt>
                <c:pt idx="60">
                  <c:v>1.7103217044770247E-2</c:v>
                </c:pt>
                <c:pt idx="61">
                  <c:v>1.6936573227091929E-2</c:v>
                </c:pt>
                <c:pt idx="62">
                  <c:v>1.6827057278964268E-2</c:v>
                </c:pt>
                <c:pt idx="63">
                  <c:v>1.6404071786542133E-2</c:v>
                </c:pt>
                <c:pt idx="64">
                  <c:v>1.606533993693712E-2</c:v>
                </c:pt>
                <c:pt idx="65">
                  <c:v>1.5516956301015678E-2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31-4FAE-9C28-3B4034256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261861"/>
        <c:axId val="1422625110"/>
      </c:lineChart>
      <c:catAx>
        <c:axId val="1606261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2625110"/>
        <c:crosses val="autoZero"/>
        <c:auto val="1"/>
        <c:lblAlgn val="ctr"/>
        <c:lblOffset val="100"/>
        <c:noMultiLvlLbl val="1"/>
      </c:catAx>
      <c:valAx>
        <c:axId val="1422625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62618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Population'!$FK$1</c:f>
              <c:strCache>
                <c:ptCount val="1"/>
                <c:pt idx="0">
                  <c:v>North Massiran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Population'!$FK$2:$FK$67</c:f>
              <c:numCache>
                <c:formatCode>#,###</c:formatCode>
                <c:ptCount val="66"/>
                <c:pt idx="0">
                  <c:v>197724533.52886093</c:v>
                </c:pt>
                <c:pt idx="1">
                  <c:v>195183972.05353621</c:v>
                </c:pt>
                <c:pt idx="2">
                  <c:v>192538232.96666446</c:v>
                </c:pt>
                <c:pt idx="3">
                  <c:v>190178408.54611754</c:v>
                </c:pt>
                <c:pt idx="4">
                  <c:v>187224597.12504381</c:v>
                </c:pt>
                <c:pt idx="5">
                  <c:v>184247298.50861663</c:v>
                </c:pt>
                <c:pt idx="6">
                  <c:v>180931745.84289029</c:v>
                </c:pt>
                <c:pt idx="7">
                  <c:v>177494810.53240347</c:v>
                </c:pt>
                <c:pt idx="8">
                  <c:v>173610214.61400884</c:v>
                </c:pt>
                <c:pt idx="9">
                  <c:v>169537257.07491904</c:v>
                </c:pt>
                <c:pt idx="10">
                  <c:v>165365856.42483282</c:v>
                </c:pt>
                <c:pt idx="11">
                  <c:v>161198339.25046816</c:v>
                </c:pt>
                <c:pt idx="12">
                  <c:v>157107227.33877409</c:v>
                </c:pt>
                <c:pt idx="13">
                  <c:v>153204269.39196563</c:v>
                </c:pt>
                <c:pt idx="14">
                  <c:v>149529074.53656557</c:v>
                </c:pt>
                <c:pt idx="15">
                  <c:v>145835440.12557882</c:v>
                </c:pt>
                <c:pt idx="16">
                  <c:v>142291366.76026881</c:v>
                </c:pt>
                <c:pt idx="17">
                  <c:v>139161147.91489911</c:v>
                </c:pt>
                <c:pt idx="18">
                  <c:v>136252351.35426134</c:v>
                </c:pt>
                <c:pt idx="19">
                  <c:v>133468011.00474103</c:v>
                </c:pt>
                <c:pt idx="20">
                  <c:v>130677740.76949398</c:v>
                </c:pt>
                <c:pt idx="21">
                  <c:v>127845180.56913343</c:v>
                </c:pt>
                <c:pt idx="22">
                  <c:v>125267024.34104621</c:v>
                </c:pt>
                <c:pt idx="23">
                  <c:v>122925893.71940944</c:v>
                </c:pt>
                <c:pt idx="24">
                  <c:v>120914531.41018046</c:v>
                </c:pt>
                <c:pt idx="25">
                  <c:v>118901999.1070843</c:v>
                </c:pt>
                <c:pt idx="26">
                  <c:v>116613074.67095122</c:v>
                </c:pt>
                <c:pt idx="27">
                  <c:v>114313229.01342541</c:v>
                </c:pt>
                <c:pt idx="28">
                  <c:v>112001591.15172771</c:v>
                </c:pt>
                <c:pt idx="29">
                  <c:v>109690399.18562186</c:v>
                </c:pt>
                <c:pt idx="30">
                  <c:v>107361591.91267622</c:v>
                </c:pt>
                <c:pt idx="31">
                  <c:v>105038726.56262673</c:v>
                </c:pt>
                <c:pt idx="32">
                  <c:v>102787037.32019833</c:v>
                </c:pt>
                <c:pt idx="33">
                  <c:v>100592969.30969948</c:v>
                </c:pt>
                <c:pt idx="34">
                  <c:v>98432225.414790466</c:v>
                </c:pt>
                <c:pt idx="35">
                  <c:v>96343670.208829015</c:v>
                </c:pt>
                <c:pt idx="36">
                  <c:v>94345652.864422083</c:v>
                </c:pt>
                <c:pt idx="37">
                  <c:v>92383849.752021566</c:v>
                </c:pt>
                <c:pt idx="38">
                  <c:v>90550496.815693453</c:v>
                </c:pt>
                <c:pt idx="39">
                  <c:v>88664344.716589615</c:v>
                </c:pt>
                <c:pt idx="40">
                  <c:v>86887707.803607032</c:v>
                </c:pt>
                <c:pt idx="41">
                  <c:v>85028334.937304676</c:v>
                </c:pt>
                <c:pt idx="42">
                  <c:v>83161324.875908777</c:v>
                </c:pt>
                <c:pt idx="43">
                  <c:v>81352074.711517662</c:v>
                </c:pt>
                <c:pt idx="44">
                  <c:v>79589222.436939716</c:v>
                </c:pt>
                <c:pt idx="45">
                  <c:v>77893442.486580163</c:v>
                </c:pt>
                <c:pt idx="46">
                  <c:v>76263188.239795879</c:v>
                </c:pt>
                <c:pt idx="47">
                  <c:v>74676405.378270924</c:v>
                </c:pt>
                <c:pt idx="48">
                  <c:v>73153754.0440889</c:v>
                </c:pt>
                <c:pt idx="49">
                  <c:v>71689615.17472364</c:v>
                </c:pt>
                <c:pt idx="50">
                  <c:v>70281501.062774613</c:v>
                </c:pt>
                <c:pt idx="51">
                  <c:v>68910795.017360225</c:v>
                </c:pt>
                <c:pt idx="52">
                  <c:v>67572290.584447667</c:v>
                </c:pt>
                <c:pt idx="53">
                  <c:v>66270057.577821314</c:v>
                </c:pt>
                <c:pt idx="54">
                  <c:v>65019354.146854177</c:v>
                </c:pt>
                <c:pt idx="55">
                  <c:v>63813752.823691547</c:v>
                </c:pt>
                <c:pt idx="56">
                  <c:v>62665529.469485365</c:v>
                </c:pt>
                <c:pt idx="57">
                  <c:v>61543648.504415371</c:v>
                </c:pt>
                <c:pt idx="58">
                  <c:v>60461776.365173683</c:v>
                </c:pt>
                <c:pt idx="59">
                  <c:v>59424076.120591611</c:v>
                </c:pt>
                <c:pt idx="60">
                  <c:v>58424823.680383578</c:v>
                </c:pt>
                <c:pt idx="61">
                  <c:v>57451787.278120384</c:v>
                </c:pt>
                <c:pt idx="62">
                  <c:v>56501041.024480343</c:v>
                </c:pt>
                <c:pt idx="63">
                  <c:v>55589152.575085595</c:v>
                </c:pt>
                <c:pt idx="64">
                  <c:v>54710214.382999994</c:v>
                </c:pt>
                <c:pt idx="65">
                  <c:v>53874250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F-47C9-B5E8-206937546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172690"/>
        <c:axId val="1690741182"/>
      </c:lineChart>
      <c:catAx>
        <c:axId val="347172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0741182"/>
        <c:crosses val="autoZero"/>
        <c:auto val="1"/>
        <c:lblAlgn val="ctr"/>
        <c:lblOffset val="100"/>
        <c:noMultiLvlLbl val="1"/>
      </c:catAx>
      <c:valAx>
        <c:axId val="1690741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1726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Population'!$FX$1:$FX$67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2.2948058402240127E-2</c:v>
                </c:pt>
                <c:pt idx="2">
                  <c:v>2.2587116768245975E-2</c:v>
                </c:pt>
                <c:pt idx="3">
                  <c:v>2.2252582686506543E-2</c:v>
                </c:pt>
                <c:pt idx="4">
                  <c:v>2.1935882694092409E-2</c:v>
                </c:pt>
                <c:pt idx="5">
                  <c:v>2.1641697356193441E-2</c:v>
                </c:pt>
                <c:pt idx="6">
                  <c:v>2.1366447572754164E-2</c:v>
                </c:pt>
                <c:pt idx="7">
                  <c:v>2.1116208728930629E-2</c:v>
                </c:pt>
                <c:pt idx="8">
                  <c:v>2.0871369259779417E-2</c:v>
                </c:pt>
                <c:pt idx="9">
                  <c:v>2.0673405517178649E-2</c:v>
                </c:pt>
                <c:pt idx="10">
                  <c:v>2.0476075615699956E-2</c:v>
                </c:pt>
                <c:pt idx="11">
                  <c:v>2.0284451122344921E-2</c:v>
                </c:pt>
                <c:pt idx="12">
                  <c:v>2.0094778880060681E-2</c:v>
                </c:pt>
                <c:pt idx="13">
                  <c:v>1.9904405023208695E-2</c:v>
                </c:pt>
                <c:pt idx="14">
                  <c:v>1.9710936305285014E-2</c:v>
                </c:pt>
                <c:pt idx="15">
                  <c:v>1.9505258692382788E-2</c:v>
                </c:pt>
                <c:pt idx="16">
                  <c:v>1.9295376025842876E-2</c:v>
                </c:pt>
                <c:pt idx="17">
                  <c:v>1.9085084586082379E-2</c:v>
                </c:pt>
                <c:pt idx="18">
                  <c:v>1.887505639147579E-2</c:v>
                </c:pt>
                <c:pt idx="19">
                  <c:v>1.8659298885657368E-2</c:v>
                </c:pt>
                <c:pt idx="20">
                  <c:v>1.8427886103565758E-2</c:v>
                </c:pt>
                <c:pt idx="21">
                  <c:v>1.8200453542041483E-2</c:v>
                </c:pt>
                <c:pt idx="22">
                  <c:v>1.7971481231244625E-2</c:v>
                </c:pt>
                <c:pt idx="23">
                  <c:v>1.7738933235416785E-2</c:v>
                </c:pt>
                <c:pt idx="24">
                  <c:v>1.7491443225539909E-2</c:v>
                </c:pt>
                <c:pt idx="25">
                  <c:v>1.7226682701127767E-2</c:v>
                </c:pt>
                <c:pt idx="26">
                  <c:v>1.6907796058046941E-2</c:v>
                </c:pt>
                <c:pt idx="27">
                  <c:v>1.6683907712129097E-2</c:v>
                </c:pt>
                <c:pt idx="28">
                  <c:v>1.6517402719180684E-2</c:v>
                </c:pt>
                <c:pt idx="29">
                  <c:v>1.6356126206240513E-2</c:v>
                </c:pt>
                <c:pt idx="30">
                  <c:v>1.6188731927017624E-2</c:v>
                </c:pt>
                <c:pt idx="31">
                  <c:v>1.602427285710958E-2</c:v>
                </c:pt>
                <c:pt idx="32">
                  <c:v>1.5859680413310633E-2</c:v>
                </c:pt>
                <c:pt idx="33">
                  <c:v>1.571833182461E-2</c:v>
                </c:pt>
                <c:pt idx="34">
                  <c:v>1.5584093197710978E-2</c:v>
                </c:pt>
                <c:pt idx="35">
                  <c:v>1.5458453249149785E-2</c:v>
                </c:pt>
                <c:pt idx="36">
                  <c:v>1.5330610428290608E-2</c:v>
                </c:pt>
                <c:pt idx="37">
                  <c:v>1.519349650263007E-2</c:v>
                </c:pt>
                <c:pt idx="38">
                  <c:v>1.5049290392294403E-2</c:v>
                </c:pt>
                <c:pt idx="39">
                  <c:v>1.4916633692831364E-2</c:v>
                </c:pt>
                <c:pt idx="40">
                  <c:v>1.4788959648009019E-2</c:v>
                </c:pt>
                <c:pt idx="41">
                  <c:v>1.4668754172147715E-2</c:v>
                </c:pt>
                <c:pt idx="42">
                  <c:v>1.4550929145088827E-2</c:v>
                </c:pt>
                <c:pt idx="43">
                  <c:v>1.4439120547869956E-2</c:v>
                </c:pt>
                <c:pt idx="44">
                  <c:v>1.431749167990495E-2</c:v>
                </c:pt>
                <c:pt idx="45">
                  <c:v>1.4249049611675304E-2</c:v>
                </c:pt>
                <c:pt idx="46">
                  <c:v>1.4176143193912688E-2</c:v>
                </c:pt>
                <c:pt idx="47">
                  <c:v>1.4078712855460349E-2</c:v>
                </c:pt>
                <c:pt idx="48">
                  <c:v>1.399495384262121E-2</c:v>
                </c:pt>
                <c:pt idx="49">
                  <c:v>1.3926036185897278E-2</c:v>
                </c:pt>
                <c:pt idx="50">
                  <c:v>1.3790879886300041E-2</c:v>
                </c:pt>
                <c:pt idx="51">
                  <c:v>1.3729009155123859E-2</c:v>
                </c:pt>
                <c:pt idx="52">
                  <c:v>1.3641145765676824E-2</c:v>
                </c:pt>
                <c:pt idx="53">
                  <c:v>1.3547134477410655E-2</c:v>
                </c:pt>
                <c:pt idx="54">
                  <c:v>1.3466215202850499E-2</c:v>
                </c:pt>
                <c:pt idx="55">
                  <c:v>1.3358436941921075E-2</c:v>
                </c:pt>
                <c:pt idx="56">
                  <c:v>1.3296039355157755E-2</c:v>
                </c:pt>
                <c:pt idx="57">
                  <c:v>1.323525521015214E-2</c:v>
                </c:pt>
                <c:pt idx="58">
                  <c:v>1.3192625935083472E-2</c:v>
                </c:pt>
                <c:pt idx="59">
                  <c:v>1.3140936345267876E-2</c:v>
                </c:pt>
                <c:pt idx="60">
                  <c:v>1.3028576407998673E-2</c:v>
                </c:pt>
                <c:pt idx="61">
                  <c:v>1.2940543715252996E-2</c:v>
                </c:pt>
                <c:pt idx="62">
                  <c:v>1.2883124512113093E-2</c:v>
                </c:pt>
                <c:pt idx="63">
                  <c:v>1.2849563551696643E-2</c:v>
                </c:pt>
                <c:pt idx="64">
                  <c:v>1.2828137992303283E-2</c:v>
                </c:pt>
                <c:pt idx="65">
                  <c:v>1.2773906679466819E-2</c:v>
                </c:pt>
                <c:pt idx="66">
                  <c:v>1.2700998431641363E-2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C-4B58-9745-CFC8F943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50814"/>
        <c:axId val="1999759843"/>
      </c:lineChart>
      <c:catAx>
        <c:axId val="1861350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9759843"/>
        <c:crosses val="autoZero"/>
        <c:auto val="1"/>
        <c:lblAlgn val="ctr"/>
        <c:lblOffset val="100"/>
        <c:noMultiLvlLbl val="1"/>
      </c:catAx>
      <c:valAx>
        <c:axId val="1999759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13508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Population'!$FW$1:$FW$67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2.5730360016975824E-2</c:v>
                </c:pt>
                <c:pt idx="2">
                  <c:v>2.4955511150934799E-2</c:v>
                </c:pt>
                <c:pt idx="3">
                  <c:v>2.4345645338146458E-2</c:v>
                </c:pt>
                <c:pt idx="4">
                  <c:v>2.3709831473032822E-2</c:v>
                </c:pt>
                <c:pt idx="5">
                  <c:v>2.3028458311882022E-2</c:v>
                </c:pt>
                <c:pt idx="6">
                  <c:v>2.2328115653656205E-2</c:v>
                </c:pt>
                <c:pt idx="7">
                  <c:v>2.2700081203502909E-2</c:v>
                </c:pt>
                <c:pt idx="8">
                  <c:v>2.117878442214146E-2</c:v>
                </c:pt>
                <c:pt idx="9">
                  <c:v>2.0862542805422619E-2</c:v>
                </c:pt>
                <c:pt idx="10">
                  <c:v>2.0829154582257255E-2</c:v>
                </c:pt>
                <c:pt idx="11">
                  <c:v>2.0783033595436481E-2</c:v>
                </c:pt>
                <c:pt idx="12">
                  <c:v>2.1007042740113183E-2</c:v>
                </c:pt>
                <c:pt idx="13">
                  <c:v>2.1372880531513615E-2</c:v>
                </c:pt>
                <c:pt idx="14">
                  <c:v>2.2327436196397904E-2</c:v>
                </c:pt>
                <c:pt idx="15">
                  <c:v>2.2934810558679682E-2</c:v>
                </c:pt>
                <c:pt idx="16">
                  <c:v>2.3029363152892876E-2</c:v>
                </c:pt>
                <c:pt idx="17">
                  <c:v>2.3231900117321118E-2</c:v>
                </c:pt>
                <c:pt idx="18">
                  <c:v>2.3749074750118861E-2</c:v>
                </c:pt>
                <c:pt idx="19">
                  <c:v>2.504840888952356E-2</c:v>
                </c:pt>
                <c:pt idx="20">
                  <c:v>2.5411217377363113E-2</c:v>
                </c:pt>
                <c:pt idx="21">
                  <c:v>2.5983762390709316E-2</c:v>
                </c:pt>
                <c:pt idx="22">
                  <c:v>2.6433221665729121E-2</c:v>
                </c:pt>
                <c:pt idx="23">
                  <c:v>2.7300749236017361E-2</c:v>
                </c:pt>
                <c:pt idx="24">
                  <c:v>2.9060606449285944E-2</c:v>
                </c:pt>
                <c:pt idx="25">
                  <c:v>3.3211241143032574E-2</c:v>
                </c:pt>
                <c:pt idx="26">
                  <c:v>2.7827936824660317E-2</c:v>
                </c:pt>
                <c:pt idx="27">
                  <c:v>2.5010423358067815E-2</c:v>
                </c:pt>
                <c:pt idx="28">
                  <c:v>2.516882032428187E-2</c:v>
                </c:pt>
                <c:pt idx="29">
                  <c:v>2.5733770629339115E-2</c:v>
                </c:pt>
                <c:pt idx="30">
                  <c:v>2.5970663875321737E-2</c:v>
                </c:pt>
                <c:pt idx="31">
                  <c:v>2.6381430828955998E-2</c:v>
                </c:pt>
                <c:pt idx="32">
                  <c:v>2.5147227637700682E-2</c:v>
                </c:pt>
                <c:pt idx="33">
                  <c:v>2.5124837376844126E-2</c:v>
                </c:pt>
                <c:pt idx="34">
                  <c:v>2.5141415467858065E-2</c:v>
                </c:pt>
                <c:pt idx="35">
                  <c:v>2.5483084505277732E-2</c:v>
                </c:pt>
                <c:pt idx="36">
                  <c:v>2.6240500452682815E-2</c:v>
                </c:pt>
                <c:pt idx="37">
                  <c:v>2.6833866665566922E-2</c:v>
                </c:pt>
                <c:pt idx="38">
                  <c:v>2.6085463928314321E-2</c:v>
                </c:pt>
                <c:pt idx="39">
                  <c:v>2.5896353201178082E-2</c:v>
                </c:pt>
                <c:pt idx="40">
                  <c:v>2.5341870346031695E-2</c:v>
                </c:pt>
                <c:pt idx="41">
                  <c:v>2.519289082062701E-2</c:v>
                </c:pt>
                <c:pt idx="42">
                  <c:v>2.5732768081932762E-2</c:v>
                </c:pt>
                <c:pt idx="43">
                  <c:v>2.6273620420430074E-2</c:v>
                </c:pt>
                <c:pt idx="44">
                  <c:v>2.2512090913461475E-2</c:v>
                </c:pt>
                <c:pt idx="45">
                  <c:v>2.3607832472795277E-2</c:v>
                </c:pt>
                <c:pt idx="46">
                  <c:v>2.4934237031888757E-2</c:v>
                </c:pt>
                <c:pt idx="47">
                  <c:v>2.4188909716936487E-2</c:v>
                </c:pt>
                <c:pt idx="48">
                  <c:v>2.3343167917171972E-2</c:v>
                </c:pt>
                <c:pt idx="49">
                  <c:v>2.8420098745081831E-2</c:v>
                </c:pt>
                <c:pt idx="50">
                  <c:v>2.4038497365184333E-2</c:v>
                </c:pt>
                <c:pt idx="51">
                  <c:v>2.6094447620365821E-2</c:v>
                </c:pt>
                <c:pt idx="52">
                  <c:v>2.6927991399285107E-2</c:v>
                </c:pt>
                <c:pt idx="53">
                  <c:v>2.6095450771686537E-2</c:v>
                </c:pt>
                <c:pt idx="54">
                  <c:v>2.8589668321057488E-2</c:v>
                </c:pt>
                <c:pt idx="55">
                  <c:v>2.4705198379635494E-2</c:v>
                </c:pt>
                <c:pt idx="56">
                  <c:v>2.4930571728807114E-2</c:v>
                </c:pt>
                <c:pt idx="57">
                  <c:v>2.3536535536462486E-2</c:v>
                </c:pt>
                <c:pt idx="58">
                  <c:v>2.4306139756282347E-2</c:v>
                </c:pt>
                <c:pt idx="59">
                  <c:v>2.9183818320280053E-2</c:v>
                </c:pt>
                <c:pt idx="60">
                  <c:v>2.709162991689985E-2</c:v>
                </c:pt>
                <c:pt idx="61">
                  <c:v>2.4574321092040771E-2</c:v>
                </c:pt>
                <c:pt idx="62">
                  <c:v>2.2222667909041347E-2</c:v>
                </c:pt>
                <c:pt idx="63">
                  <c:v>2.1065246396025458E-2</c:v>
                </c:pt>
                <c:pt idx="64">
                  <c:v>2.3384164473413946E-2</c:v>
                </c:pt>
                <c:pt idx="65">
                  <c:v>2.4591818576689479E-2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2-4A6A-B414-075E03817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492347"/>
        <c:axId val="1399905797"/>
      </c:lineChart>
      <c:catAx>
        <c:axId val="1442492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9905797"/>
        <c:crosses val="autoZero"/>
        <c:auto val="1"/>
        <c:lblAlgn val="ctr"/>
        <c:lblOffset val="100"/>
        <c:noMultiLvlLbl val="1"/>
      </c:catAx>
      <c:valAx>
        <c:axId val="1399905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24923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Population'!$FV$1</c:f>
              <c:strCache>
                <c:ptCount val="1"/>
                <c:pt idx="0">
                  <c:v>South Massiran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Population'!$FV$2:$FV$67</c:f>
              <c:numCache>
                <c:formatCode>#,###</c:formatCode>
                <c:ptCount val="66"/>
                <c:pt idx="0">
                  <c:v>156362424.29524773</c:v>
                </c:pt>
                <c:pt idx="1">
                  <c:v>152440086.00141263</c:v>
                </c:pt>
                <c:pt idx="2">
                  <c:v>148728490.4983201</c:v>
                </c:pt>
                <c:pt idx="3">
                  <c:v>145193657.2144292</c:v>
                </c:pt>
                <c:pt idx="4">
                  <c:v>141830871.16151622</c:v>
                </c:pt>
                <c:pt idx="5">
                  <c:v>138638246.0909777</c:v>
                </c:pt>
                <c:pt idx="6">
                  <c:v>135610323.11268792</c:v>
                </c:pt>
                <c:pt idx="7">
                  <c:v>132600285.85614571</c:v>
                </c:pt>
                <c:pt idx="8">
                  <c:v>129850216.12173501</c:v>
                </c:pt>
                <c:pt idx="9">
                  <c:v>127196572.18972386</c:v>
                </c:pt>
                <c:pt idx="10">
                  <c:v>124601233.82915638</c:v>
                </c:pt>
                <c:pt idx="11">
                  <c:v>122064366.00957376</c:v>
                </c:pt>
                <c:pt idx="12">
                  <c:v>119552912.85943067</c:v>
                </c:pt>
                <c:pt idx="13">
                  <c:v>117051191.72267073</c:v>
                </c:pt>
                <c:pt idx="14">
                  <c:v>114494816.02309673</c:v>
                </c:pt>
                <c:pt idx="15">
                  <c:v>111927773.73620217</c:v>
                </c:pt>
                <c:pt idx="16">
                  <c:v>109408173.18405204</c:v>
                </c:pt>
                <c:pt idx="17">
                  <c:v>106924122.64659417</c:v>
                </c:pt>
                <c:pt idx="18">
                  <c:v>104443681.83941233</c:v>
                </c:pt>
                <c:pt idx="19">
                  <c:v>101891462.81643459</c:v>
                </c:pt>
                <c:pt idx="20">
                  <c:v>99366440.594473585</c:v>
                </c:pt>
                <c:pt idx="21">
                  <c:v>96849915.405029014</c:v>
                </c:pt>
                <c:pt idx="22">
                  <c:v>94355787.946787059</c:v>
                </c:pt>
                <c:pt idx="23">
                  <c:v>91848261.589371502</c:v>
                </c:pt>
                <c:pt idx="24">
                  <c:v>89254472.490486845</c:v>
                </c:pt>
                <c:pt idx="25">
                  <c:v>86385502.728121117</c:v>
                </c:pt>
                <c:pt idx="26">
                  <c:v>84046657.648747906</c:v>
                </c:pt>
                <c:pt idx="27">
                  <c:v>81995905.342503831</c:v>
                </c:pt>
                <c:pt idx="28">
                  <c:v>79982831.819413751</c:v>
                </c:pt>
                <c:pt idx="29">
                  <c:v>77976209.918817699</c:v>
                </c:pt>
                <c:pt idx="30">
                  <c:v>76002377.713495269</c:v>
                </c:pt>
                <c:pt idx="31">
                  <c:v>74048862.762561888</c:v>
                </c:pt>
                <c:pt idx="32">
                  <c:v>72232417.711548105</c:v>
                </c:pt>
                <c:pt idx="33">
                  <c:v>70462069.669857085</c:v>
                </c:pt>
                <c:pt idx="34">
                  <c:v>68733999.628431097</c:v>
                </c:pt>
                <c:pt idx="35">
                  <c:v>67025971.14177689</c:v>
                </c:pt>
                <c:pt idx="36">
                  <c:v>65312147.70047684</c:v>
                </c:pt>
                <c:pt idx="37">
                  <c:v>63605369.690975122</c:v>
                </c:pt>
                <c:pt idx="38">
                  <c:v>61988374.192014478</c:v>
                </c:pt>
                <c:pt idx="39">
                  <c:v>60423622.716454446</c:v>
                </c:pt>
                <c:pt idx="40">
                  <c:v>58930220.703912854</c:v>
                </c:pt>
                <c:pt idx="41">
                  <c:v>57482080.91527196</c:v>
                </c:pt>
                <c:pt idx="42">
                  <c:v>56040016.175714538</c:v>
                </c:pt>
                <c:pt idx="43">
                  <c:v>54605336.296919346</c:v>
                </c:pt>
                <c:pt idx="44">
                  <c:v>53403120.395513028</c:v>
                </c:pt>
                <c:pt idx="45">
                  <c:v>52171465.185552239</c:v>
                </c:pt>
                <c:pt idx="46">
                  <c:v>50902256.262446456</c:v>
                </c:pt>
                <c:pt idx="47">
                  <c:v>49700065.85651736</c:v>
                </c:pt>
                <c:pt idx="48">
                  <c:v>48566372.85972482</c:v>
                </c:pt>
                <c:pt idx="49">
                  <c:v>47224254.873069279</c:v>
                </c:pt>
                <c:pt idx="50">
                  <c:v>46115702.675803356</c:v>
                </c:pt>
                <c:pt idx="51">
                  <c:v>44942941.444377869</c:v>
                </c:pt>
                <c:pt idx="52">
                  <c:v>43764452.640091076</c:v>
                </c:pt>
                <c:pt idx="53">
                  <c:v>42651443.983283944</c:v>
                </c:pt>
                <c:pt idx="54">
                  <c:v>41465946.331060164</c:v>
                </c:pt>
                <c:pt idx="55">
                  <c:v>40466220.330130257</c:v>
                </c:pt>
                <c:pt idx="56">
                  <c:v>39481913.649891078</c:v>
                </c:pt>
                <c:pt idx="57">
                  <c:v>38574014.975633055</c:v>
                </c:pt>
                <c:pt idx="58">
                  <c:v>37658677.887854055</c:v>
                </c:pt>
                <c:pt idx="59">
                  <c:v>36590818.100226626</c:v>
                </c:pt>
                <c:pt idx="60">
                  <c:v>35625660.880117506</c:v>
                </c:pt>
                <c:pt idx="61">
                  <c:v>34771182.672376521</c:v>
                </c:pt>
                <c:pt idx="62">
                  <c:v>34015272.566300109</c:v>
                </c:pt>
                <c:pt idx="63">
                  <c:v>33313515.161113523</c:v>
                </c:pt>
                <c:pt idx="64">
                  <c:v>32552306.668000001</c:v>
                </c:pt>
                <c:pt idx="65">
                  <c:v>31771000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0-4134-A023-F25D5F72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723468"/>
        <c:axId val="1284668731"/>
      </c:lineChart>
      <c:catAx>
        <c:axId val="189072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668731"/>
        <c:crosses val="autoZero"/>
        <c:auto val="1"/>
        <c:lblAlgn val="ctr"/>
        <c:lblOffset val="100"/>
        <c:noMultiLvlLbl val="1"/>
      </c:catAx>
      <c:valAx>
        <c:axId val="1284668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07234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Population'!$GI$1:$GI$67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0.15190038804981057</c:v>
                </c:pt>
                <c:pt idx="2">
                  <c:v>0.15286149784137823</c:v>
                </c:pt>
                <c:pt idx="3">
                  <c:v>0.15387219975635116</c:v>
                </c:pt>
                <c:pt idx="4">
                  <c:v>0.15487409346713263</c:v>
                </c:pt>
                <c:pt idx="5">
                  <c:v>0.15591375110228414</c:v>
                </c:pt>
                <c:pt idx="6">
                  <c:v>0.15696480700476487</c:v>
                </c:pt>
                <c:pt idx="7">
                  <c:v>0.15808410678315962</c:v>
                </c:pt>
                <c:pt idx="8">
                  <c:v>0.15925260769775823</c:v>
                </c:pt>
                <c:pt idx="9">
                  <c:v>0.16051255655536534</c:v>
                </c:pt>
                <c:pt idx="10">
                  <c:v>0.16167561810745665</c:v>
                </c:pt>
                <c:pt idx="11">
                  <c:v>0.16286773022258144</c:v>
                </c:pt>
                <c:pt idx="12">
                  <c:v>0.16403590908341023</c:v>
                </c:pt>
                <c:pt idx="13">
                  <c:v>0.16518479646002518</c:v>
                </c:pt>
                <c:pt idx="14">
                  <c:v>0.16633755605114775</c:v>
                </c:pt>
                <c:pt idx="15">
                  <c:v>0.16749476189169293</c:v>
                </c:pt>
                <c:pt idx="16">
                  <c:v>0.16868498681883115</c:v>
                </c:pt>
                <c:pt idx="17">
                  <c:v>0.16985420832838011</c:v>
                </c:pt>
                <c:pt idx="18">
                  <c:v>0.1710137901321101</c:v>
                </c:pt>
                <c:pt idx="19">
                  <c:v>0.17214155832997208</c:v>
                </c:pt>
                <c:pt idx="20">
                  <c:v>0.17328162181055726</c:v>
                </c:pt>
                <c:pt idx="21">
                  <c:v>0.17443253384959376</c:v>
                </c:pt>
                <c:pt idx="22">
                  <c:v>0.17559569404015835</c:v>
                </c:pt>
                <c:pt idx="23">
                  <c:v>0.17668456085835538</c:v>
                </c:pt>
                <c:pt idx="24">
                  <c:v>0.17767705560462305</c:v>
                </c:pt>
                <c:pt idx="25">
                  <c:v>0.17872379524083393</c:v>
                </c:pt>
                <c:pt idx="26">
                  <c:v>0.17980183487008958</c:v>
                </c:pt>
                <c:pt idx="27">
                  <c:v>0.18082062796341866</c:v>
                </c:pt>
                <c:pt idx="28">
                  <c:v>0.18187405299737541</c:v>
                </c:pt>
                <c:pt idx="29">
                  <c:v>0.18292053286958582</c:v>
                </c:pt>
                <c:pt idx="30">
                  <c:v>0.18389385785026116</c:v>
                </c:pt>
                <c:pt idx="31">
                  <c:v>0.18482641706232425</c:v>
                </c:pt>
                <c:pt idx="32">
                  <c:v>0.18570979501539969</c:v>
                </c:pt>
                <c:pt idx="33">
                  <c:v>0.18652872588053762</c:v>
                </c:pt>
                <c:pt idx="34">
                  <c:v>0.18733484259565442</c:v>
                </c:pt>
                <c:pt idx="35">
                  <c:v>0.18818041554663281</c:v>
                </c:pt>
                <c:pt idx="36">
                  <c:v>0.18901850948630125</c:v>
                </c:pt>
                <c:pt idx="37">
                  <c:v>0.18985191857849215</c:v>
                </c:pt>
                <c:pt idx="38">
                  <c:v>0.19068836485872492</c:v>
                </c:pt>
                <c:pt idx="39">
                  <c:v>0.19151169616054423</c:v>
                </c:pt>
                <c:pt idx="40">
                  <c:v>0.19237430845230005</c:v>
                </c:pt>
                <c:pt idx="41">
                  <c:v>0.19323889818406009</c:v>
                </c:pt>
                <c:pt idx="42">
                  <c:v>0.19410774844326992</c:v>
                </c:pt>
                <c:pt idx="43">
                  <c:v>0.19516236385468105</c:v>
                </c:pt>
                <c:pt idx="44">
                  <c:v>0.19618026212150794</c:v>
                </c:pt>
                <c:pt idx="45">
                  <c:v>0.19720268189284101</c:v>
                </c:pt>
                <c:pt idx="46">
                  <c:v>0.1983880835460832</c:v>
                </c:pt>
                <c:pt idx="47">
                  <c:v>0.19948987755929493</c:v>
                </c:pt>
                <c:pt idx="48">
                  <c:v>0.20065581643016964</c:v>
                </c:pt>
                <c:pt idx="49">
                  <c:v>0.20185264967351735</c:v>
                </c:pt>
                <c:pt idx="50">
                  <c:v>0.20307348733463046</c:v>
                </c:pt>
                <c:pt idx="51">
                  <c:v>0.20449346898544649</c:v>
                </c:pt>
                <c:pt idx="52">
                  <c:v>0.20589200455324277</c:v>
                </c:pt>
                <c:pt idx="53">
                  <c:v>0.20727589069791369</c:v>
                </c:pt>
                <c:pt idx="54">
                  <c:v>0.20864970162834787</c:v>
                </c:pt>
                <c:pt idx="55">
                  <c:v>0.21005318355110358</c:v>
                </c:pt>
                <c:pt idx="56">
                  <c:v>0.21132818621964061</c:v>
                </c:pt>
                <c:pt idx="57">
                  <c:v>0.21263515756915305</c:v>
                </c:pt>
                <c:pt idx="58">
                  <c:v>0.21391413250649036</c:v>
                </c:pt>
                <c:pt idx="59">
                  <c:v>0.21517650655684198</c:v>
                </c:pt>
                <c:pt idx="60">
                  <c:v>0.21641411313839595</c:v>
                </c:pt>
                <c:pt idx="61">
                  <c:v>0.21755960379589909</c:v>
                </c:pt>
                <c:pt idx="62">
                  <c:v>0.21864250084821918</c:v>
                </c:pt>
                <c:pt idx="63">
                  <c:v>0.21960923376929803</c:v>
                </c:pt>
                <c:pt idx="64">
                  <c:v>0.22052695828704294</c:v>
                </c:pt>
                <c:pt idx="65">
                  <c:v>0.22139542236208748</c:v>
                </c:pt>
                <c:pt idx="66">
                  <c:v>0.22218640823826469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E6-471D-97BB-49F1A6A22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922322"/>
        <c:axId val="1869222395"/>
      </c:lineChart>
      <c:catAx>
        <c:axId val="1680922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222395"/>
        <c:crosses val="autoZero"/>
        <c:auto val="1"/>
        <c:lblAlgn val="ctr"/>
        <c:lblOffset val="100"/>
        <c:noMultiLvlLbl val="1"/>
      </c:catAx>
      <c:valAx>
        <c:axId val="1869222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09223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Population'!$GH$1:$GH$67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3.2492257424739574E-3</c:v>
                </c:pt>
                <c:pt idx="2">
                  <c:v>3.1424057504393838E-3</c:v>
                </c:pt>
                <c:pt idx="3">
                  <c:v>3.2348317930290709E-3</c:v>
                </c:pt>
                <c:pt idx="4">
                  <c:v>3.245997234360963E-3</c:v>
                </c:pt>
                <c:pt idx="5">
                  <c:v>3.2538775093215186E-3</c:v>
                </c:pt>
                <c:pt idx="6">
                  <c:v>3.2011242356139672E-3</c:v>
                </c:pt>
                <c:pt idx="7">
                  <c:v>3.4250601620709753E-3</c:v>
                </c:pt>
                <c:pt idx="8">
                  <c:v>3.5532131633202436E-3</c:v>
                </c:pt>
                <c:pt idx="9">
                  <c:v>3.8445193020484967E-3</c:v>
                </c:pt>
                <c:pt idx="10">
                  <c:v>3.8737238947080602E-3</c:v>
                </c:pt>
                <c:pt idx="11">
                  <c:v>4.03656263525914E-3</c:v>
                </c:pt>
                <c:pt idx="12">
                  <c:v>4.3002336437169891E-3</c:v>
                </c:pt>
                <c:pt idx="13">
                  <c:v>4.4356830761169046E-3</c:v>
                </c:pt>
                <c:pt idx="14">
                  <c:v>4.670297127297756E-3</c:v>
                </c:pt>
                <c:pt idx="15">
                  <c:v>4.7876490580796988E-3</c:v>
                </c:pt>
                <c:pt idx="16">
                  <c:v>4.9143820956525884E-3</c:v>
                </c:pt>
                <c:pt idx="17">
                  <c:v>5.1095955331350263E-3</c:v>
                </c:pt>
                <c:pt idx="18">
                  <c:v>5.4164528933408843E-3</c:v>
                </c:pt>
                <c:pt idx="19">
                  <c:v>5.6753377348825809E-3</c:v>
                </c:pt>
                <c:pt idx="20">
                  <c:v>6.0736385555558246E-3</c:v>
                </c:pt>
                <c:pt idx="21">
                  <c:v>6.3655889128980576E-3</c:v>
                </c:pt>
                <c:pt idx="22">
                  <c:v>6.9075238570268154E-3</c:v>
                </c:pt>
                <c:pt idx="23">
                  <c:v>7.3096702692164927E-3</c:v>
                </c:pt>
                <c:pt idx="24">
                  <c:v>7.5484365236177676E-3</c:v>
                </c:pt>
                <c:pt idx="25">
                  <c:v>8.005095816750225E-3</c:v>
                </c:pt>
                <c:pt idx="26">
                  <c:v>8.5033430728800111E-3</c:v>
                </c:pt>
                <c:pt idx="27">
                  <c:v>8.9031749359141047E-3</c:v>
                </c:pt>
                <c:pt idx="28">
                  <c:v>9.3513574826745056E-3</c:v>
                </c:pt>
                <c:pt idx="29">
                  <c:v>9.8625495208614876E-3</c:v>
                </c:pt>
                <c:pt idx="30">
                  <c:v>1.0423927407243053E-2</c:v>
                </c:pt>
                <c:pt idx="31">
                  <c:v>1.1006902002645926E-2</c:v>
                </c:pt>
                <c:pt idx="32">
                  <c:v>1.1549988773267308E-2</c:v>
                </c:pt>
                <c:pt idx="33">
                  <c:v>1.199648471865219E-2</c:v>
                </c:pt>
                <c:pt idx="34">
                  <c:v>1.2307410121050889E-2</c:v>
                </c:pt>
                <c:pt idx="35">
                  <c:v>1.2492933770392388E-2</c:v>
                </c:pt>
                <c:pt idx="36">
                  <c:v>1.2597326364413255E-2</c:v>
                </c:pt>
                <c:pt idx="37">
                  <c:v>1.2626461137312868E-2</c:v>
                </c:pt>
                <c:pt idx="38">
                  <c:v>1.266833354307802E-2</c:v>
                </c:pt>
                <c:pt idx="39">
                  <c:v>1.2554751889140833E-2</c:v>
                </c:pt>
                <c:pt idx="40">
                  <c:v>1.2457537546501904E-2</c:v>
                </c:pt>
                <c:pt idx="41">
                  <c:v>1.2406120288993886E-2</c:v>
                </c:pt>
                <c:pt idx="42">
                  <c:v>1.235084159350106E-2</c:v>
                </c:pt>
                <c:pt idx="43">
                  <c:v>1.2348683279942291E-2</c:v>
                </c:pt>
                <c:pt idx="44">
                  <c:v>1.2348176323219089E-2</c:v>
                </c:pt>
                <c:pt idx="45">
                  <c:v>1.2285527850119403E-2</c:v>
                </c:pt>
                <c:pt idx="46">
                  <c:v>1.2268164954289246E-2</c:v>
                </c:pt>
                <c:pt idx="47">
                  <c:v>1.2179876147513624E-2</c:v>
                </c:pt>
                <c:pt idx="48">
                  <c:v>1.2265981027046026E-2</c:v>
                </c:pt>
                <c:pt idx="49">
                  <c:v>1.2316323745079728E-2</c:v>
                </c:pt>
                <c:pt idx="50">
                  <c:v>1.2365384428184235E-2</c:v>
                </c:pt>
                <c:pt idx="51">
                  <c:v>1.2602401487164856E-2</c:v>
                </c:pt>
                <c:pt idx="52">
                  <c:v>1.3041590706360611E-2</c:v>
                </c:pt>
                <c:pt idx="53">
                  <c:v>1.3250654458124218E-2</c:v>
                </c:pt>
                <c:pt idx="54">
                  <c:v>1.3539670239853143E-2</c:v>
                </c:pt>
                <c:pt idx="55">
                  <c:v>1.3765317053552384E-2</c:v>
                </c:pt>
                <c:pt idx="56">
                  <c:v>1.3974020545081374E-2</c:v>
                </c:pt>
                <c:pt idx="57">
                  <c:v>1.4139909196441539E-2</c:v>
                </c:pt>
                <c:pt idx="58">
                  <c:v>1.430709715977628E-2</c:v>
                </c:pt>
                <c:pt idx="59">
                  <c:v>1.4548644780096274E-2</c:v>
                </c:pt>
                <c:pt idx="60">
                  <c:v>1.478039889647526E-2</c:v>
                </c:pt>
                <c:pt idx="61">
                  <c:v>1.4976109459437805E-2</c:v>
                </c:pt>
                <c:pt idx="62">
                  <c:v>1.5071581756922052E-2</c:v>
                </c:pt>
                <c:pt idx="63">
                  <c:v>1.5120621329353478E-2</c:v>
                </c:pt>
                <c:pt idx="64">
                  <c:v>1.5060338542681823E-2</c:v>
                </c:pt>
                <c:pt idx="65">
                  <c:v>1.5117127949363469E-2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1E-441A-9E6F-9A8159F31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51667"/>
        <c:axId val="1737549414"/>
      </c:lineChart>
      <c:catAx>
        <c:axId val="198751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7549414"/>
        <c:crosses val="autoZero"/>
        <c:auto val="1"/>
        <c:lblAlgn val="ctr"/>
        <c:lblOffset val="100"/>
        <c:noMultiLvlLbl val="1"/>
      </c:catAx>
      <c:valAx>
        <c:axId val="1737549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516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Population'!$GG$1</c:f>
              <c:strCache>
                <c:ptCount val="1"/>
                <c:pt idx="0">
                  <c:v>West Massiran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Population'!$GG$2:$GG$67</c:f>
              <c:numCache>
                <c:formatCode>#,###</c:formatCode>
                <c:ptCount val="66"/>
                <c:pt idx="0">
                  <c:v>1035011873.7948959</c:v>
                </c:pt>
                <c:pt idx="1">
                  <c:v>1031659778.2858146</c:v>
                </c:pt>
                <c:pt idx="2">
                  <c:v>1028428040.0986954</c:v>
                </c:pt>
                <c:pt idx="3">
                  <c:v>1025111975.2896137</c:v>
                </c:pt>
                <c:pt idx="4">
                  <c:v>1021795230.7963655</c:v>
                </c:pt>
                <c:pt idx="5">
                  <c:v>1018481217.6685275</c:v>
                </c:pt>
                <c:pt idx="6">
                  <c:v>1015231336.0339943</c:v>
                </c:pt>
                <c:pt idx="7">
                  <c:v>1011765976.6938813</c:v>
                </c:pt>
                <c:pt idx="8">
                  <c:v>1008183685.1527518</c:v>
                </c:pt>
                <c:pt idx="9">
                  <c:v>1004322547.7325116</c:v>
                </c:pt>
                <c:pt idx="10">
                  <c:v>1000447091.9271224</c:v>
                </c:pt>
                <c:pt idx="11">
                  <c:v>996424960.16408443</c:v>
                </c:pt>
                <c:pt idx="12">
                  <c:v>992158447.03026688</c:v>
                </c:pt>
                <c:pt idx="13">
                  <c:v>987776981.39093328</c:v>
                </c:pt>
                <c:pt idx="14">
                  <c:v>983185214.30894458</c:v>
                </c:pt>
                <c:pt idx="15">
                  <c:v>978500497.32459795</c:v>
                </c:pt>
                <c:pt idx="16">
                  <c:v>973715288.34529066</c:v>
                </c:pt>
                <c:pt idx="17">
                  <c:v>968765289.54915404</c:v>
                </c:pt>
                <c:pt idx="18">
                  <c:v>963546286.47789299</c:v>
                </c:pt>
                <c:pt idx="19">
                  <c:v>958108696.04113162</c:v>
                </c:pt>
                <c:pt idx="20">
                  <c:v>952324620.50860548</c:v>
                </c:pt>
                <c:pt idx="21">
                  <c:v>946300858.25701869</c:v>
                </c:pt>
                <c:pt idx="22">
                  <c:v>939809104.44700003</c:v>
                </c:pt>
                <c:pt idx="23">
                  <c:v>932989260.58738613</c:v>
                </c:pt>
                <c:pt idx="24">
                  <c:v>925999412.79896581</c:v>
                </c:pt>
                <c:pt idx="25">
                  <c:v>918645567.01339078</c:v>
                </c:pt>
                <c:pt idx="26">
                  <c:v>910899872.88917136</c:v>
                </c:pt>
                <c:pt idx="27">
                  <c:v>902861538.66750598</c:v>
                </c:pt>
                <c:pt idx="28">
                  <c:v>894496779.51515865</c:v>
                </c:pt>
                <c:pt idx="29">
                  <c:v>885760918.59190226</c:v>
                </c:pt>
                <c:pt idx="30">
                  <c:v>876623063.41534567</c:v>
                </c:pt>
                <c:pt idx="31">
                  <c:v>867079207.54931843</c:v>
                </c:pt>
                <c:pt idx="32">
                  <c:v>857178802.00942683</c:v>
                </c:pt>
                <c:pt idx="33">
                  <c:v>847017568.69020486</c:v>
                </c:pt>
                <c:pt idx="34">
                  <c:v>836719715.98915708</c:v>
                </c:pt>
                <c:pt idx="35">
                  <c:v>826395610.3607769</c:v>
                </c:pt>
                <c:pt idx="36">
                  <c:v>816114746.54770505</c:v>
                </c:pt>
                <c:pt idx="37">
                  <c:v>805938594.20886624</c:v>
                </c:pt>
                <c:pt idx="38">
                  <c:v>795856419.63256109</c:v>
                </c:pt>
                <c:pt idx="39">
                  <c:v>785988528.66743064</c:v>
                </c:pt>
                <c:pt idx="40">
                  <c:v>776317523.96463382</c:v>
                </c:pt>
                <c:pt idx="41">
                  <c:v>766804455.64970708</c:v>
                </c:pt>
                <c:pt idx="42">
                  <c:v>757449319.09446609</c:v>
                </c:pt>
                <c:pt idx="43">
                  <c:v>748209911.86592031</c:v>
                </c:pt>
                <c:pt idx="44">
                  <c:v>739083577.5329479</c:v>
                </c:pt>
                <c:pt idx="45">
                  <c:v>730113744.78760481</c:v>
                </c:pt>
                <c:pt idx="46">
                  <c:v>721265145.01280832</c:v>
                </c:pt>
                <c:pt idx="47">
                  <c:v>712585936.56103492</c:v>
                </c:pt>
                <c:pt idx="48">
                  <c:v>703951283.4739784</c:v>
                </c:pt>
                <c:pt idx="49">
                  <c:v>695386676.04380798</c:v>
                </c:pt>
                <c:pt idx="50">
                  <c:v>686892980.28160477</c:v>
                </c:pt>
                <c:pt idx="51">
                  <c:v>678344214.14841115</c:v>
                </c:pt>
                <c:pt idx="52">
                  <c:v>669611416.12697661</c:v>
                </c:pt>
                <c:pt idx="53">
                  <c:v>660854659.38837981</c:v>
                </c:pt>
                <c:pt idx="54">
                  <c:v>652026436.45116448</c:v>
                </c:pt>
                <c:pt idx="55">
                  <c:v>643172956.78080595</c:v>
                </c:pt>
                <c:pt idx="56">
                  <c:v>634309108.26990998</c:v>
                </c:pt>
                <c:pt idx="57">
                  <c:v>625465088.71000624</c:v>
                </c:pt>
                <c:pt idx="58">
                  <c:v>616642721.38232052</c:v>
                </c:pt>
                <c:pt idx="59">
                  <c:v>607800054.29505849</c:v>
                </c:pt>
                <c:pt idx="60">
                  <c:v>598947373.20114946</c:v>
                </c:pt>
                <c:pt idx="61">
                  <c:v>590109823.8855499</c:v>
                </c:pt>
                <c:pt idx="62">
                  <c:v>581347990.12318599</c:v>
                </c:pt>
                <c:pt idx="63">
                  <c:v>572688582.92119062</c:v>
                </c:pt>
                <c:pt idx="64">
                  <c:v>564191665.43675363</c:v>
                </c:pt>
                <c:pt idx="65">
                  <c:v>555789721.10979581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E-42BB-99B3-0E0542E2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019132"/>
        <c:axId val="1139505447"/>
      </c:lineChart>
      <c:catAx>
        <c:axId val="2139019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9505447"/>
        <c:crosses val="autoZero"/>
        <c:auto val="1"/>
        <c:lblAlgn val="ctr"/>
        <c:lblOffset val="100"/>
        <c:noMultiLvlLbl val="1"/>
      </c:catAx>
      <c:valAx>
        <c:axId val="1139505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90191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Population'!$GT$1:$GT$67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2.9991351389159374E-2</c:v>
                </c:pt>
                <c:pt idx="2">
                  <c:v>2.9957405168554566E-2</c:v>
                </c:pt>
                <c:pt idx="3">
                  <c:v>2.9912483710186087E-2</c:v>
                </c:pt>
                <c:pt idx="4">
                  <c:v>2.985265385222027E-2</c:v>
                </c:pt>
                <c:pt idx="5">
                  <c:v>2.9772772293425391E-2</c:v>
                </c:pt>
                <c:pt idx="6">
                  <c:v>2.965924300038103E-2</c:v>
                </c:pt>
                <c:pt idx="7">
                  <c:v>2.9515900818223608E-2</c:v>
                </c:pt>
                <c:pt idx="8">
                  <c:v>2.9370977622941698E-2</c:v>
                </c:pt>
                <c:pt idx="9">
                  <c:v>2.9252882122006118E-2</c:v>
                </c:pt>
                <c:pt idx="10">
                  <c:v>2.912375249365734E-2</c:v>
                </c:pt>
                <c:pt idx="11">
                  <c:v>2.9004395463498835E-2</c:v>
                </c:pt>
                <c:pt idx="12">
                  <c:v>2.888807371660862E-2</c:v>
                </c:pt>
                <c:pt idx="13">
                  <c:v>2.8770259323480072E-2</c:v>
                </c:pt>
                <c:pt idx="14">
                  <c:v>2.8657088698920734E-2</c:v>
                </c:pt>
                <c:pt idx="15">
                  <c:v>2.8551241838029755E-2</c:v>
                </c:pt>
                <c:pt idx="16">
                  <c:v>2.8454387376171061E-2</c:v>
                </c:pt>
                <c:pt idx="17">
                  <c:v>2.8350036903457759E-2</c:v>
                </c:pt>
                <c:pt idx="18">
                  <c:v>2.8233098779253857E-2</c:v>
                </c:pt>
                <c:pt idx="19">
                  <c:v>2.8097601957611601E-2</c:v>
                </c:pt>
                <c:pt idx="20">
                  <c:v>2.795148433597788E-2</c:v>
                </c:pt>
                <c:pt idx="21">
                  <c:v>2.7795175987638379E-2</c:v>
                </c:pt>
                <c:pt idx="22">
                  <c:v>2.7623650816142022E-2</c:v>
                </c:pt>
                <c:pt idx="23">
                  <c:v>2.7430825394316901E-2</c:v>
                </c:pt>
                <c:pt idx="24">
                  <c:v>2.7214397255787216E-2</c:v>
                </c:pt>
                <c:pt idx="25">
                  <c:v>2.6991612020272532E-2</c:v>
                </c:pt>
                <c:pt idx="26">
                  <c:v>2.6772654183050207E-2</c:v>
                </c:pt>
                <c:pt idx="27">
                  <c:v>2.6542241513402974E-2</c:v>
                </c:pt>
                <c:pt idx="28">
                  <c:v>2.6326149469882123E-2</c:v>
                </c:pt>
                <c:pt idx="29">
                  <c:v>2.6122512281616085E-2</c:v>
                </c:pt>
                <c:pt idx="30">
                  <c:v>2.5924681390339686E-2</c:v>
                </c:pt>
                <c:pt idx="31">
                  <c:v>2.5737650730617703E-2</c:v>
                </c:pt>
                <c:pt idx="32">
                  <c:v>2.5568384494347045E-2</c:v>
                </c:pt>
                <c:pt idx="33">
                  <c:v>2.5409197100562577E-2</c:v>
                </c:pt>
                <c:pt idx="34">
                  <c:v>2.5265645973696248E-2</c:v>
                </c:pt>
                <c:pt idx="35">
                  <c:v>2.5141858190779201E-2</c:v>
                </c:pt>
                <c:pt idx="36">
                  <c:v>2.5023784262608782E-2</c:v>
                </c:pt>
                <c:pt idx="37">
                  <c:v>2.4912028416648167E-2</c:v>
                </c:pt>
                <c:pt idx="38">
                  <c:v>2.4808073136241234E-2</c:v>
                </c:pt>
                <c:pt idx="39">
                  <c:v>2.4707067176116298E-2</c:v>
                </c:pt>
                <c:pt idx="40">
                  <c:v>2.460670115094564E-2</c:v>
                </c:pt>
                <c:pt idx="41">
                  <c:v>2.450590244487337E-2</c:v>
                </c:pt>
                <c:pt idx="42">
                  <c:v>2.4404637835770265E-2</c:v>
                </c:pt>
                <c:pt idx="43">
                  <c:v>2.4327586637760367E-2</c:v>
                </c:pt>
                <c:pt idx="44">
                  <c:v>2.4249926882723698E-2</c:v>
                </c:pt>
                <c:pt idx="45">
                  <c:v>2.4177564083627576E-2</c:v>
                </c:pt>
                <c:pt idx="46">
                  <c:v>2.4129906392753836E-2</c:v>
                </c:pt>
                <c:pt idx="47">
                  <c:v>2.4074175807409608E-2</c:v>
                </c:pt>
                <c:pt idx="48">
                  <c:v>2.4026085221654385E-2</c:v>
                </c:pt>
                <c:pt idx="49">
                  <c:v>2.3986418606103035E-2</c:v>
                </c:pt>
                <c:pt idx="50">
                  <c:v>2.3951106965649196E-2</c:v>
                </c:pt>
                <c:pt idx="51">
                  <c:v>2.3939482938957247E-2</c:v>
                </c:pt>
                <c:pt idx="52">
                  <c:v>2.3927508251668044E-2</c:v>
                </c:pt>
                <c:pt idx="53">
                  <c:v>2.3921941485176627E-2</c:v>
                </c:pt>
                <c:pt idx="54">
                  <c:v>2.3915536534420759E-2</c:v>
                </c:pt>
                <c:pt idx="55">
                  <c:v>2.3930712811831983E-2</c:v>
                </c:pt>
                <c:pt idx="56">
                  <c:v>2.3934718850843823E-2</c:v>
                </c:pt>
                <c:pt idx="57">
                  <c:v>2.3936305071743064E-2</c:v>
                </c:pt>
                <c:pt idx="58">
                  <c:v>2.3941123002233469E-2</c:v>
                </c:pt>
                <c:pt idx="59">
                  <c:v>2.3952300683810695E-2</c:v>
                </c:pt>
                <c:pt idx="60">
                  <c:v>2.3966146311686032E-2</c:v>
                </c:pt>
                <c:pt idx="61">
                  <c:v>2.3980369721790039E-2</c:v>
                </c:pt>
                <c:pt idx="62">
                  <c:v>2.3996047118980061E-2</c:v>
                </c:pt>
                <c:pt idx="63">
                  <c:v>2.4006930059294107E-2</c:v>
                </c:pt>
                <c:pt idx="64">
                  <c:v>2.4019789046793034E-2</c:v>
                </c:pt>
                <c:pt idx="65">
                  <c:v>2.4034936963693163E-2</c:v>
                </c:pt>
                <c:pt idx="66">
                  <c:v>2.405210551900237E-2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E6-41D4-A1B1-2CC1B389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444625"/>
        <c:axId val="1962905336"/>
      </c:lineChart>
      <c:catAx>
        <c:axId val="2144444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2905336"/>
        <c:crosses val="autoZero"/>
        <c:auto val="1"/>
        <c:lblAlgn val="ctr"/>
        <c:lblOffset val="100"/>
        <c:noMultiLvlLbl val="1"/>
      </c:catAx>
      <c:valAx>
        <c:axId val="1962905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4446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Population'!$GS$1:$GS$67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1.0741046026304645E-2</c:v>
                </c:pt>
                <c:pt idx="2">
                  <c:v>1.1291505917531728E-2</c:v>
                </c:pt>
                <c:pt idx="3">
                  <c:v>1.1790848354411227E-2</c:v>
                </c:pt>
                <c:pt idx="4">
                  <c:v>1.2690528194042761E-2</c:v>
                </c:pt>
                <c:pt idx="5">
                  <c:v>1.3883208892160831E-2</c:v>
                </c:pt>
                <c:pt idx="6">
                  <c:v>1.5261574566637119E-2</c:v>
                </c:pt>
                <c:pt idx="7">
                  <c:v>1.582974591668946E-2</c:v>
                </c:pt>
                <c:pt idx="8">
                  <c:v>1.5576415070322674E-2</c:v>
                </c:pt>
                <c:pt idx="9">
                  <c:v>1.5601420750485017E-2</c:v>
                </c:pt>
                <c:pt idx="10">
                  <c:v>1.5437305085197819E-2</c:v>
                </c:pt>
                <c:pt idx="11">
                  <c:v>1.5309964204129559E-2</c:v>
                </c:pt>
                <c:pt idx="12">
                  <c:v>1.5475649269928029E-2</c:v>
                </c:pt>
                <c:pt idx="13">
                  <c:v>1.5439574563171998E-2</c:v>
                </c:pt>
                <c:pt idx="14">
                  <c:v>1.5410246182961227E-2</c:v>
                </c:pt>
                <c:pt idx="15">
                  <c:v>1.5372162961198027E-2</c:v>
                </c:pt>
                <c:pt idx="16">
                  <c:v>1.5604351117569392E-2</c:v>
                </c:pt>
                <c:pt idx="17">
                  <c:v>1.6162867268451817E-2</c:v>
                </c:pt>
                <c:pt idx="18">
                  <c:v>1.6927232506568971E-2</c:v>
                </c:pt>
                <c:pt idx="19">
                  <c:v>1.7627779823919075E-2</c:v>
                </c:pt>
                <c:pt idx="20">
                  <c:v>1.845114920005864E-2</c:v>
                </c:pt>
                <c:pt idx="21">
                  <c:v>1.9366843445482E-2</c:v>
                </c:pt>
                <c:pt idx="22">
                  <c:v>2.0273308921313626E-2</c:v>
                </c:pt>
                <c:pt idx="23">
                  <c:v>2.1023895457211506E-2</c:v>
                </c:pt>
                <c:pt idx="24">
                  <c:v>2.1849320111367518E-2</c:v>
                </c:pt>
                <c:pt idx="25">
                  <c:v>2.2378865346986469E-2</c:v>
                </c:pt>
                <c:pt idx="26">
                  <c:v>2.3022128213681669E-2</c:v>
                </c:pt>
                <c:pt idx="27">
                  <c:v>2.31104356071372E-2</c:v>
                </c:pt>
                <c:pt idx="28">
                  <c:v>2.307267415504094E-2</c:v>
                </c:pt>
                <c:pt idx="29">
                  <c:v>2.2983307319333526E-2</c:v>
                </c:pt>
                <c:pt idx="30">
                  <c:v>2.2927766795462778E-2</c:v>
                </c:pt>
                <c:pt idx="31">
                  <c:v>2.2564004528523862E-2</c:v>
                </c:pt>
                <c:pt idx="32">
                  <c:v>2.2375913253503289E-2</c:v>
                </c:pt>
                <c:pt idx="33">
                  <c:v>2.2144687172085259E-2</c:v>
                </c:pt>
                <c:pt idx="34">
                  <c:v>2.1883327128720185E-2</c:v>
                </c:pt>
                <c:pt idx="35">
                  <c:v>2.1800938364350951E-2</c:v>
                </c:pt>
                <c:pt idx="36">
                  <c:v>2.1624569891400495E-2</c:v>
                </c:pt>
                <c:pt idx="37">
                  <c:v>2.1349858969084867E-2</c:v>
                </c:pt>
                <c:pt idx="38">
                  <c:v>2.1198516400953896E-2</c:v>
                </c:pt>
                <c:pt idx="39">
                  <c:v>2.126414868132449E-2</c:v>
                </c:pt>
                <c:pt idx="40">
                  <c:v>2.1191034634050109E-2</c:v>
                </c:pt>
                <c:pt idx="41">
                  <c:v>2.1177916943777284E-2</c:v>
                </c:pt>
                <c:pt idx="42">
                  <c:v>2.1074864009197752E-2</c:v>
                </c:pt>
                <c:pt idx="43">
                  <c:v>2.0887667402179923E-2</c:v>
                </c:pt>
                <c:pt idx="44">
                  <c:v>2.0669886500147241E-2</c:v>
                </c:pt>
                <c:pt idx="45">
                  <c:v>2.0381789164996878E-2</c:v>
                </c:pt>
                <c:pt idx="46">
                  <c:v>2.0246397427901137E-2</c:v>
                </c:pt>
                <c:pt idx="47">
                  <c:v>2.0133483500670461E-2</c:v>
                </c:pt>
                <c:pt idx="48">
                  <c:v>1.9987731162058195E-2</c:v>
                </c:pt>
                <c:pt idx="49">
                  <c:v>1.9940484389886513E-2</c:v>
                </c:pt>
                <c:pt idx="50">
                  <c:v>1.9939301130479675E-2</c:v>
                </c:pt>
                <c:pt idx="51">
                  <c:v>2.0037842407337976E-2</c:v>
                </c:pt>
                <c:pt idx="52">
                  <c:v>2.008799111381741E-2</c:v>
                </c:pt>
                <c:pt idx="53">
                  <c:v>2.0239575744498736E-2</c:v>
                </c:pt>
                <c:pt idx="54">
                  <c:v>1.9710157591676075E-2</c:v>
                </c:pt>
                <c:pt idx="55">
                  <c:v>1.9748067819888505E-2</c:v>
                </c:pt>
                <c:pt idx="56">
                  <c:v>2.0177391309891799E-2</c:v>
                </c:pt>
                <c:pt idx="57">
                  <c:v>2.0034525091292766E-2</c:v>
                </c:pt>
                <c:pt idx="58">
                  <c:v>1.9816705710237695E-2</c:v>
                </c:pt>
                <c:pt idx="59">
                  <c:v>1.9794418259314835E-2</c:v>
                </c:pt>
                <c:pt idx="60">
                  <c:v>1.9546602252184301E-2</c:v>
                </c:pt>
                <c:pt idx="61">
                  <c:v>1.9361708118930423E-2</c:v>
                </c:pt>
                <c:pt idx="62">
                  <c:v>1.9097552581728024E-2</c:v>
                </c:pt>
                <c:pt idx="63">
                  <c:v>1.8816990993614339E-2</c:v>
                </c:pt>
                <c:pt idx="64">
                  <c:v>1.8415522404993008E-2</c:v>
                </c:pt>
                <c:pt idx="65">
                  <c:v>1.8016680239391781E-2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6D-4369-B1E2-A5F24E786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566185"/>
        <c:axId val="1081595987"/>
      </c:lineChart>
      <c:catAx>
        <c:axId val="1812566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595987"/>
        <c:crosses val="autoZero"/>
        <c:auto val="1"/>
        <c:lblAlgn val="ctr"/>
        <c:lblOffset val="100"/>
        <c:noMultiLvlLbl val="1"/>
      </c:catAx>
      <c:valAx>
        <c:axId val="1081595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25661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Population'!$GR$1</c:f>
              <c:strCache>
                <c:ptCount val="1"/>
                <c:pt idx="0">
                  <c:v>North New Ayren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Population'!$GR$2:$GR$67</c:f>
              <c:numCache>
                <c:formatCode>#,###</c:formatCode>
                <c:ptCount val="66"/>
                <c:pt idx="0">
                  <c:v>204353689.92445248</c:v>
                </c:pt>
                <c:pt idx="1">
                  <c:v>202182043.29176334</c:v>
                </c:pt>
                <c:pt idx="2">
                  <c:v>199924593.56051466</c:v>
                </c:pt>
                <c:pt idx="3">
                  <c:v>197594783.43342838</c:v>
                </c:pt>
                <c:pt idx="4">
                  <c:v>195118625.0214113</c:v>
                </c:pt>
                <c:pt idx="5">
                  <c:v>192446845.26791942</c:v>
                </c:pt>
                <c:pt idx="6">
                  <c:v>189553953.47259653</c:v>
                </c:pt>
                <c:pt idx="7">
                  <c:v>186600120.96962386</c:v>
                </c:pt>
                <c:pt idx="8">
                  <c:v>183738139.44537389</c:v>
                </c:pt>
                <c:pt idx="9">
                  <c:v>180915599.0640496</c:v>
                </c:pt>
                <c:pt idx="10">
                  <c:v>178165208.38661754</c:v>
                </c:pt>
                <c:pt idx="11">
                  <c:v>175478636.73954564</c:v>
                </c:pt>
                <c:pt idx="12">
                  <c:v>172804376.8116993</c:v>
                </c:pt>
                <c:pt idx="13">
                  <c:v>170176917.60343036</c:v>
                </c:pt>
                <c:pt idx="14">
                  <c:v>167594248.96798521</c:v>
                </c:pt>
                <c:pt idx="15">
                  <c:v>165056966.3828668</c:v>
                </c:pt>
                <c:pt idx="16">
                  <c:v>162520932.68529066</c:v>
                </c:pt>
                <c:pt idx="17">
                  <c:v>159935909.80367479</c:v>
                </c:pt>
                <c:pt idx="18">
                  <c:v>157273701.29469088</c:v>
                </c:pt>
                <c:pt idx="19">
                  <c:v>154549339.56490856</c:v>
                </c:pt>
                <c:pt idx="20">
                  <c:v>151749388.94840384</c:v>
                </c:pt>
                <c:pt idx="21">
                  <c:v>148866318.26819834</c:v>
                </c:pt>
                <c:pt idx="22">
                  <c:v>145908274.74021408</c:v>
                </c:pt>
                <c:pt idx="23">
                  <c:v>142903878.53741345</c:v>
                </c:pt>
                <c:pt idx="24">
                  <c:v>139848288.51463041</c:v>
                </c:pt>
                <c:pt idx="25">
                  <c:v>136787147.36260429</c:v>
                </c:pt>
                <c:pt idx="26">
                  <c:v>133708884.28528024</c:v>
                </c:pt>
                <c:pt idx="27">
                  <c:v>130688613.49843854</c:v>
                </c:pt>
                <c:pt idx="28">
                  <c:v>127741280.55602178</c:v>
                </c:pt>
                <c:pt idx="29">
                  <c:v>124871324.52899955</c:v>
                </c:pt>
                <c:pt idx="30">
                  <c:v>122072475.28355335</c:v>
                </c:pt>
                <c:pt idx="31">
                  <c:v>119378811.24598905</c:v>
                </c:pt>
                <c:pt idx="32">
                  <c:v>116766063.92857035</c:v>
                </c:pt>
                <c:pt idx="33">
                  <c:v>114236336.00407489</c:v>
                </c:pt>
                <c:pt idx="34">
                  <c:v>111789998.88867475</c:v>
                </c:pt>
                <c:pt idx="35">
                  <c:v>109404870.05974248</c:v>
                </c:pt>
                <c:pt idx="36">
                  <c:v>107089114.02881815</c:v>
                </c:pt>
                <c:pt idx="37">
                  <c:v>104850569.16433139</c:v>
                </c:pt>
                <c:pt idx="38">
                  <c:v>102674032.0127569</c:v>
                </c:pt>
                <c:pt idx="39">
                  <c:v>100536214.98936543</c:v>
                </c:pt>
                <c:pt idx="40">
                  <c:v>98449958.508882895</c:v>
                </c:pt>
                <c:pt idx="41">
                  <c:v>96408232.958589554</c:v>
                </c:pt>
                <c:pt idx="42">
                  <c:v>94418378.472316518</c:v>
                </c:pt>
                <c:pt idx="43">
                  <c:v>92486550.173125252</c:v>
                </c:pt>
                <c:pt idx="44">
                  <c:v>90613577.804533288</c:v>
                </c:pt>
                <c:pt idx="45">
                  <c:v>88803601.521235079</c:v>
                </c:pt>
                <c:pt idx="46">
                  <c:v>87041328.197888255</c:v>
                </c:pt>
                <c:pt idx="47">
                  <c:v>85323469.531848818</c:v>
                </c:pt>
                <c:pt idx="48">
                  <c:v>83651466.507975489</c:v>
                </c:pt>
                <c:pt idx="49">
                  <c:v>82016027.197914958</c:v>
                </c:pt>
                <c:pt idx="50">
                  <c:v>80412655.054090068</c:v>
                </c:pt>
                <c:pt idx="51">
                  <c:v>78833011.591327205</c:v>
                </c:pt>
                <c:pt idx="52">
                  <c:v>77280599.593424022</c:v>
                </c:pt>
                <c:pt idx="53">
                  <c:v>75747502.283500522</c:v>
                </c:pt>
                <c:pt idx="54">
                  <c:v>74283365.44415614</c:v>
                </c:pt>
                <c:pt idx="55">
                  <c:v>72844820.979132593</c:v>
                </c:pt>
                <c:pt idx="56">
                  <c:v>71404073.055962339</c:v>
                </c:pt>
                <c:pt idx="57">
                  <c:v>70001623.768148139</c:v>
                </c:pt>
                <c:pt idx="58">
                  <c:v>68641377.785036817</c:v>
                </c:pt>
                <c:pt idx="59">
                  <c:v>67309034.601503953</c:v>
                </c:pt>
                <c:pt idx="60">
                  <c:v>66018595.376432925</c:v>
                </c:pt>
                <c:pt idx="61">
                  <c:v>64764641.295247123</c:v>
                </c:pt>
                <c:pt idx="62">
                  <c:v>63550973.24213545</c:v>
                </c:pt>
                <c:pt idx="63">
                  <c:v>62377221.624618322</c:v>
                </c:pt>
                <c:pt idx="64">
                  <c:v>61249284.06169048</c:v>
                </c:pt>
                <c:pt idx="65">
                  <c:v>60165305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B-48D3-B871-99CB58D4D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500706"/>
        <c:axId val="2093271259"/>
      </c:lineChart>
      <c:catAx>
        <c:axId val="1833500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3271259"/>
        <c:crosses val="autoZero"/>
        <c:auto val="1"/>
        <c:lblAlgn val="ctr"/>
        <c:lblOffset val="100"/>
        <c:noMultiLvlLbl val="1"/>
      </c:catAx>
      <c:valAx>
        <c:axId val="2093271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3500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Population'!$HE$1:$HE$67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1.0524816151729916E-2</c:v>
                </c:pt>
                <c:pt idx="2">
                  <c:v>1.0499041762313106E-2</c:v>
                </c:pt>
                <c:pt idx="3">
                  <c:v>1.0472986951676429E-2</c:v>
                </c:pt>
                <c:pt idx="4">
                  <c:v>1.0450442288321669E-2</c:v>
                </c:pt>
                <c:pt idx="5">
                  <c:v>1.0428975318928571E-2</c:v>
                </c:pt>
                <c:pt idx="6">
                  <c:v>1.0399083960567717E-2</c:v>
                </c:pt>
                <c:pt idx="7">
                  <c:v>1.0359731959188068E-2</c:v>
                </c:pt>
                <c:pt idx="8">
                  <c:v>1.0320750735288738E-2</c:v>
                </c:pt>
                <c:pt idx="9">
                  <c:v>1.0293109954474208E-2</c:v>
                </c:pt>
                <c:pt idx="10">
                  <c:v>1.0263851696476627E-2</c:v>
                </c:pt>
                <c:pt idx="11">
                  <c:v>1.0235772991755224E-2</c:v>
                </c:pt>
                <c:pt idx="12">
                  <c:v>1.0199593871953204E-2</c:v>
                </c:pt>
                <c:pt idx="13">
                  <c:v>1.0153222192970492E-2</c:v>
                </c:pt>
                <c:pt idx="14">
                  <c:v>1.0104612304903322E-2</c:v>
                </c:pt>
                <c:pt idx="15">
                  <c:v>1.0055585234035203E-2</c:v>
                </c:pt>
                <c:pt idx="16">
                  <c:v>1.000812086864572E-2</c:v>
                </c:pt>
                <c:pt idx="17">
                  <c:v>9.9574800798256265E-3</c:v>
                </c:pt>
                <c:pt idx="18">
                  <c:v>9.9028237403466658E-3</c:v>
                </c:pt>
                <c:pt idx="19">
                  <c:v>9.8549208289692297E-3</c:v>
                </c:pt>
                <c:pt idx="20">
                  <c:v>9.8148580820258385E-3</c:v>
                </c:pt>
                <c:pt idx="21">
                  <c:v>9.7729463752523268E-3</c:v>
                </c:pt>
                <c:pt idx="22">
                  <c:v>9.8060784856923103E-3</c:v>
                </c:pt>
                <c:pt idx="23">
                  <c:v>9.8185274265365028E-3</c:v>
                </c:pt>
                <c:pt idx="24">
                  <c:v>9.7919078982408193E-3</c:v>
                </c:pt>
                <c:pt idx="25">
                  <c:v>9.8222973018729284E-3</c:v>
                </c:pt>
                <c:pt idx="26">
                  <c:v>9.7861880247073138E-3</c:v>
                </c:pt>
                <c:pt idx="27">
                  <c:v>9.7105440693325568E-3</c:v>
                </c:pt>
                <c:pt idx="28">
                  <c:v>9.6274900686635044E-3</c:v>
                </c:pt>
                <c:pt idx="29">
                  <c:v>9.5453761595134246E-3</c:v>
                </c:pt>
                <c:pt idx="30">
                  <c:v>9.461190684974783E-3</c:v>
                </c:pt>
                <c:pt idx="31">
                  <c:v>9.3772745420135743E-3</c:v>
                </c:pt>
                <c:pt idx="32">
                  <c:v>9.2938913680353404E-3</c:v>
                </c:pt>
                <c:pt idx="33">
                  <c:v>9.2099819566140856E-3</c:v>
                </c:pt>
                <c:pt idx="34">
                  <c:v>9.1280620830933336E-3</c:v>
                </c:pt>
                <c:pt idx="35">
                  <c:v>9.0498914818976962E-3</c:v>
                </c:pt>
                <c:pt idx="36">
                  <c:v>8.9700563875401255E-3</c:v>
                </c:pt>
                <c:pt idx="37">
                  <c:v>8.8894287486730467E-3</c:v>
                </c:pt>
                <c:pt idx="38">
                  <c:v>8.8083090065408376E-3</c:v>
                </c:pt>
                <c:pt idx="39">
                  <c:v>8.7275729704147011E-3</c:v>
                </c:pt>
                <c:pt idx="40">
                  <c:v>8.6470730315067572E-3</c:v>
                </c:pt>
                <c:pt idx="41">
                  <c:v>8.5659213792670594E-3</c:v>
                </c:pt>
                <c:pt idx="42">
                  <c:v>8.4851964762506834E-3</c:v>
                </c:pt>
                <c:pt idx="43">
                  <c:v>8.4117691901586401E-3</c:v>
                </c:pt>
                <c:pt idx="44">
                  <c:v>8.3375924070244484E-3</c:v>
                </c:pt>
                <c:pt idx="45">
                  <c:v>8.2657833608782046E-3</c:v>
                </c:pt>
                <c:pt idx="46">
                  <c:v>8.2016489314499369E-3</c:v>
                </c:pt>
                <c:pt idx="47">
                  <c:v>8.134185183210553E-3</c:v>
                </c:pt>
                <c:pt idx="48">
                  <c:v>8.0704936245934843E-3</c:v>
                </c:pt>
                <c:pt idx="49">
                  <c:v>8.010978887656308E-3</c:v>
                </c:pt>
                <c:pt idx="50">
                  <c:v>7.9542894710553751E-3</c:v>
                </c:pt>
                <c:pt idx="51">
                  <c:v>7.9068767949474327E-3</c:v>
                </c:pt>
                <c:pt idx="52">
                  <c:v>7.8603821333007671E-3</c:v>
                </c:pt>
                <c:pt idx="53">
                  <c:v>7.8162814612384359E-3</c:v>
                </c:pt>
                <c:pt idx="54">
                  <c:v>7.7729248007050609E-3</c:v>
                </c:pt>
                <c:pt idx="55">
                  <c:v>7.7371790997682625E-3</c:v>
                </c:pt>
                <c:pt idx="56">
                  <c:v>7.7012575649280952E-3</c:v>
                </c:pt>
                <c:pt idx="57">
                  <c:v>7.6647326958668412E-3</c:v>
                </c:pt>
                <c:pt idx="58">
                  <c:v>7.628676328308155E-3</c:v>
                </c:pt>
                <c:pt idx="59">
                  <c:v>7.5943826082298452E-3</c:v>
                </c:pt>
                <c:pt idx="60">
                  <c:v>7.5621874782329348E-3</c:v>
                </c:pt>
                <c:pt idx="61">
                  <c:v>7.5287150061113944E-3</c:v>
                </c:pt>
                <c:pt idx="62">
                  <c:v>7.4967388359558056E-3</c:v>
                </c:pt>
                <c:pt idx="63">
                  <c:v>7.4613335421227439E-3</c:v>
                </c:pt>
                <c:pt idx="64">
                  <c:v>7.4264231500736954E-3</c:v>
                </c:pt>
                <c:pt idx="65">
                  <c:v>7.3901110722875678E-3</c:v>
                </c:pt>
                <c:pt idx="66">
                  <c:v>7.3880665684200632E-3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81-4440-B15C-3C40A9437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424381"/>
        <c:axId val="1815705283"/>
      </c:lineChart>
      <c:catAx>
        <c:axId val="2106424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705283"/>
        <c:crosses val="autoZero"/>
        <c:auto val="1"/>
        <c:lblAlgn val="ctr"/>
        <c:lblOffset val="100"/>
        <c:noMultiLvlLbl val="1"/>
      </c:catAx>
      <c:valAx>
        <c:axId val="1815705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64243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Population'!$HD$1:$HD$67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1.2075509389022474E-2</c:v>
                </c:pt>
                <c:pt idx="2">
                  <c:v>1.2287192552057827E-2</c:v>
                </c:pt>
                <c:pt idx="3">
                  <c:v>1.1945464478789429E-2</c:v>
                </c:pt>
                <c:pt idx="4">
                  <c:v>1.205964993676197E-2</c:v>
                </c:pt>
                <c:pt idx="5">
                  <c:v>1.292029325547419E-2</c:v>
                </c:pt>
                <c:pt idx="6">
                  <c:v>1.4192734986505581E-2</c:v>
                </c:pt>
                <c:pt idx="7">
                  <c:v>1.4659943311923121E-2</c:v>
                </c:pt>
                <c:pt idx="8">
                  <c:v>1.4209192229070307E-2</c:v>
                </c:pt>
                <c:pt idx="9">
                  <c:v>1.4000604810941506E-2</c:v>
                </c:pt>
                <c:pt idx="10">
                  <c:v>1.4049892821618842E-2</c:v>
                </c:pt>
                <c:pt idx="11">
                  <c:v>1.4825053434345935E-2</c:v>
                </c:pt>
                <c:pt idx="12">
                  <c:v>1.5953183227871245E-2</c:v>
                </c:pt>
                <c:pt idx="13">
                  <c:v>1.6310966399266068E-2</c:v>
                </c:pt>
                <c:pt idx="14">
                  <c:v>1.6592215298603857E-2</c:v>
                </c:pt>
                <c:pt idx="15">
                  <c:v>1.6726866321648659E-2</c:v>
                </c:pt>
                <c:pt idx="16">
                  <c:v>1.7025956636320397E-2</c:v>
                </c:pt>
                <c:pt idx="17">
                  <c:v>1.7556744056940292E-2</c:v>
                </c:pt>
                <c:pt idx="18">
                  <c:v>1.696614459170288E-2</c:v>
                </c:pt>
                <c:pt idx="19">
                  <c:v>1.646794931026771E-2</c:v>
                </c:pt>
                <c:pt idx="20">
                  <c:v>1.7099085036119149E-2</c:v>
                </c:pt>
                <c:pt idx="21">
                  <c:v>9.6533756288088284E-3</c:v>
                </c:pt>
                <c:pt idx="22">
                  <c:v>1.1866767803796223E-2</c:v>
                </c:pt>
                <c:pt idx="23">
                  <c:v>1.5721834003970491E-2</c:v>
                </c:pt>
                <c:pt idx="24">
                  <c:v>1.0348515392669859E-2</c:v>
                </c:pt>
                <c:pt idx="25">
                  <c:v>1.7827049328420403E-2</c:v>
                </c:pt>
                <c:pt idx="26">
                  <c:v>2.2118356881855445E-2</c:v>
                </c:pt>
                <c:pt idx="27">
                  <c:v>2.353511027195453E-2</c:v>
                </c:pt>
                <c:pt idx="28">
                  <c:v>2.3891920642398892E-2</c:v>
                </c:pt>
                <c:pt idx="29">
                  <c:v>2.4269603721621465E-2</c:v>
                </c:pt>
                <c:pt idx="30">
                  <c:v>2.4635992067249198E-2</c:v>
                </c:pt>
                <c:pt idx="31">
                  <c:v>2.4952940595004691E-2</c:v>
                </c:pt>
                <c:pt idx="32">
                  <c:v>2.5267226978821018E-2</c:v>
                </c:pt>
                <c:pt idx="33">
                  <c:v>2.5491427186143438E-2</c:v>
                </c:pt>
                <c:pt idx="34">
                  <c:v>2.5660175559398805E-2</c:v>
                </c:pt>
                <c:pt idx="35">
                  <c:v>2.6053746235977848E-2</c:v>
                </c:pt>
                <c:pt idx="36">
                  <c:v>2.6286821791181504E-2</c:v>
                </c:pt>
                <c:pt idx="37">
                  <c:v>2.6454700112936956E-2</c:v>
                </c:pt>
                <c:pt idx="38">
                  <c:v>2.6449035310654158E-2</c:v>
                </c:pt>
                <c:pt idx="39">
                  <c:v>2.6584367567735672E-2</c:v>
                </c:pt>
                <c:pt idx="40">
                  <c:v>2.6642743542306595E-2</c:v>
                </c:pt>
                <c:pt idx="41">
                  <c:v>2.6633100170187107E-2</c:v>
                </c:pt>
                <c:pt idx="42">
                  <c:v>2.6736027279576413E-2</c:v>
                </c:pt>
                <c:pt idx="43">
                  <c:v>2.6682242050360704E-2</c:v>
                </c:pt>
                <c:pt idx="44">
                  <c:v>2.6464781222625966E-2</c:v>
                </c:pt>
                <c:pt idx="45">
                  <c:v>2.6333810895652707E-2</c:v>
                </c:pt>
                <c:pt idx="46">
                  <c:v>2.633226164286797E-2</c:v>
                </c:pt>
                <c:pt idx="47">
                  <c:v>2.6130377294180683E-2</c:v>
                </c:pt>
                <c:pt idx="48">
                  <c:v>2.5868878464233736E-2</c:v>
                </c:pt>
                <c:pt idx="49">
                  <c:v>2.5697289140049234E-2</c:v>
                </c:pt>
                <c:pt idx="50">
                  <c:v>2.5557281322295487E-2</c:v>
                </c:pt>
                <c:pt idx="51">
                  <c:v>2.5558183603596005E-2</c:v>
                </c:pt>
                <c:pt idx="52">
                  <c:v>2.5604821897174848E-2</c:v>
                </c:pt>
                <c:pt idx="53">
                  <c:v>2.5655691915465718E-2</c:v>
                </c:pt>
                <c:pt idx="54">
                  <c:v>2.5071285091644101E-2</c:v>
                </c:pt>
                <c:pt idx="55">
                  <c:v>2.4676056451006564E-2</c:v>
                </c:pt>
                <c:pt idx="56">
                  <c:v>2.5106790582513736E-2</c:v>
                </c:pt>
                <c:pt idx="57">
                  <c:v>2.506192618223254E-2</c:v>
                </c:pt>
                <c:pt idx="58">
                  <c:v>2.4900144877877679E-2</c:v>
                </c:pt>
                <c:pt idx="59">
                  <c:v>2.4728075770150973E-2</c:v>
                </c:pt>
                <c:pt idx="60">
                  <c:v>2.4687249969572115E-2</c:v>
                </c:pt>
                <c:pt idx="61">
                  <c:v>2.4378896497915938E-2</c:v>
                </c:pt>
                <c:pt idx="62">
                  <c:v>2.4397728454556362E-2</c:v>
                </c:pt>
                <c:pt idx="63">
                  <c:v>2.4154562727734068E-2</c:v>
                </c:pt>
                <c:pt idx="64">
                  <c:v>2.4065025408591158E-2</c:v>
                </c:pt>
                <c:pt idx="65">
                  <c:v>1.9025784059568302E-2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09-47EE-BD59-2DA093F9C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193860"/>
        <c:axId val="617790"/>
      </c:lineChart>
      <c:catAx>
        <c:axId val="1348193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7790"/>
        <c:crosses val="autoZero"/>
        <c:auto val="1"/>
        <c:lblAlgn val="ctr"/>
        <c:lblOffset val="100"/>
        <c:noMultiLvlLbl val="1"/>
      </c:catAx>
      <c:valAx>
        <c:axId val="617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81938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Population'!$HC$1</c:f>
              <c:strCache>
                <c:ptCount val="1"/>
                <c:pt idx="0">
                  <c:v>South New Ayren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Population'!$HC$2:$HC$67</c:f>
              <c:numCache>
                <c:formatCode>#,###</c:formatCode>
                <c:ptCount val="66"/>
                <c:pt idx="0">
                  <c:v>71713507.953493014</c:v>
                </c:pt>
                <c:pt idx="1">
                  <c:v>70857863.161599055</c:v>
                </c:pt>
                <c:pt idx="2">
                  <c:v>69997786.876035303</c:v>
                </c:pt>
                <c:pt idx="3">
                  <c:v>69171501.165913343</c:v>
                </c:pt>
                <c:pt idx="4">
                  <c:v>68347257.170301661</c:v>
                </c:pt>
                <c:pt idx="5">
                  <c:v>67475454.510479853</c:v>
                </c:pt>
                <c:pt idx="6">
                  <c:v>66531194.893027559</c:v>
                </c:pt>
                <c:pt idx="7">
                  <c:v>65569943.242131889</c:v>
                </c:pt>
                <c:pt idx="8">
                  <c:v>64651300.485671595</c:v>
                </c:pt>
                <c:pt idx="9">
                  <c:v>63758640.950441748</c:v>
                </c:pt>
                <c:pt idx="10">
                  <c:v>62875250.420895718</c:v>
                </c:pt>
                <c:pt idx="11">
                  <c:v>61956738.462570317</c:v>
                </c:pt>
                <c:pt idx="12">
                  <c:v>60983851.899279743</c:v>
                </c:pt>
                <c:pt idx="13">
                  <c:v>60005110.557197057</c:v>
                </c:pt>
                <c:pt idx="14">
                  <c:v>59025742.725731716</c:v>
                </c:pt>
                <c:pt idx="15">
                  <c:v>58054670.020943962</c:v>
                </c:pt>
                <c:pt idx="16">
                  <c:v>57082781.065836459</c:v>
                </c:pt>
                <c:pt idx="17">
                  <c:v>56097884.8592273</c:v>
                </c:pt>
                <c:pt idx="18">
                  <c:v>55161998.418098554</c:v>
                </c:pt>
                <c:pt idx="19">
                  <c:v>54268310.629498117</c:v>
                </c:pt>
                <c:pt idx="20">
                  <c:v>53355972.32158649</c:v>
                </c:pt>
                <c:pt idx="21">
                  <c:v>52845831.658173345</c:v>
                </c:pt>
                <c:pt idx="22">
                  <c:v>52226076.929942518</c:v>
                </c:pt>
                <c:pt idx="23">
                  <c:v>51417696.441620812</c:v>
                </c:pt>
                <c:pt idx="24">
                  <c:v>50891049.63116359</c:v>
                </c:pt>
                <c:pt idx="25">
                  <c:v>49999702.468845144</c:v>
                </c:pt>
                <c:pt idx="26">
                  <c:v>48917722.817715235</c:v>
                </c:pt>
                <c:pt idx="27">
                  <c:v>47792911.378211282</c:v>
                </c:pt>
                <c:pt idx="28">
                  <c:v>46677691.672989845</c:v>
                </c:pt>
                <c:pt idx="29">
                  <c:v>45571684.938603356</c:v>
                </c:pt>
                <c:pt idx="30">
                  <c:v>44475975.16720102</c:v>
                </c:pt>
                <c:pt idx="31">
                  <c:v>43393187.536377884</c:v>
                </c:pt>
                <c:pt idx="32">
                  <c:v>42323782.907062784</c:v>
                </c:pt>
                <c:pt idx="33">
                  <c:v>41271708.163563542</c:v>
                </c:pt>
                <c:pt idx="34">
                  <c:v>40239164.147183351</c:v>
                </c:pt>
                <c:pt idx="35">
                  <c:v>39217403.859006926</c:v>
                </c:pt>
                <c:pt idx="36">
                  <c:v>38212907.957407728</c:v>
                </c:pt>
                <c:pt idx="37">
                  <c:v>37228051.031578213</c:v>
                </c:pt>
                <c:pt idx="38">
                  <c:v>36268776.871431485</c:v>
                </c:pt>
                <c:pt idx="39">
                  <c:v>35329562.788260959</c:v>
                </c:pt>
                <c:pt idx="40">
                  <c:v>34412713.683009706</c:v>
                </c:pt>
                <c:pt idx="41">
                  <c:v>33519972.887397688</c:v>
                </c:pt>
                <c:pt idx="42">
                  <c:v>32647118.633025549</c:v>
                </c:pt>
                <c:pt idx="43">
                  <c:v>31798659.113677498</c:v>
                </c:pt>
                <c:pt idx="44">
                  <c:v>30978811.641059909</c:v>
                </c:pt>
                <c:pt idx="45">
                  <c:v>30183953.127321772</c:v>
                </c:pt>
                <c:pt idx="46">
                  <c:v>29409533.593931649</c:v>
                </c:pt>
                <c:pt idx="47">
                  <c:v>28660620.759987742</c:v>
                </c:pt>
                <c:pt idx="48">
                  <c:v>27937898.655132052</c:v>
                </c:pt>
                <c:pt idx="49">
                  <c:v>27237956.998555932</c:v>
                </c:pt>
                <c:pt idx="50">
                  <c:v>26559176.649242695</c:v>
                </c:pt>
                <c:pt idx="51">
                  <c:v>25897288.982590269</c:v>
                </c:pt>
                <c:pt idx="52">
                  <c:v>25250748.075350489</c:v>
                </c:pt>
                <c:pt idx="53">
                  <c:v>24619127.329360787</c:v>
                </c:pt>
                <c:pt idx="54">
                  <c:v>24016990.513161991</c:v>
                </c:pt>
                <c:pt idx="55">
                  <c:v>23438617.855818249</c:v>
                </c:pt>
                <c:pt idx="56">
                  <c:v>22864562.083818924</c:v>
                </c:pt>
                <c:pt idx="57">
                  <c:v>22305542.230971642</c:v>
                </c:pt>
                <c:pt idx="58">
                  <c:v>21763624.81988864</c:v>
                </c:pt>
                <c:pt idx="59">
                  <c:v>21238439.088859584</c:v>
                </c:pt>
                <c:pt idx="60">
                  <c:v>20726752.567176234</c:v>
                </c:pt>
                <c:pt idx="61">
                  <c:v>20233482.58933837</c:v>
                </c:pt>
                <c:pt idx="62">
                  <c:v>19751588.69188761</c:v>
                </c:pt>
                <c:pt idx="63">
                  <c:v>19285749.837681934</c:v>
                </c:pt>
                <c:pt idx="64">
                  <c:v>18832544.183399998</c:v>
                </c:pt>
                <c:pt idx="65">
                  <c:v>18480930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A-4D74-861C-8C372DB8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176646"/>
        <c:axId val="1082174265"/>
      </c:lineChart>
      <c:catAx>
        <c:axId val="852176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2174265"/>
        <c:crosses val="autoZero"/>
        <c:auto val="1"/>
        <c:lblAlgn val="ctr"/>
        <c:lblOffset val="100"/>
        <c:noMultiLvlLbl val="1"/>
      </c:catAx>
      <c:valAx>
        <c:axId val="1082174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21766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Population'!$HP$1:$HP$67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1.8077653471763672E-2</c:v>
                </c:pt>
                <c:pt idx="2">
                  <c:v>1.804919555324282E-2</c:v>
                </c:pt>
                <c:pt idx="3">
                  <c:v>1.8009282924186035E-2</c:v>
                </c:pt>
                <c:pt idx="4">
                  <c:v>1.795608079681903E-2</c:v>
                </c:pt>
                <c:pt idx="5">
                  <c:v>1.7893470700959837E-2</c:v>
                </c:pt>
                <c:pt idx="6">
                  <c:v>1.784805868213973E-2</c:v>
                </c:pt>
                <c:pt idx="7">
                  <c:v>1.7822999403875772E-2</c:v>
                </c:pt>
                <c:pt idx="8">
                  <c:v>1.7801937978672369E-2</c:v>
                </c:pt>
                <c:pt idx="9">
                  <c:v>1.7791178083644364E-2</c:v>
                </c:pt>
                <c:pt idx="10">
                  <c:v>1.7764981468540518E-2</c:v>
                </c:pt>
                <c:pt idx="11">
                  <c:v>1.7764903025222708E-2</c:v>
                </c:pt>
                <c:pt idx="12">
                  <c:v>1.7779621749370662E-2</c:v>
                </c:pt>
                <c:pt idx="13">
                  <c:v>1.7786799535692302E-2</c:v>
                </c:pt>
                <c:pt idx="14">
                  <c:v>1.777595728349236E-2</c:v>
                </c:pt>
                <c:pt idx="15">
                  <c:v>1.7758879257844938E-2</c:v>
                </c:pt>
                <c:pt idx="16">
                  <c:v>1.7750468928240518E-2</c:v>
                </c:pt>
                <c:pt idx="17">
                  <c:v>1.7690643698111616E-2</c:v>
                </c:pt>
                <c:pt idx="18">
                  <c:v>1.7616785093608232E-2</c:v>
                </c:pt>
                <c:pt idx="19">
                  <c:v>1.7526283451308532E-2</c:v>
                </c:pt>
                <c:pt idx="20">
                  <c:v>1.7438299872897869E-2</c:v>
                </c:pt>
                <c:pt idx="21">
                  <c:v>1.7326801876261459E-2</c:v>
                </c:pt>
                <c:pt idx="22">
                  <c:v>1.7201333697490082E-2</c:v>
                </c:pt>
                <c:pt idx="23">
                  <c:v>1.7072726123437024E-2</c:v>
                </c:pt>
                <c:pt idx="24">
                  <c:v>1.692509826909485E-2</c:v>
                </c:pt>
                <c:pt idx="25">
                  <c:v>1.6788213560851136E-2</c:v>
                </c:pt>
                <c:pt idx="26">
                  <c:v>1.6669801327000806E-2</c:v>
                </c:pt>
                <c:pt idx="27">
                  <c:v>1.6658585065782276E-2</c:v>
                </c:pt>
                <c:pt idx="28">
                  <c:v>1.6666859174008383E-2</c:v>
                </c:pt>
                <c:pt idx="29">
                  <c:v>1.6672830844728086E-2</c:v>
                </c:pt>
                <c:pt idx="30">
                  <c:v>1.6676687859553889E-2</c:v>
                </c:pt>
                <c:pt idx="31">
                  <c:v>1.6671284481392344E-2</c:v>
                </c:pt>
                <c:pt idx="32">
                  <c:v>1.662367263036264E-2</c:v>
                </c:pt>
                <c:pt idx="33">
                  <c:v>1.657066768231848E-2</c:v>
                </c:pt>
                <c:pt idx="34">
                  <c:v>1.6514433510756602E-2</c:v>
                </c:pt>
                <c:pt idx="35">
                  <c:v>1.6463213315935882E-2</c:v>
                </c:pt>
                <c:pt idx="36">
                  <c:v>1.6406075264077464E-2</c:v>
                </c:pt>
                <c:pt idx="37">
                  <c:v>1.6330608058810429E-2</c:v>
                </c:pt>
                <c:pt idx="38">
                  <c:v>1.6254788797620226E-2</c:v>
                </c:pt>
                <c:pt idx="39">
                  <c:v>1.6179514717582041E-2</c:v>
                </c:pt>
                <c:pt idx="40">
                  <c:v>1.6101644212642922E-2</c:v>
                </c:pt>
                <c:pt idx="41">
                  <c:v>1.6017018741562045E-2</c:v>
                </c:pt>
                <c:pt idx="42">
                  <c:v>1.592402972083368E-2</c:v>
                </c:pt>
                <c:pt idx="43">
                  <c:v>1.5838785479042231E-2</c:v>
                </c:pt>
                <c:pt idx="44">
                  <c:v>1.5744389833100371E-2</c:v>
                </c:pt>
                <c:pt idx="45">
                  <c:v>1.564337336772921E-2</c:v>
                </c:pt>
                <c:pt idx="46">
                  <c:v>1.5479326451903291E-2</c:v>
                </c:pt>
                <c:pt idx="47">
                  <c:v>1.5333595701547142E-2</c:v>
                </c:pt>
                <c:pt idx="48">
                  <c:v>1.5200554938363493E-2</c:v>
                </c:pt>
                <c:pt idx="49">
                  <c:v>1.5043466868856197E-2</c:v>
                </c:pt>
                <c:pt idx="50">
                  <c:v>1.4979552382413004E-2</c:v>
                </c:pt>
                <c:pt idx="51">
                  <c:v>1.4859320032032775E-2</c:v>
                </c:pt>
                <c:pt idx="52">
                  <c:v>1.471804268805056E-2</c:v>
                </c:pt>
                <c:pt idx="53">
                  <c:v>1.4566569131734203E-2</c:v>
                </c:pt>
                <c:pt idx="54">
                  <c:v>1.4440943270247007E-2</c:v>
                </c:pt>
                <c:pt idx="55">
                  <c:v>1.4311369737207378E-2</c:v>
                </c:pt>
                <c:pt idx="56">
                  <c:v>1.4179699441237153E-2</c:v>
                </c:pt>
                <c:pt idx="57">
                  <c:v>1.4068926506005493E-2</c:v>
                </c:pt>
                <c:pt idx="58">
                  <c:v>1.3930639130539118E-2</c:v>
                </c:pt>
                <c:pt idx="59">
                  <c:v>1.3785250733228756E-2</c:v>
                </c:pt>
                <c:pt idx="60">
                  <c:v>1.3646254975410194E-2</c:v>
                </c:pt>
                <c:pt idx="61">
                  <c:v>1.3510826964877726E-2</c:v>
                </c:pt>
                <c:pt idx="62">
                  <c:v>1.3386383384328489E-2</c:v>
                </c:pt>
                <c:pt idx="63">
                  <c:v>1.3265608665908559E-2</c:v>
                </c:pt>
                <c:pt idx="64">
                  <c:v>1.3150945249516174E-2</c:v>
                </c:pt>
                <c:pt idx="65">
                  <c:v>1.3038586427876895E-2</c:v>
                </c:pt>
                <c:pt idx="66">
                  <c:v>1.292894559432815E-2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CC-46A6-895D-C7E74EC48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512095"/>
        <c:axId val="1647219572"/>
      </c:lineChart>
      <c:catAx>
        <c:axId val="106951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7219572"/>
        <c:crosses val="autoZero"/>
        <c:auto val="1"/>
        <c:lblAlgn val="ctr"/>
        <c:lblOffset val="100"/>
        <c:noMultiLvlLbl val="1"/>
      </c:catAx>
      <c:valAx>
        <c:axId val="1647219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95120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Population'!$HO$1:$HO$67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1.1188839347309699E-2</c:v>
                </c:pt>
                <c:pt idx="2">
                  <c:v>1.2012952263686467E-2</c:v>
                </c:pt>
                <c:pt idx="3">
                  <c:v>1.2758943304305005E-2</c:v>
                </c:pt>
                <c:pt idx="4">
                  <c:v>1.3514678899839736E-2</c:v>
                </c:pt>
                <c:pt idx="5">
                  <c:v>1.2586932224858264E-2</c:v>
                </c:pt>
                <c:pt idx="6">
                  <c:v>1.1775414443015098E-2</c:v>
                </c:pt>
                <c:pt idx="7">
                  <c:v>1.2037942143487131E-2</c:v>
                </c:pt>
                <c:pt idx="8">
                  <c:v>1.2104701145521589E-2</c:v>
                </c:pt>
                <c:pt idx="9">
                  <c:v>1.260931523273748E-2</c:v>
                </c:pt>
                <c:pt idx="10">
                  <c:v>1.1280233252965559E-2</c:v>
                </c:pt>
                <c:pt idx="11">
                  <c:v>1.0400931210903635E-2</c:v>
                </c:pt>
                <c:pt idx="12">
                  <c:v>1.0926109660639165E-2</c:v>
                </c:pt>
                <c:pt idx="13">
                  <c:v>1.2062163883587234E-2</c:v>
                </c:pt>
                <c:pt idx="14">
                  <c:v>1.2632634950524612E-2</c:v>
                </c:pt>
                <c:pt idx="15">
                  <c:v>1.240717330442247E-2</c:v>
                </c:pt>
                <c:pt idx="16">
                  <c:v>1.5301754739460195E-2</c:v>
                </c:pt>
                <c:pt idx="17">
                  <c:v>1.6214106034626963E-2</c:v>
                </c:pt>
                <c:pt idx="18">
                  <c:v>1.7272749738730199E-2</c:v>
                </c:pt>
                <c:pt idx="19">
                  <c:v>1.7443410746396788E-2</c:v>
                </c:pt>
                <c:pt idx="20">
                  <c:v>1.9272922822862956E-2</c:v>
                </c:pt>
                <c:pt idx="21">
                  <c:v>2.0465764502343272E-2</c:v>
                </c:pt>
                <c:pt idx="22">
                  <c:v>2.0783339092803346E-2</c:v>
                </c:pt>
                <c:pt idx="23">
                  <c:v>2.1803592046827549E-2</c:v>
                </c:pt>
                <c:pt idx="24">
                  <c:v>2.1747718781881389E-2</c:v>
                </c:pt>
                <c:pt idx="25">
                  <c:v>2.1288707973547396E-2</c:v>
                </c:pt>
                <c:pt idx="26">
                  <c:v>1.4900599338839554E-2</c:v>
                </c:pt>
                <c:pt idx="27">
                  <c:v>1.4277065704534381E-2</c:v>
                </c:pt>
                <c:pt idx="28">
                  <c:v>1.4795437918058716E-2</c:v>
                </c:pt>
                <c:pt idx="29">
                  <c:v>1.5001249137173994E-2</c:v>
                </c:pt>
                <c:pt idx="30">
                  <c:v>1.5877123172432544E-2</c:v>
                </c:pt>
                <c:pt idx="31">
                  <c:v>1.8748473910658654E-2</c:v>
                </c:pt>
                <c:pt idx="32">
                  <c:v>1.9260590469190885E-2</c:v>
                </c:pt>
                <c:pt idx="33">
                  <c:v>1.9830900920174598E-2</c:v>
                </c:pt>
                <c:pt idx="34">
                  <c:v>2.0040357431269657E-2</c:v>
                </c:pt>
                <c:pt idx="35">
                  <c:v>2.0544197448527434E-2</c:v>
                </c:pt>
                <c:pt idx="36">
                  <c:v>2.1762069226542519E-2</c:v>
                </c:pt>
                <c:pt idx="37">
                  <c:v>2.1832004410484451E-2</c:v>
                </c:pt>
                <c:pt idx="38">
                  <c:v>2.1772423151948623E-2</c:v>
                </c:pt>
                <c:pt idx="39">
                  <c:v>2.2034486345245709E-2</c:v>
                </c:pt>
                <c:pt idx="40">
                  <c:v>2.2381167825145092E-2</c:v>
                </c:pt>
                <c:pt idx="41">
                  <c:v>2.2896719169510634E-2</c:v>
                </c:pt>
                <c:pt idx="42">
                  <c:v>2.3329157853527554E-2</c:v>
                </c:pt>
                <c:pt idx="43">
                  <c:v>2.3729941276654995E-2</c:v>
                </c:pt>
                <c:pt idx="44">
                  <c:v>2.4195432574200815E-2</c:v>
                </c:pt>
                <c:pt idx="45">
                  <c:v>2.9162953690523408E-2</c:v>
                </c:pt>
                <c:pt idx="46">
                  <c:v>2.7564073748018579E-2</c:v>
                </c:pt>
                <c:pt idx="47">
                  <c:v>2.7006406395560633E-2</c:v>
                </c:pt>
                <c:pt idx="48">
                  <c:v>2.8937161854415597E-2</c:v>
                </c:pt>
                <c:pt idx="49">
                  <c:v>2.2784434778604364E-2</c:v>
                </c:pt>
                <c:pt idx="50">
                  <c:v>2.7693008461671872E-2</c:v>
                </c:pt>
                <c:pt idx="51">
                  <c:v>2.9313978796966782E-2</c:v>
                </c:pt>
                <c:pt idx="52">
                  <c:v>3.0455799589254175E-2</c:v>
                </c:pt>
                <c:pt idx="53">
                  <c:v>2.8839390082081747E-2</c:v>
                </c:pt>
                <c:pt idx="54">
                  <c:v>2.959544319372245E-2</c:v>
                </c:pt>
                <c:pt idx="55">
                  <c:v>2.9389568872490331E-2</c:v>
                </c:pt>
                <c:pt idx="56">
                  <c:v>2.8277990437675801E-2</c:v>
                </c:pt>
                <c:pt idx="57">
                  <c:v>3.0367607569834826E-2</c:v>
                </c:pt>
                <c:pt idx="58">
                  <c:v>3.1053524865835267E-2</c:v>
                </c:pt>
                <c:pt idx="59">
                  <c:v>3.0777167431661645E-2</c:v>
                </c:pt>
                <c:pt idx="60">
                  <c:v>3.0377341236860964E-2</c:v>
                </c:pt>
                <c:pt idx="61">
                  <c:v>2.9510593643324361E-2</c:v>
                </c:pt>
                <c:pt idx="62">
                  <c:v>2.8842171223152691E-2</c:v>
                </c:pt>
                <c:pt idx="63">
                  <c:v>2.8250555151281189E-2</c:v>
                </c:pt>
                <c:pt idx="64">
                  <c:v>2.7839416106690249E-2</c:v>
                </c:pt>
                <c:pt idx="65">
                  <c:v>2.7383080405179876E-2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03-45C0-8250-38DBE3F81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963693"/>
        <c:axId val="2049507727"/>
      </c:lineChart>
      <c:catAx>
        <c:axId val="238963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507727"/>
        <c:crosses val="autoZero"/>
        <c:auto val="1"/>
        <c:lblAlgn val="ctr"/>
        <c:lblOffset val="100"/>
        <c:noMultiLvlLbl val="1"/>
      </c:catAx>
      <c:valAx>
        <c:axId val="2049507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89636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Population'!$HN$1</c:f>
              <c:strCache>
                <c:ptCount val="1"/>
                <c:pt idx="0">
                  <c:v>East Quian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Population'!$HN$2:$HN$67</c:f>
              <c:numCache>
                <c:formatCode>#,###</c:formatCode>
                <c:ptCount val="66"/>
                <c:pt idx="0">
                  <c:v>123176683.31096971</c:v>
                </c:pt>
                <c:pt idx="1">
                  <c:v>121813729.06615183</c:v>
                </c:pt>
                <c:pt idx="2">
                  <c:v>120367756.94785029</c:v>
                </c:pt>
                <c:pt idx="3">
                  <c:v>118851339.44621532</c:v>
                </c:pt>
                <c:pt idx="4">
                  <c:v>117266520.08161074</c:v>
                </c:pt>
                <c:pt idx="5">
                  <c:v>115808842.03586598</c:v>
                </c:pt>
                <c:pt idx="6">
                  <c:v>114461016.13332741</c:v>
                </c:pt>
                <c:pt idx="7">
                  <c:v>113099530.52837132</c:v>
                </c:pt>
                <c:pt idx="8">
                  <c:v>111746868.08623937</c:v>
                </c:pt>
                <c:pt idx="9">
                  <c:v>110355362.53244475</c:v>
                </c:pt>
                <c:pt idx="10">
                  <c:v>109124413.69240135</c:v>
                </c:pt>
                <c:pt idx="11">
                  <c:v>108001101.66329956</c:v>
                </c:pt>
                <c:pt idx="12">
                  <c:v>106833823.5912759</c:v>
                </c:pt>
                <c:pt idx="13">
                  <c:v>105560535.11705482</c:v>
                </c:pt>
                <c:pt idx="14">
                  <c:v>104243662.97676384</c:v>
                </c:pt>
                <c:pt idx="15">
                  <c:v>102966144.18141685</c:v>
                </c:pt>
                <c:pt idx="16">
                  <c:v>101414327.0222549</c:v>
                </c:pt>
                <c:pt idx="17">
                  <c:v>99796220.520874426</c:v>
                </c:pt>
                <c:pt idx="18">
                  <c:v>98101733.823603794</c:v>
                </c:pt>
                <c:pt idx="19">
                  <c:v>96419842.899799541</c:v>
                </c:pt>
                <c:pt idx="20">
                  <c:v>94596688.228277519</c:v>
                </c:pt>
                <c:pt idx="21">
                  <c:v>92699521.648734644</c:v>
                </c:pt>
                <c:pt idx="22">
                  <c:v>90812142.105609909</c:v>
                </c:pt>
                <c:pt idx="23">
                  <c:v>88874361.777980655</c:v>
                </c:pt>
                <c:pt idx="24">
                  <c:v>86982686.767273515</c:v>
                </c:pt>
                <c:pt idx="25">
                  <c:v>85169537.358212397</c:v>
                </c:pt>
                <c:pt idx="26">
                  <c:v>83919092.582757741</c:v>
                </c:pt>
                <c:pt idx="27">
                  <c:v>82737839.018834651</c:v>
                </c:pt>
                <c:pt idx="28">
                  <c:v>81531544.119451836</c:v>
                </c:pt>
                <c:pt idx="29">
                  <c:v>80326545.596628249</c:v>
                </c:pt>
                <c:pt idx="30">
                  <c:v>79071123.627413169</c:v>
                </c:pt>
                <c:pt idx="31">
                  <c:v>77615943.142357513</c:v>
                </c:pt>
                <c:pt idx="32">
                  <c:v>76149263.366131887</c:v>
                </c:pt>
                <c:pt idx="33">
                  <c:v>74668519.356908888</c:v>
                </c:pt>
                <c:pt idx="34">
                  <c:v>73201534.442170396</c:v>
                </c:pt>
                <c:pt idx="35">
                  <c:v>71727941.45043622</c:v>
                </c:pt>
                <c:pt idx="36">
                  <c:v>70200238.989819929</c:v>
                </c:pt>
                <c:pt idx="37">
                  <c:v>68700372.161781982</c:v>
                </c:pt>
                <c:pt idx="38">
                  <c:v>67236471.258302391</c:v>
                </c:pt>
                <c:pt idx="39">
                  <c:v>65786890.908874623</c:v>
                </c:pt>
                <c:pt idx="40">
                  <c:v>64346735.815585725</c:v>
                </c:pt>
                <c:pt idx="41">
                  <c:v>62906385.962239482</c:v>
                </c:pt>
                <c:pt idx="42">
                  <c:v>61472289.223330699</c:v>
                </c:pt>
                <c:pt idx="43">
                  <c:v>60047368.690487772</c:v>
                </c:pt>
                <c:pt idx="44">
                  <c:v>58628819.052205123</c:v>
                </c:pt>
                <c:pt idx="45">
                  <c:v>56967479.097421169</c:v>
                </c:pt>
                <c:pt idx="46">
                  <c:v>55439344.905893289</c:v>
                </c:pt>
                <c:pt idx="47">
                  <c:v>53981498.616416939</c:v>
                </c:pt>
                <c:pt idx="48">
                  <c:v>52463357.936385609</c:v>
                </c:pt>
                <c:pt idx="49">
                  <c:v>51294638.588963293</c:v>
                </c:pt>
                <c:pt idx="50">
                  <c:v>49912413.694187686</c:v>
                </c:pt>
                <c:pt idx="51">
                  <c:v>48490950.985163838</c:v>
                </c:pt>
                <c:pt idx="52">
                  <c:v>47057769.00328245</c:v>
                </c:pt>
                <c:pt idx="53">
                  <c:v>45738692.99417875</c:v>
                </c:pt>
                <c:pt idx="54">
                  <c:v>44423946.605961069</c:v>
                </c:pt>
                <c:pt idx="55">
                  <c:v>43155621.495775841</c:v>
                </c:pt>
                <c:pt idx="56">
                  <c:v>41968827.395991527</c:v>
                </c:pt>
                <c:pt idx="57">
                  <c:v>40731897.128420763</c:v>
                </c:pt>
                <c:pt idx="58">
                  <c:v>39505123.784646347</c:v>
                </c:pt>
                <c:pt idx="59">
                  <c:v>38325571.261031501</c:v>
                </c:pt>
                <c:pt idx="60">
                  <c:v>37195665.827652648</c:v>
                </c:pt>
                <c:pt idx="61">
                  <c:v>36129463.899950065</c:v>
                </c:pt>
                <c:pt idx="62">
                  <c:v>35116624.211658306</c:v>
                </c:pt>
                <c:pt idx="63">
                  <c:v>34151816.437863998</c:v>
                </c:pt>
                <c:pt idx="64">
                  <c:v>33226801.680000003</c:v>
                </c:pt>
                <c:pt idx="65">
                  <c:v>32341200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6-4DCB-B00B-F7F80E87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553993"/>
        <c:axId val="16425943"/>
      </c:lineChart>
      <c:catAx>
        <c:axId val="1158553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25943"/>
        <c:crosses val="autoZero"/>
        <c:auto val="1"/>
        <c:lblAlgn val="ctr"/>
        <c:lblOffset val="100"/>
        <c:noMultiLvlLbl val="1"/>
      </c:catAx>
      <c:valAx>
        <c:axId val="16425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85539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Population'!$IA$1:$IA$67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8.8103783965925164E-2</c:v>
                </c:pt>
                <c:pt idx="2">
                  <c:v>8.7687192854712909E-2</c:v>
                </c:pt>
                <c:pt idx="3">
                  <c:v>8.7220586533112904E-2</c:v>
                </c:pt>
                <c:pt idx="4">
                  <c:v>8.6703234144959535E-2</c:v>
                </c:pt>
                <c:pt idx="5">
                  <c:v>8.6160278276923949E-2</c:v>
                </c:pt>
                <c:pt idx="6">
                  <c:v>8.5558796204438778E-2</c:v>
                </c:pt>
                <c:pt idx="7">
                  <c:v>8.4908453355427294E-2</c:v>
                </c:pt>
                <c:pt idx="8">
                  <c:v>8.4229429199987368E-2</c:v>
                </c:pt>
                <c:pt idx="9">
                  <c:v>8.3559270341847972E-2</c:v>
                </c:pt>
                <c:pt idx="10">
                  <c:v>8.2824761607781322E-2</c:v>
                </c:pt>
                <c:pt idx="11">
                  <c:v>8.208240813468376E-2</c:v>
                </c:pt>
                <c:pt idx="12">
                  <c:v>8.1330881811689182E-2</c:v>
                </c:pt>
                <c:pt idx="13">
                  <c:v>8.0577744945298832E-2</c:v>
                </c:pt>
                <c:pt idx="14">
                  <c:v>7.9816234093572733E-2</c:v>
                </c:pt>
                <c:pt idx="15">
                  <c:v>7.9057304518731192E-2</c:v>
                </c:pt>
                <c:pt idx="16">
                  <c:v>7.8322095723026924E-2</c:v>
                </c:pt>
                <c:pt idx="17">
                  <c:v>7.7576751440368449E-2</c:v>
                </c:pt>
                <c:pt idx="18">
                  <c:v>7.683040461098059E-2</c:v>
                </c:pt>
                <c:pt idx="19">
                  <c:v>7.6079739934057936E-2</c:v>
                </c:pt>
                <c:pt idx="20">
                  <c:v>7.5342375553732507E-2</c:v>
                </c:pt>
                <c:pt idx="21">
                  <c:v>7.4620489091909603E-2</c:v>
                </c:pt>
                <c:pt idx="22">
                  <c:v>7.3899726592363102E-2</c:v>
                </c:pt>
                <c:pt idx="23">
                  <c:v>7.3158502729938985E-2</c:v>
                </c:pt>
                <c:pt idx="24">
                  <c:v>7.2380035688050195E-2</c:v>
                </c:pt>
                <c:pt idx="25">
                  <c:v>7.1616632390703344E-2</c:v>
                </c:pt>
                <c:pt idx="26">
                  <c:v>7.0886150668580991E-2</c:v>
                </c:pt>
                <c:pt idx="27">
                  <c:v>7.0155986637382664E-2</c:v>
                </c:pt>
                <c:pt idx="28">
                  <c:v>6.9458960165485986E-2</c:v>
                </c:pt>
                <c:pt idx="29">
                  <c:v>6.8792011227886821E-2</c:v>
                </c:pt>
                <c:pt idx="30">
                  <c:v>6.8133080843840232E-2</c:v>
                </c:pt>
                <c:pt idx="31">
                  <c:v>6.7495572495743339E-2</c:v>
                </c:pt>
                <c:pt idx="32">
                  <c:v>6.6880685765262668E-2</c:v>
                </c:pt>
                <c:pt idx="33">
                  <c:v>6.6285857100304241E-2</c:v>
                </c:pt>
                <c:pt idx="34">
                  <c:v>6.5732498829076086E-2</c:v>
                </c:pt>
                <c:pt idx="35">
                  <c:v>6.524507932255072E-2</c:v>
                </c:pt>
                <c:pt idx="36">
                  <c:v>6.479589746243411E-2</c:v>
                </c:pt>
                <c:pt idx="37">
                  <c:v>6.4372130451314125E-2</c:v>
                </c:pt>
                <c:pt idx="38">
                  <c:v>6.3967750603085086E-2</c:v>
                </c:pt>
                <c:pt idx="39">
                  <c:v>6.3571172003221613E-2</c:v>
                </c:pt>
                <c:pt idx="40">
                  <c:v>6.318144182151407E-2</c:v>
                </c:pt>
                <c:pt idx="41">
                  <c:v>6.2781000301960613E-2</c:v>
                </c:pt>
                <c:pt idx="42">
                  <c:v>6.2377843539244429E-2</c:v>
                </c:pt>
                <c:pt idx="43">
                  <c:v>6.2032719715906307E-2</c:v>
                </c:pt>
                <c:pt idx="44">
                  <c:v>6.1680788849692261E-2</c:v>
                </c:pt>
                <c:pt idx="45">
                  <c:v>6.1343320734637038E-2</c:v>
                </c:pt>
                <c:pt idx="46">
                  <c:v>6.107014217926731E-2</c:v>
                </c:pt>
                <c:pt idx="47">
                  <c:v>6.0785167755920827E-2</c:v>
                </c:pt>
                <c:pt idx="48">
                  <c:v>6.0527988230783036E-2</c:v>
                </c:pt>
                <c:pt idx="49">
                  <c:v>6.0292423876261415E-2</c:v>
                </c:pt>
                <c:pt idx="50">
                  <c:v>6.0076979691542076E-2</c:v>
                </c:pt>
                <c:pt idx="51">
                  <c:v>5.993348553044104E-2</c:v>
                </c:pt>
                <c:pt idx="52">
                  <c:v>5.9818560485562305E-2</c:v>
                </c:pt>
                <c:pt idx="53">
                  <c:v>5.9747625822478077E-2</c:v>
                </c:pt>
                <c:pt idx="54">
                  <c:v>5.9705901639864493E-2</c:v>
                </c:pt>
                <c:pt idx="55">
                  <c:v>5.9712613904448798E-2</c:v>
                </c:pt>
                <c:pt idx="56">
                  <c:v>5.9709926446622007E-2</c:v>
                </c:pt>
                <c:pt idx="57">
                  <c:v>5.9734593611354261E-2</c:v>
                </c:pt>
                <c:pt idx="58">
                  <c:v>5.9776763277060045E-2</c:v>
                </c:pt>
                <c:pt idx="59">
                  <c:v>5.9839872811680808E-2</c:v>
                </c:pt>
                <c:pt idx="60">
                  <c:v>5.9929333928821292E-2</c:v>
                </c:pt>
                <c:pt idx="61">
                  <c:v>6.0033842331473242E-2</c:v>
                </c:pt>
                <c:pt idx="62">
                  <c:v>6.016179482201231E-2</c:v>
                </c:pt>
                <c:pt idx="63">
                  <c:v>6.0289528770260101E-2</c:v>
                </c:pt>
                <c:pt idx="64">
                  <c:v>6.0433355163830665E-2</c:v>
                </c:pt>
                <c:pt idx="65">
                  <c:v>6.0579096571857019E-2</c:v>
                </c:pt>
                <c:pt idx="66">
                  <c:v>6.071832730065093E-2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84-402D-BBEA-0058AD34A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34923"/>
        <c:axId val="1046489518"/>
      </c:lineChart>
      <c:catAx>
        <c:axId val="423434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6489518"/>
        <c:crosses val="autoZero"/>
        <c:auto val="1"/>
        <c:lblAlgn val="ctr"/>
        <c:lblOffset val="100"/>
        <c:noMultiLvlLbl val="1"/>
      </c:catAx>
      <c:valAx>
        <c:axId val="1046489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34349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Population'!$HZ$1:$HZ$67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1.439349337133437E-2</c:v>
                </c:pt>
                <c:pt idx="2">
                  <c:v>1.5177084047445388E-2</c:v>
                </c:pt>
                <c:pt idx="3">
                  <c:v>1.579231386333128E-2</c:v>
                </c:pt>
                <c:pt idx="4">
                  <c:v>1.6345300122043736E-2</c:v>
                </c:pt>
                <c:pt idx="5">
                  <c:v>1.7117541839735548E-2</c:v>
                </c:pt>
                <c:pt idx="6">
                  <c:v>1.8093500443405661E-2</c:v>
                </c:pt>
                <c:pt idx="7">
                  <c:v>1.89910239340958E-2</c:v>
                </c:pt>
                <c:pt idx="8">
                  <c:v>1.9605299207512611E-2</c:v>
                </c:pt>
                <c:pt idx="9">
                  <c:v>2.0085124885492613E-2</c:v>
                </c:pt>
                <c:pt idx="10">
                  <c:v>2.0421748015920067E-2</c:v>
                </c:pt>
                <c:pt idx="11">
                  <c:v>2.0582277029776237E-2</c:v>
                </c:pt>
                <c:pt idx="12">
                  <c:v>2.0786877637218735E-2</c:v>
                </c:pt>
                <c:pt idx="13">
                  <c:v>2.1095242208183283E-2</c:v>
                </c:pt>
                <c:pt idx="14">
                  <c:v>2.1371431737037771E-2</c:v>
                </c:pt>
                <c:pt idx="15">
                  <c:v>2.1426669159386173E-2</c:v>
                </c:pt>
                <c:pt idx="16">
                  <c:v>2.1601806068254133E-2</c:v>
                </c:pt>
                <c:pt idx="17">
                  <c:v>2.1801907168262101E-2</c:v>
                </c:pt>
                <c:pt idx="18">
                  <c:v>2.2032453847902696E-2</c:v>
                </c:pt>
                <c:pt idx="19">
                  <c:v>2.2243326027526229E-2</c:v>
                </c:pt>
                <c:pt idx="20">
                  <c:v>2.2553343973399129E-2</c:v>
                </c:pt>
                <c:pt idx="21">
                  <c:v>2.2957075021294699E-2</c:v>
                </c:pt>
                <c:pt idx="22">
                  <c:v>2.3416344429549145E-2</c:v>
                </c:pt>
                <c:pt idx="23">
                  <c:v>2.3862804860520906E-2</c:v>
                </c:pt>
                <c:pt idx="24">
                  <c:v>2.4287470934289457E-2</c:v>
                </c:pt>
                <c:pt idx="25">
                  <c:v>2.4535404467022653E-2</c:v>
                </c:pt>
                <c:pt idx="26">
                  <c:v>2.4773420853011253E-2</c:v>
                </c:pt>
                <c:pt idx="27">
                  <c:v>2.4964254883610065E-2</c:v>
                </c:pt>
                <c:pt idx="28">
                  <c:v>2.5001155322515834E-2</c:v>
                </c:pt>
                <c:pt idx="29">
                  <c:v>2.5054631536096706E-2</c:v>
                </c:pt>
                <c:pt idx="30">
                  <c:v>2.5140012145071711E-2</c:v>
                </c:pt>
                <c:pt idx="31">
                  <c:v>2.5178416740082352E-2</c:v>
                </c:pt>
                <c:pt idx="32">
                  <c:v>2.5128019137833774E-2</c:v>
                </c:pt>
                <c:pt idx="33">
                  <c:v>2.4926149985128512E-2</c:v>
                </c:pt>
                <c:pt idx="34">
                  <c:v>2.4473333113716675E-2</c:v>
                </c:pt>
                <c:pt idx="35">
                  <c:v>2.4052367359120197E-2</c:v>
                </c:pt>
                <c:pt idx="36">
                  <c:v>2.3757412429843604E-2</c:v>
                </c:pt>
                <c:pt idx="37">
                  <c:v>2.3517516808066182E-2</c:v>
                </c:pt>
                <c:pt idx="38">
                  <c:v>2.3385357140372157E-2</c:v>
                </c:pt>
                <c:pt idx="39">
                  <c:v>2.3389533096787058E-2</c:v>
                </c:pt>
                <c:pt idx="40">
                  <c:v>2.3494704948130322E-2</c:v>
                </c:pt>
                <c:pt idx="41">
                  <c:v>2.3530893932875833E-2</c:v>
                </c:pt>
                <c:pt idx="42">
                  <c:v>2.3513982908881192E-2</c:v>
                </c:pt>
                <c:pt idx="43">
                  <c:v>2.3435002365397171E-2</c:v>
                </c:pt>
                <c:pt idx="44">
                  <c:v>2.3222422296322692E-2</c:v>
                </c:pt>
                <c:pt idx="45">
                  <c:v>2.2925827990146846E-2</c:v>
                </c:pt>
                <c:pt idx="46">
                  <c:v>2.266212533636067E-2</c:v>
                </c:pt>
                <c:pt idx="47">
                  <c:v>2.2421487270372777E-2</c:v>
                </c:pt>
                <c:pt idx="48">
                  <c:v>2.2282294644556725E-2</c:v>
                </c:pt>
                <c:pt idx="49">
                  <c:v>2.2091237636329086E-2</c:v>
                </c:pt>
                <c:pt idx="50">
                  <c:v>2.1885078505149272E-2</c:v>
                </c:pt>
                <c:pt idx="51">
                  <c:v>2.148635692030948E-2</c:v>
                </c:pt>
                <c:pt idx="52">
                  <c:v>2.1061471949574209E-2</c:v>
                </c:pt>
                <c:pt idx="53">
                  <c:v>2.0679194501985229E-2</c:v>
                </c:pt>
                <c:pt idx="54">
                  <c:v>2.0242545558317483E-2</c:v>
                </c:pt>
                <c:pt idx="55">
                  <c:v>1.9964680328113629E-2</c:v>
                </c:pt>
                <c:pt idx="56">
                  <c:v>1.9823695177194275E-2</c:v>
                </c:pt>
                <c:pt idx="57">
                  <c:v>1.952010824051827E-2</c:v>
                </c:pt>
                <c:pt idx="58">
                  <c:v>1.9216798035725863E-2</c:v>
                </c:pt>
                <c:pt idx="59">
                  <c:v>1.8860705051240469E-2</c:v>
                </c:pt>
                <c:pt idx="60">
                  <c:v>1.8375776620396526E-2</c:v>
                </c:pt>
                <c:pt idx="61">
                  <c:v>1.7858723282626009E-2</c:v>
                </c:pt>
                <c:pt idx="62">
                  <c:v>1.7399628185785009E-2</c:v>
                </c:pt>
                <c:pt idx="63">
                  <c:v>1.6936707496371849E-2</c:v>
                </c:pt>
                <c:pt idx="64">
                  <c:v>1.660612637655531E-2</c:v>
                </c:pt>
                <c:pt idx="65">
                  <c:v>1.640782633002812E-2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1E-4D88-A75F-7FB107D7A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57002"/>
        <c:axId val="121724693"/>
      </c:lineChart>
      <c:catAx>
        <c:axId val="30857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24693"/>
        <c:crosses val="autoZero"/>
        <c:auto val="1"/>
        <c:lblAlgn val="ctr"/>
        <c:lblOffset val="100"/>
        <c:noMultiLvlLbl val="1"/>
      </c:catAx>
      <c:valAx>
        <c:axId val="121724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8570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Population'!$HY$1</c:f>
              <c:strCache>
                <c:ptCount val="1"/>
                <c:pt idx="0">
                  <c:v>North Quian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Population'!$HY$2:$HY$67</c:f>
              <c:numCache>
                <c:formatCode>#,###</c:formatCode>
                <c:ptCount val="66"/>
                <c:pt idx="0">
                  <c:v>600317508.74191809</c:v>
                </c:pt>
                <c:pt idx="1">
                  <c:v>591799447.31976175</c:v>
                </c:pt>
                <c:pt idx="2">
                  <c:v>582951936.77963614</c:v>
                </c:pt>
                <c:pt idx="3">
                  <c:v>573888903.0992105</c:v>
                </c:pt>
                <c:pt idx="4">
                  <c:v>564659376.12964547</c:v>
                </c:pt>
                <c:pt idx="5">
                  <c:v>555156462.1610049</c:v>
                </c:pt>
                <c:pt idx="6">
                  <c:v>545290252.73142409</c:v>
                </c:pt>
                <c:pt idx="7">
                  <c:v>535127631.08175451</c:v>
                </c:pt>
                <c:pt idx="8">
                  <c:v>524838024.57449174</c:v>
                </c:pt>
                <c:pt idx="9">
                  <c:v>514504144.57656783</c:v>
                </c:pt>
                <c:pt idx="10">
                  <c:v>504207349.14456254</c:v>
                </c:pt>
                <c:pt idx="11">
                  <c:v>494038903.5678423</c:v>
                </c:pt>
                <c:pt idx="12">
                  <c:v>483978501.67449021</c:v>
                </c:pt>
                <c:pt idx="13">
                  <c:v>473979783.34308559</c:v>
                </c:pt>
                <c:pt idx="14">
                  <c:v>464062111.60321194</c:v>
                </c:pt>
                <c:pt idx="15">
                  <c:v>454327388.95012975</c:v>
                </c:pt>
                <c:pt idx="16">
                  <c:v>444720620.3546744</c:v>
                </c:pt>
                <c:pt idx="17">
                  <c:v>435231738.39745182</c:v>
                </c:pt>
                <c:pt idx="18">
                  <c:v>425849234.78586751</c:v>
                </c:pt>
                <c:pt idx="19">
                  <c:v>416583042.35717803</c:v>
                </c:pt>
                <c:pt idx="20">
                  <c:v>407394924.49209094</c:v>
                </c:pt>
                <c:pt idx="21">
                  <c:v>398252218.43605733</c:v>
                </c:pt>
                <c:pt idx="22">
                  <c:v>389139982.57282335</c:v>
                </c:pt>
                <c:pt idx="23">
                  <c:v>380070435.9270432</c:v>
                </c:pt>
                <c:pt idx="24">
                  <c:v>371058366.63253069</c:v>
                </c:pt>
                <c:pt idx="25">
                  <c:v>362172322.22009969</c:v>
                </c:pt>
                <c:pt idx="26">
                  <c:v>353416974.76758426</c:v>
                </c:pt>
                <c:pt idx="27">
                  <c:v>344809073.17857301</c:v>
                </c:pt>
                <c:pt idx="28">
                  <c:v>336398716.61420625</c:v>
                </c:pt>
                <c:pt idx="29">
                  <c:v>328176378.37516582</c:v>
                </c:pt>
                <c:pt idx="30">
                  <c:v>320128347.82291597</c:v>
                </c:pt>
                <c:pt idx="31">
                  <c:v>312265984.72573912</c:v>
                </c:pt>
                <c:pt idx="32">
                  <c:v>304611696.19416416</c:v>
                </c:pt>
                <c:pt idx="33">
                  <c:v>297203555.78651595</c:v>
                </c:pt>
                <c:pt idx="34">
                  <c:v>290103750.07343048</c:v>
                </c:pt>
                <c:pt idx="35">
                  <c:v>283289955.98297888</c:v>
                </c:pt>
                <c:pt idx="36">
                  <c:v>276715902.16924781</c:v>
                </c:pt>
                <c:pt idx="37">
                  <c:v>270357759.02713603</c:v>
                </c:pt>
                <c:pt idx="38">
                  <c:v>264179819.59659067</c:v>
                </c:pt>
                <c:pt idx="39">
                  <c:v>258141998.77262753</c:v>
                </c:pt>
                <c:pt idx="40">
                  <c:v>252216252.34075823</c:v>
                </c:pt>
                <c:pt idx="41">
                  <c:v>246417820.7378065</c:v>
                </c:pt>
                <c:pt idx="42">
                  <c:v>240756672.45646605</c:v>
                </c:pt>
                <c:pt idx="43">
                  <c:v>235243734.97097635</c:v>
                </c:pt>
                <c:pt idx="44">
                  <c:v>229904788.87575662</c:v>
                </c:pt>
                <c:pt idx="45">
                  <c:v>224752159.52604839</c:v>
                </c:pt>
                <c:pt idx="46">
                  <c:v>219771666.47501084</c:v>
                </c:pt>
                <c:pt idx="47">
                  <c:v>214952120.24714974</c:v>
                </c:pt>
                <c:pt idx="48">
                  <c:v>210266891.41856623</c:v>
                </c:pt>
                <c:pt idx="49">
                  <c:v>205722232.68915394</c:v>
                </c:pt>
                <c:pt idx="50">
                  <c:v>201316407.31078285</c:v>
                </c:pt>
                <c:pt idx="51">
                  <c:v>197081836.62651542</c:v>
                </c:pt>
                <c:pt idx="52">
                  <c:v>193016622.44704542</c:v>
                </c:pt>
                <c:pt idx="53">
                  <c:v>189106061.42140776</c:v>
                </c:pt>
                <c:pt idx="54">
                  <c:v>185354024.14327013</c:v>
                </c:pt>
                <c:pt idx="55">
                  <c:v>181725924.16008306</c:v>
                </c:pt>
                <c:pt idx="56">
                  <c:v>178193471.10630548</c:v>
                </c:pt>
                <c:pt idx="57">
                  <c:v>174781713.14720875</c:v>
                </c:pt>
                <c:pt idx="58">
                  <c:v>171486295.6380378</c:v>
                </c:pt>
                <c:pt idx="59">
                  <c:v>168311816.11760503</c:v>
                </c:pt>
                <c:pt idx="60">
                  <c:v>165274763.97383311</c:v>
                </c:pt>
                <c:pt idx="61">
                  <c:v>162374954.59175009</c:v>
                </c:pt>
                <c:pt idx="62">
                  <c:v>159598008.5832105</c:v>
                </c:pt>
                <c:pt idx="63">
                  <c:v>156939962.34645694</c:v>
                </c:pt>
                <c:pt idx="64">
                  <c:v>154376368.85568571</c:v>
                </c:pt>
                <c:pt idx="65">
                  <c:v>151884278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7-4B54-85E2-41C422BB6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530685"/>
        <c:axId val="1276515178"/>
      </c:lineChart>
      <c:catAx>
        <c:axId val="191153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6515178"/>
        <c:crosses val="autoZero"/>
        <c:auto val="1"/>
        <c:lblAlgn val="ctr"/>
        <c:lblOffset val="100"/>
        <c:noMultiLvlLbl val="1"/>
      </c:catAx>
      <c:valAx>
        <c:axId val="1276515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15306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Population'!$IL$1:$IL$67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1.0889875848693093E-2</c:v>
                </c:pt>
                <c:pt idx="2">
                  <c:v>1.086868868679425E-2</c:v>
                </c:pt>
                <c:pt idx="3">
                  <c:v>1.0847644343399345E-2</c:v>
                </c:pt>
                <c:pt idx="4">
                  <c:v>1.0817831094792075E-2</c:v>
                </c:pt>
                <c:pt idx="5">
                  <c:v>1.077616891349889E-2</c:v>
                </c:pt>
                <c:pt idx="6">
                  <c:v>1.0723266101232346E-2</c:v>
                </c:pt>
                <c:pt idx="7">
                  <c:v>1.0668261418713475E-2</c:v>
                </c:pt>
                <c:pt idx="8">
                  <c:v>1.0607254160020754E-2</c:v>
                </c:pt>
                <c:pt idx="9">
                  <c:v>1.052886428854454E-2</c:v>
                </c:pt>
                <c:pt idx="10">
                  <c:v>1.0439702182843952E-2</c:v>
                </c:pt>
                <c:pt idx="11">
                  <c:v>1.0362717368853703E-2</c:v>
                </c:pt>
                <c:pt idx="12">
                  <c:v>1.0292469907106099E-2</c:v>
                </c:pt>
                <c:pt idx="13">
                  <c:v>1.0228539900715936E-2</c:v>
                </c:pt>
                <c:pt idx="14">
                  <c:v>1.018223543519552E-2</c:v>
                </c:pt>
                <c:pt idx="15">
                  <c:v>1.0133396790475143E-2</c:v>
                </c:pt>
                <c:pt idx="16">
                  <c:v>1.0059059345131995E-2</c:v>
                </c:pt>
                <c:pt idx="17">
                  <c:v>9.9722881704337064E-3</c:v>
                </c:pt>
                <c:pt idx="18">
                  <c:v>9.8915466336143426E-3</c:v>
                </c:pt>
                <c:pt idx="19">
                  <c:v>9.7880145800240473E-3</c:v>
                </c:pt>
                <c:pt idx="20">
                  <c:v>9.6579756058822221E-3</c:v>
                </c:pt>
                <c:pt idx="21">
                  <c:v>9.5199524010665618E-3</c:v>
                </c:pt>
                <c:pt idx="22">
                  <c:v>9.3783935538375076E-3</c:v>
                </c:pt>
                <c:pt idx="23">
                  <c:v>9.2365878094696242E-3</c:v>
                </c:pt>
                <c:pt idx="24">
                  <c:v>9.0886553669797965E-3</c:v>
                </c:pt>
                <c:pt idx="25">
                  <c:v>8.9488058452867839E-3</c:v>
                </c:pt>
                <c:pt idx="26">
                  <c:v>8.8213368056850976E-3</c:v>
                </c:pt>
                <c:pt idx="27">
                  <c:v>8.6965534683805835E-3</c:v>
                </c:pt>
                <c:pt idx="28">
                  <c:v>8.5774621797365842E-3</c:v>
                </c:pt>
                <c:pt idx="29">
                  <c:v>8.469080303119287E-3</c:v>
                </c:pt>
                <c:pt idx="30">
                  <c:v>8.3656637948972355E-3</c:v>
                </c:pt>
                <c:pt idx="31">
                  <c:v>8.2701174466955647E-3</c:v>
                </c:pt>
                <c:pt idx="32">
                  <c:v>8.1781556009552711E-3</c:v>
                </c:pt>
                <c:pt idx="33">
                  <c:v>8.0735384490745257E-3</c:v>
                </c:pt>
                <c:pt idx="34">
                  <c:v>7.9621942434418055E-3</c:v>
                </c:pt>
                <c:pt idx="35">
                  <c:v>7.8412351263068246E-3</c:v>
                </c:pt>
                <c:pt idx="36">
                  <c:v>7.7069883577001799E-3</c:v>
                </c:pt>
                <c:pt idx="37">
                  <c:v>7.5917110530328716E-3</c:v>
                </c:pt>
                <c:pt idx="38">
                  <c:v>7.5033535920160967E-3</c:v>
                </c:pt>
                <c:pt idx="39">
                  <c:v>7.4241496970932595E-3</c:v>
                </c:pt>
                <c:pt idx="40">
                  <c:v>7.3298786939154491E-3</c:v>
                </c:pt>
                <c:pt idx="41">
                  <c:v>7.2133348375217421E-3</c:v>
                </c:pt>
                <c:pt idx="42">
                  <c:v>7.1309245759475053E-3</c:v>
                </c:pt>
                <c:pt idx="43">
                  <c:v>7.0910696544237836E-3</c:v>
                </c:pt>
                <c:pt idx="44">
                  <c:v>7.0566584020100055E-3</c:v>
                </c:pt>
                <c:pt idx="45">
                  <c:v>7.0290931644484142E-3</c:v>
                </c:pt>
                <c:pt idx="46">
                  <c:v>7.0135787406060846E-3</c:v>
                </c:pt>
                <c:pt idx="47">
                  <c:v>6.9938434508346062E-3</c:v>
                </c:pt>
                <c:pt idx="48">
                  <c:v>6.9777408467985857E-3</c:v>
                </c:pt>
                <c:pt idx="49">
                  <c:v>6.965413018693899E-3</c:v>
                </c:pt>
                <c:pt idx="50">
                  <c:v>6.9562201190078686E-3</c:v>
                </c:pt>
                <c:pt idx="51">
                  <c:v>6.9668571564633613E-3</c:v>
                </c:pt>
                <c:pt idx="52">
                  <c:v>6.9880573496045829E-3</c:v>
                </c:pt>
                <c:pt idx="53">
                  <c:v>7.0093257577488518E-3</c:v>
                </c:pt>
                <c:pt idx="54">
                  <c:v>7.0352077668880365E-3</c:v>
                </c:pt>
                <c:pt idx="55">
                  <c:v>7.0660172670313475E-3</c:v>
                </c:pt>
                <c:pt idx="56">
                  <c:v>7.0862976370997333E-3</c:v>
                </c:pt>
                <c:pt idx="57">
                  <c:v>7.1068269508997913E-3</c:v>
                </c:pt>
                <c:pt idx="58">
                  <c:v>7.1265006080937074E-3</c:v>
                </c:pt>
                <c:pt idx="59">
                  <c:v>7.1490874238323374E-3</c:v>
                </c:pt>
                <c:pt idx="60">
                  <c:v>7.1648884693190883E-3</c:v>
                </c:pt>
                <c:pt idx="61">
                  <c:v>7.1711069177875682E-3</c:v>
                </c:pt>
                <c:pt idx="62">
                  <c:v>7.1765036813737672E-3</c:v>
                </c:pt>
                <c:pt idx="63">
                  <c:v>7.1774957663204245E-3</c:v>
                </c:pt>
                <c:pt idx="64">
                  <c:v>7.1786479518320132E-3</c:v>
                </c:pt>
                <c:pt idx="65">
                  <c:v>7.1819090723481338E-3</c:v>
                </c:pt>
                <c:pt idx="66">
                  <c:v>7.1901914810856976E-3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29-447E-B30F-A9A240CA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607102"/>
        <c:axId val="1795058074"/>
      </c:lineChart>
      <c:catAx>
        <c:axId val="277607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5058074"/>
        <c:crosses val="autoZero"/>
        <c:auto val="1"/>
        <c:lblAlgn val="ctr"/>
        <c:lblOffset val="100"/>
        <c:noMultiLvlLbl val="1"/>
      </c:catAx>
      <c:valAx>
        <c:axId val="1795058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76071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Population'!$IK$1:$IK$67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1.1565105899932131E-2</c:v>
                </c:pt>
                <c:pt idx="2">
                  <c:v>1.173401874573333E-2</c:v>
                </c:pt>
                <c:pt idx="3">
                  <c:v>1.2549954596165567E-2</c:v>
                </c:pt>
                <c:pt idx="4">
                  <c:v>1.3885436036678715E-2</c:v>
                </c:pt>
                <c:pt idx="5">
                  <c:v>1.4999957285062537E-2</c:v>
                </c:pt>
                <c:pt idx="6">
                  <c:v>1.5564154409828775E-2</c:v>
                </c:pt>
                <c:pt idx="7">
                  <c:v>1.6655840869994016E-2</c:v>
                </c:pt>
                <c:pt idx="8">
                  <c:v>1.9023765161734336E-2</c:v>
                </c:pt>
                <c:pt idx="9">
                  <c:v>1.9753931931483872E-2</c:v>
                </c:pt>
                <c:pt idx="10">
                  <c:v>1.8788553723513502E-2</c:v>
                </c:pt>
                <c:pt idx="11">
                  <c:v>1.8139909901816881E-2</c:v>
                </c:pt>
                <c:pt idx="12">
                  <c:v>1.765522952744349E-2</c:v>
                </c:pt>
                <c:pt idx="13">
                  <c:v>1.6044865570649755E-2</c:v>
                </c:pt>
                <c:pt idx="14">
                  <c:v>1.6535528966180026E-2</c:v>
                </c:pt>
                <c:pt idx="15">
                  <c:v>1.9405959053275357E-2</c:v>
                </c:pt>
                <c:pt idx="16">
                  <c:v>2.0684435422342405E-2</c:v>
                </c:pt>
                <c:pt idx="17">
                  <c:v>2.0231801983744205E-2</c:v>
                </c:pt>
                <c:pt idx="18">
                  <c:v>2.2751631532259099E-2</c:v>
                </c:pt>
                <c:pt idx="19">
                  <c:v>2.5966256704514096E-2</c:v>
                </c:pt>
                <c:pt idx="20">
                  <c:v>2.7439083810055137E-2</c:v>
                </c:pt>
                <c:pt idx="21">
                  <c:v>2.8367810854965654E-2</c:v>
                </c:pt>
                <c:pt idx="22">
                  <c:v>2.8705864495743381E-2</c:v>
                </c:pt>
                <c:pt idx="23">
                  <c:v>2.945573661680238E-2</c:v>
                </c:pt>
                <c:pt idx="24">
                  <c:v>2.9322611187820518E-2</c:v>
                </c:pt>
                <c:pt idx="25">
                  <c:v>2.8738871809207953E-2</c:v>
                </c:pt>
                <c:pt idx="26">
                  <c:v>2.8770325325054281E-2</c:v>
                </c:pt>
                <c:pt idx="27">
                  <c:v>2.8870274916108645E-2</c:v>
                </c:pt>
                <c:pt idx="28">
                  <c:v>2.8150391653041902E-2</c:v>
                </c:pt>
                <c:pt idx="29">
                  <c:v>2.7786423816140628E-2</c:v>
                </c:pt>
                <c:pt idx="30">
                  <c:v>2.7280803159350147E-2</c:v>
                </c:pt>
                <c:pt idx="31">
                  <c:v>2.7261931606797823E-2</c:v>
                </c:pt>
                <c:pt idx="32">
                  <c:v>2.9176151881140866E-2</c:v>
                </c:pt>
                <c:pt idx="33">
                  <c:v>3.0583036283651256E-2</c:v>
                </c:pt>
                <c:pt idx="34">
                  <c:v>3.2563028726287822E-2</c:v>
                </c:pt>
                <c:pt idx="35">
                  <c:v>3.4717241334208351E-2</c:v>
                </c:pt>
                <c:pt idx="36">
                  <c:v>3.2505717650052154E-2</c:v>
                </c:pt>
                <c:pt idx="37">
                  <c:v>2.9064824690476356E-2</c:v>
                </c:pt>
                <c:pt idx="38">
                  <c:v>2.789092146936098E-2</c:v>
                </c:pt>
                <c:pt idx="39">
                  <c:v>3.019685078473016E-2</c:v>
                </c:pt>
                <c:pt idx="40">
                  <c:v>3.3439349717881824E-2</c:v>
                </c:pt>
                <c:pt idx="41">
                  <c:v>2.8710874421811482E-2</c:v>
                </c:pt>
                <c:pt idx="42">
                  <c:v>2.3571859364087424E-2</c:v>
                </c:pt>
                <c:pt idx="43">
                  <c:v>2.259112638893113E-2</c:v>
                </c:pt>
                <c:pt idx="44">
                  <c:v>2.1614871820884937E-2</c:v>
                </c:pt>
                <c:pt idx="45">
                  <c:v>2.0623151742668034E-2</c:v>
                </c:pt>
                <c:pt idx="46">
                  <c:v>2.0762321013169046E-2</c:v>
                </c:pt>
                <c:pt idx="47">
                  <c:v>2.0445134133188315E-2</c:v>
                </c:pt>
                <c:pt idx="48">
                  <c:v>2.0106008895058262E-2</c:v>
                </c:pt>
                <c:pt idx="49">
                  <c:v>1.978488196031827E-2</c:v>
                </c:pt>
                <c:pt idx="50">
                  <c:v>1.7887807571099829E-2</c:v>
                </c:pt>
                <c:pt idx="51">
                  <c:v>1.6434595445697926E-2</c:v>
                </c:pt>
                <c:pt idx="52">
                  <c:v>1.6756131814519751E-2</c:v>
                </c:pt>
                <c:pt idx="53">
                  <c:v>1.6214031946604274E-2</c:v>
                </c:pt>
                <c:pt idx="54">
                  <c:v>1.5908245404925837E-2</c:v>
                </c:pt>
                <c:pt idx="55">
                  <c:v>1.6999856056341467E-2</c:v>
                </c:pt>
                <c:pt idx="56">
                  <c:v>1.7297845029925134E-2</c:v>
                </c:pt>
                <c:pt idx="57">
                  <c:v>1.7423330558702519E-2</c:v>
                </c:pt>
                <c:pt idx="58">
                  <c:v>1.7069328247966087E-2</c:v>
                </c:pt>
                <c:pt idx="59">
                  <c:v>1.8133612667280211E-2</c:v>
                </c:pt>
                <c:pt idx="60">
                  <c:v>1.926705416866728E-2</c:v>
                </c:pt>
                <c:pt idx="61">
                  <c:v>1.9261059818068527E-2</c:v>
                </c:pt>
                <c:pt idx="62">
                  <c:v>1.9418819270710954E-2</c:v>
                </c:pt>
                <c:pt idx="63">
                  <c:v>1.9199097048289693E-2</c:v>
                </c:pt>
                <c:pt idx="64">
                  <c:v>1.8595051267007067E-2</c:v>
                </c:pt>
                <c:pt idx="65">
                  <c:v>1.7570371579956202E-2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2A-4743-8DD8-AC6BE5A4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68250"/>
        <c:axId val="833400050"/>
      </c:lineChart>
      <c:catAx>
        <c:axId val="1211068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3400050"/>
        <c:crosses val="autoZero"/>
        <c:auto val="1"/>
        <c:lblAlgn val="ctr"/>
        <c:lblOffset val="100"/>
        <c:noMultiLvlLbl val="1"/>
      </c:catAx>
      <c:valAx>
        <c:axId val="833400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10682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Population'!$IJ$1</c:f>
              <c:strCache>
                <c:ptCount val="1"/>
                <c:pt idx="0">
                  <c:v>South Quian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Population'!$IJ$2:$IJ$67</c:f>
              <c:numCache>
                <c:formatCode>#,###</c:formatCode>
                <c:ptCount val="66"/>
                <c:pt idx="0">
                  <c:v>74200934.916990668</c:v>
                </c:pt>
                <c:pt idx="1">
                  <c:v>73352604.280451432</c:v>
                </c:pt>
                <c:pt idx="2">
                  <c:v>72501866.025408641</c:v>
                </c:pt>
                <c:pt idx="3">
                  <c:v>71603248.507699057</c:v>
                </c:pt>
                <c:pt idx="4">
                  <c:v>70622622.598860085</c:v>
                </c:pt>
                <c:pt idx="5">
                  <c:v>69578941.449182481</c:v>
                </c:pt>
                <c:pt idx="6">
                  <c:v>68512600.752058491</c:v>
                </c:pt>
                <c:pt idx="7">
                  <c:v>67390160.954988912</c:v>
                </c:pt>
                <c:pt idx="8">
                  <c:v>66132079.799231261</c:v>
                </c:pt>
                <c:pt idx="9">
                  <c:v>64851017.219391905</c:v>
                </c:pt>
                <c:pt idx="10">
                  <c:v>63655031.24507194</c:v>
                </c:pt>
                <c:pt idx="11">
                  <c:v>62520907.613974623</c:v>
                </c:pt>
                <c:pt idx="12">
                  <c:v>61436236.752801552</c:v>
                </c:pt>
                <c:pt idx="13">
                  <c:v>60466066.838787287</c:v>
                </c:pt>
                <c:pt idx="14">
                  <c:v>59482492.363332815</c:v>
                </c:pt>
                <c:pt idx="15">
                  <c:v>58350151.708524778</c:v>
                </c:pt>
                <c:pt idx="16">
                  <c:v>57167670.715367034</c:v>
                </c:pt>
                <c:pt idx="17">
                  <c:v>56034001.884875484</c:v>
                </c:pt>
                <c:pt idx="18">
                  <c:v>54787496.941879079</c:v>
                </c:pt>
                <c:pt idx="19">
                  <c:v>53400876.085204706</c:v>
                </c:pt>
                <c:pt idx="20">
                  <c:v>51974736.922775112</c:v>
                </c:pt>
                <c:pt idx="21">
                  <c:v>50540999.411061198</c:v>
                </c:pt>
                <c:pt idx="22">
                  <c:v>49130661.305052109</c:v>
                </c:pt>
                <c:pt idx="23">
                  <c:v>47724889.529019326</c:v>
                </c:pt>
                <c:pt idx="24">
                  <c:v>46365336.785855338</c:v>
                </c:pt>
                <c:pt idx="25">
                  <c:v>45070073.7149304</c:v>
                </c:pt>
                <c:pt idx="26">
                  <c:v>43809655.66895593</c:v>
                </c:pt>
                <c:pt idx="27">
                  <c:v>42580349.279240333</c:v>
                </c:pt>
                <c:pt idx="28">
                  <c:v>41414514.476603374</c:v>
                </c:pt>
                <c:pt idx="29">
                  <c:v>40294864.299561873</c:v>
                </c:pt>
                <c:pt idx="30">
                  <c:v>39224780.776236698</c:v>
                </c:pt>
                <c:pt idx="31">
                  <c:v>38183816.190757722</c:v>
                </c:pt>
                <c:pt idx="32">
                  <c:v>37101341.807196826</c:v>
                </c:pt>
                <c:pt idx="33">
                  <c:v>36000342.040352859</c:v>
                </c:pt>
                <c:pt idx="34">
                  <c:v>34865031.033273458</c:v>
                </c:pt>
                <c:pt idx="35">
                  <c:v>33695225.749130271</c:v>
                </c:pt>
                <c:pt idx="36">
                  <c:v>32634420.490977481</c:v>
                </c:pt>
                <c:pt idx="37">
                  <c:v>31712696.525987379</c:v>
                </c:pt>
                <c:pt idx="38">
                  <c:v>30852200.232155334</c:v>
                </c:pt>
                <c:pt idx="39">
                  <c:v>29947868.903554052</c:v>
                </c:pt>
                <c:pt idx="40">
                  <c:v>28978835.489213284</c:v>
                </c:pt>
                <c:pt idx="41">
                  <c:v>28170048.756897688</c:v>
                </c:pt>
                <c:pt idx="42">
                  <c:v>27521320.070677638</c:v>
                </c:pt>
                <c:pt idx="43">
                  <c:v>26913317.904354874</c:v>
                </c:pt>
                <c:pt idx="44">
                  <c:v>26343897.927391823</c:v>
                </c:pt>
                <c:pt idx="45">
                  <c:v>25811581.760036312</c:v>
                </c:pt>
                <c:pt idx="46">
                  <c:v>25286573.797528829</c:v>
                </c:pt>
                <c:pt idx="47">
                  <c:v>24779944.508244801</c:v>
                </c:pt>
                <c:pt idx="48">
                  <c:v>24291538.616741937</c:v>
                </c:pt>
                <c:pt idx="49">
                  <c:v>23820257.631243415</c:v>
                </c:pt>
                <c:pt idx="50">
                  <c:v>23401653.359110072</c:v>
                </c:pt>
                <c:pt idx="51">
                  <c:v>23023275.146246519</c:v>
                </c:pt>
                <c:pt idx="52">
                  <c:v>22643851.781015377</c:v>
                </c:pt>
                <c:pt idx="53">
                  <c:v>22282561.615135394</c:v>
                </c:pt>
                <c:pt idx="54">
                  <c:v>21933635.951791983</c:v>
                </c:pt>
                <c:pt idx="55">
                  <c:v>21567000.055285029</c:v>
                </c:pt>
                <c:pt idx="56">
                  <c:v>21200280.881997354</c:v>
                </c:pt>
                <c:pt idx="57">
                  <c:v>20837226.988254283</c:v>
                </c:pt>
                <c:pt idx="58">
                  <c:v>20487518.804788962</c:v>
                </c:pt>
                <c:pt idx="59">
                  <c:v>20122622.954286214</c:v>
                </c:pt>
                <c:pt idx="60">
                  <c:v>19742247.992797717</c:v>
                </c:pt>
                <c:pt idx="61">
                  <c:v>19369177.113782391</c:v>
                </c:pt>
                <c:pt idx="62">
                  <c:v>19000215.365495253</c:v>
                </c:pt>
                <c:pt idx="63">
                  <c:v>18642300.03786495</c:v>
                </c:pt>
                <c:pt idx="64">
                  <c:v>18301973.895</c:v>
                </c:pt>
                <c:pt idx="65">
                  <c:v>17985954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B-4D4F-A77F-58A76D516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988796"/>
        <c:axId val="1348041071"/>
      </c:lineChart>
      <c:catAx>
        <c:axId val="1953988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8041071"/>
        <c:crosses val="autoZero"/>
        <c:auto val="1"/>
        <c:lblAlgn val="ctr"/>
        <c:lblOffset val="100"/>
        <c:noMultiLvlLbl val="1"/>
      </c:catAx>
      <c:valAx>
        <c:axId val="134804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39887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</a:t>
            </a:r>
          </a:p>
        </c:rich>
      </c:tx>
      <c:layout>
        <c:manualLayout>
          <c:xMode val="edge"/>
          <c:yMode val="edge"/>
          <c:x val="2.5133689839572194E-2"/>
          <c:y val="5.31055900621118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Population'!$IU$1</c:f>
              <c:strCache>
                <c:ptCount val="1"/>
                <c:pt idx="0">
                  <c:v>West Quian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Population'!$IU$2:$IU$67</c:f>
              <c:numCache>
                <c:formatCode>#,###</c:formatCode>
                <c:ptCount val="66"/>
                <c:pt idx="0">
                  <c:v>371219135.09384602</c:v>
                </c:pt>
                <c:pt idx="1">
                  <c:v>368191902.0113951</c:v>
                </c:pt>
                <c:pt idx="2">
                  <c:v>365045127.05415887</c:v>
                </c:pt>
                <c:pt idx="3">
                  <c:v>361821681.94970769</c:v>
                </c:pt>
                <c:pt idx="4">
                  <c:v>358510433.13322502</c:v>
                </c:pt>
                <c:pt idx="5">
                  <c:v>355170034.75285852</c:v>
                </c:pt>
                <c:pt idx="6">
                  <c:v>351809588.19951218</c:v>
                </c:pt>
                <c:pt idx="7">
                  <c:v>348392715.23289657</c:v>
                </c:pt>
                <c:pt idx="8">
                  <c:v>344962010.38208169</c:v>
                </c:pt>
                <c:pt idx="9">
                  <c:v>341386167.00664437</c:v>
                </c:pt>
                <c:pt idx="10">
                  <c:v>337667560.24798781</c:v>
                </c:pt>
                <c:pt idx="11">
                  <c:v>333769908.84637189</c:v>
                </c:pt>
                <c:pt idx="12">
                  <c:v>329735169.82716894</c:v>
                </c:pt>
                <c:pt idx="13">
                  <c:v>325564648.93543953</c:v>
                </c:pt>
                <c:pt idx="14">
                  <c:v>321226922.29296923</c:v>
                </c:pt>
                <c:pt idx="15">
                  <c:v>316755673.51127625</c:v>
                </c:pt>
                <c:pt idx="16">
                  <c:v>312061667.98931295</c:v>
                </c:pt>
                <c:pt idx="17">
                  <c:v>307178401.73046005</c:v>
                </c:pt>
                <c:pt idx="18">
                  <c:v>302302825.25356752</c:v>
                </c:pt>
                <c:pt idx="19">
                  <c:v>297462107.22680211</c:v>
                </c:pt>
                <c:pt idx="20">
                  <c:v>292733533.97772342</c:v>
                </c:pt>
                <c:pt idx="21">
                  <c:v>287992805.39302748</c:v>
                </c:pt>
                <c:pt idx="22">
                  <c:v>283276873.19607025</c:v>
                </c:pt>
                <c:pt idx="23">
                  <c:v>278570989.83598042</c:v>
                </c:pt>
                <c:pt idx="24">
                  <c:v>273885849.70888776</c:v>
                </c:pt>
                <c:pt idx="25">
                  <c:v>269269834.12049311</c:v>
                </c:pt>
                <c:pt idx="26">
                  <c:v>264720714.06350794</c:v>
                </c:pt>
                <c:pt idx="27">
                  <c:v>260220018.21073425</c:v>
                </c:pt>
                <c:pt idx="28">
                  <c:v>255678859.6694786</c:v>
                </c:pt>
                <c:pt idx="29">
                  <c:v>251064668.72254467</c:v>
                </c:pt>
                <c:pt idx="30">
                  <c:v>246333541.48224992</c:v>
                </c:pt>
                <c:pt idx="31">
                  <c:v>241488127.77631614</c:v>
                </c:pt>
                <c:pt idx="32">
                  <c:v>236560536.49922967</c:v>
                </c:pt>
                <c:pt idx="33">
                  <c:v>231614501.44138816</c:v>
                </c:pt>
                <c:pt idx="34">
                  <c:v>226735765.71822846</c:v>
                </c:pt>
                <c:pt idx="35">
                  <c:v>222101964.07601768</c:v>
                </c:pt>
                <c:pt idx="36">
                  <c:v>217688263.55782771</c:v>
                </c:pt>
                <c:pt idx="37">
                  <c:v>213371171.01594239</c:v>
                </c:pt>
                <c:pt idx="38">
                  <c:v>209117906.00927693</c:v>
                </c:pt>
                <c:pt idx="39">
                  <c:v>204846732.73946694</c:v>
                </c:pt>
                <c:pt idx="40">
                  <c:v>200534147.41750091</c:v>
                </c:pt>
                <c:pt idx="41">
                  <c:v>196163827.68071899</c:v>
                </c:pt>
                <c:pt idx="42">
                  <c:v>191708368.62498152</c:v>
                </c:pt>
                <c:pt idx="43">
                  <c:v>187336328.57357234</c:v>
                </c:pt>
                <c:pt idx="44">
                  <c:v>183694200.93067276</c:v>
                </c:pt>
                <c:pt idx="45">
                  <c:v>180262708.64967149</c:v>
                </c:pt>
                <c:pt idx="46">
                  <c:v>176430101.44889152</c:v>
                </c:pt>
                <c:pt idx="47">
                  <c:v>172595508.80865565</c:v>
                </c:pt>
                <c:pt idx="48">
                  <c:v>168771226.34031975</c:v>
                </c:pt>
                <c:pt idx="49">
                  <c:v>165006590.13326222</c:v>
                </c:pt>
                <c:pt idx="50">
                  <c:v>161324891.01949787</c:v>
                </c:pt>
                <c:pt idx="51">
                  <c:v>157655553.38627446</c:v>
                </c:pt>
                <c:pt idx="52">
                  <c:v>154019825.01776889</c:v>
                </c:pt>
                <c:pt idx="53">
                  <c:v>150479817.38227946</c:v>
                </c:pt>
                <c:pt idx="54">
                  <c:v>147017920.89156657</c:v>
                </c:pt>
                <c:pt idx="55">
                  <c:v>143673756.55926985</c:v>
                </c:pt>
                <c:pt idx="56">
                  <c:v>140450369.24452087</c:v>
                </c:pt>
                <c:pt idx="57">
                  <c:v>137370960.11037296</c:v>
                </c:pt>
                <c:pt idx="58">
                  <c:v>134417671.56408644</c:v>
                </c:pt>
                <c:pt idx="59">
                  <c:v>131497383.48872148</c:v>
                </c:pt>
                <c:pt idx="60">
                  <c:v>128605969.11126636</c:v>
                </c:pt>
                <c:pt idx="61">
                  <c:v>125729509.78147335</c:v>
                </c:pt>
                <c:pt idx="62">
                  <c:v>122922689.03351988</c:v>
                </c:pt>
                <c:pt idx="63">
                  <c:v>120186447.6646872</c:v>
                </c:pt>
                <c:pt idx="64">
                  <c:v>117570869.58</c:v>
                </c:pt>
                <c:pt idx="65">
                  <c:v>115037000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4-4FB2-BD9D-18C9BAE8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354955"/>
        <c:axId val="100401189"/>
      </c:lineChart>
      <c:catAx>
        <c:axId val="1505354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401189"/>
        <c:crosses val="autoZero"/>
        <c:auto val="1"/>
        <c:lblAlgn val="ctr"/>
        <c:lblOffset val="100"/>
        <c:noMultiLvlLbl val="1"/>
      </c:catAx>
      <c:valAx>
        <c:axId val="100401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53549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Population'!$IV$1:$IV$67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8.2218893623500627E-3</c:v>
                </c:pt>
                <c:pt idx="2">
                  <c:v>8.6202354832951057E-3</c:v>
                </c:pt>
                <c:pt idx="3">
                  <c:v>8.9089329502902211E-3</c:v>
                </c:pt>
                <c:pt idx="4">
                  <c:v>9.2361295807873445E-3</c:v>
                </c:pt>
                <c:pt idx="5">
                  <c:v>9.4050681462778431E-3</c:v>
                </c:pt>
                <c:pt idx="6">
                  <c:v>9.5518901873720887E-3</c:v>
                </c:pt>
                <c:pt idx="7">
                  <c:v>9.8075327560493818E-3</c:v>
                </c:pt>
                <c:pt idx="8">
                  <c:v>9.9451671417818237E-3</c:v>
                </c:pt>
                <c:pt idx="9">
                  <c:v>1.0474482334158909E-2</c:v>
                </c:pt>
                <c:pt idx="10">
                  <c:v>1.1012626608032955E-2</c:v>
                </c:pt>
                <c:pt idx="11">
                  <c:v>1.1677659664070958E-2</c:v>
                </c:pt>
                <c:pt idx="12">
                  <c:v>1.223630170029409E-2</c:v>
                </c:pt>
                <c:pt idx="13">
                  <c:v>1.281011591819492E-2</c:v>
                </c:pt>
                <c:pt idx="14">
                  <c:v>1.3503621089748371E-2</c:v>
                </c:pt>
                <c:pt idx="15">
                  <c:v>1.4115765416696818E-2</c:v>
                </c:pt>
                <c:pt idx="16">
                  <c:v>1.5041916401357094E-2</c:v>
                </c:pt>
                <c:pt idx="17">
                  <c:v>1.5897166699688152E-2</c:v>
                </c:pt>
                <c:pt idx="18">
                  <c:v>1.6128120776916204E-2</c:v>
                </c:pt>
                <c:pt idx="19">
                  <c:v>1.6273393851387485E-2</c:v>
                </c:pt>
                <c:pt idx="20">
                  <c:v>1.6153165593384079E-2</c:v>
                </c:pt>
                <c:pt idx="21">
                  <c:v>1.646127436491409E-2</c:v>
                </c:pt>
                <c:pt idx="22">
                  <c:v>1.6647783999271609E-2</c:v>
                </c:pt>
                <c:pt idx="23">
                  <c:v>1.689294123146352E-2</c:v>
                </c:pt>
                <c:pt idx="24">
                  <c:v>1.7106178110597819E-2</c:v>
                </c:pt>
                <c:pt idx="25">
                  <c:v>1.7142713380694039E-2</c:v>
                </c:pt>
                <c:pt idx="26">
                  <c:v>1.7184601790904096E-2</c:v>
                </c:pt>
                <c:pt idx="27">
                  <c:v>1.7295732602435269E-2</c:v>
                </c:pt>
                <c:pt idx="28">
                  <c:v>1.7761181143901E-2</c:v>
                </c:pt>
                <c:pt idx="29">
                  <c:v>1.837849574936861E-2</c:v>
                </c:pt>
                <c:pt idx="30">
                  <c:v>1.9206183663931394E-2</c:v>
                </c:pt>
                <c:pt idx="31">
                  <c:v>2.0064811262365468E-2</c:v>
                </c:pt>
                <c:pt idx="32">
                  <c:v>2.0830149229487026E-2</c:v>
                </c:pt>
                <c:pt idx="33">
                  <c:v>2.1354600109497641E-2</c:v>
                </c:pt>
                <c:pt idx="34">
                  <c:v>2.1517274558362602E-2</c:v>
                </c:pt>
                <c:pt idx="35">
                  <c:v>2.0863397860924789E-2</c:v>
                </c:pt>
                <c:pt idx="36">
                  <c:v>2.0275326037581677E-2</c:v>
                </c:pt>
                <c:pt idx="37">
                  <c:v>2.0232782720036521E-2</c:v>
                </c:pt>
                <c:pt idx="38">
                  <c:v>2.0339076111812175E-2</c:v>
                </c:pt>
                <c:pt idx="39">
                  <c:v>2.0850580395842859E-2</c:v>
                </c:pt>
                <c:pt idx="40">
                  <c:v>2.1505491097171894E-2</c:v>
                </c:pt>
                <c:pt idx="41">
                  <c:v>2.2278927712886819E-2</c:v>
                </c:pt>
                <c:pt idx="42">
                  <c:v>2.3240816703485705E-2</c:v>
                </c:pt>
                <c:pt idx="43">
                  <c:v>2.3337918943426714E-2</c:v>
                </c:pt>
                <c:pt idx="44">
                  <c:v>1.9827123689517737E-2</c:v>
                </c:pt>
                <c:pt idx="45">
                  <c:v>1.9036063014398311E-2</c:v>
                </c:pt>
                <c:pt idx="46">
                  <c:v>2.1723091293977453E-2</c:v>
                </c:pt>
                <c:pt idx="47">
                  <c:v>2.2217221448601023E-2</c:v>
                </c:pt>
                <c:pt idx="48">
                  <c:v>2.2659564377546203E-2</c:v>
                </c:pt>
                <c:pt idx="49">
                  <c:v>2.2815065774143623E-2</c:v>
                </c:pt>
                <c:pt idx="50">
                  <c:v>2.282164327214312E-2</c:v>
                </c:pt>
                <c:pt idx="51">
                  <c:v>2.3274395061955794E-2</c:v>
                </c:pt>
                <c:pt idx="52">
                  <c:v>2.3605586930683257E-2</c:v>
                </c:pt>
                <c:pt idx="53">
                  <c:v>2.3524800182979928E-2</c:v>
                </c:pt>
                <c:pt idx="54">
                  <c:v>2.354744557478956E-2</c:v>
                </c:pt>
                <c:pt idx="55">
                  <c:v>2.3276097266358858E-2</c:v>
                </c:pt>
                <c:pt idx="56">
                  <c:v>2.2950365542557808E-2</c:v>
                </c:pt>
                <c:pt idx="57">
                  <c:v>2.2416740275191426E-2</c:v>
                </c:pt>
                <c:pt idx="58">
                  <c:v>2.1970984260640768E-2</c:v>
                </c:pt>
                <c:pt idx="59">
                  <c:v>2.2207955762218151E-2</c:v>
                </c:pt>
                <c:pt idx="60">
                  <c:v>2.2482738534115341E-2</c:v>
                </c:pt>
                <c:pt idx="61">
                  <c:v>2.2878155930079525E-2</c:v>
                </c:pt>
                <c:pt idx="62">
                  <c:v>2.2834033082274018E-2</c:v>
                </c:pt>
                <c:pt idx="63">
                  <c:v>2.276663818591779E-2</c:v>
                </c:pt>
                <c:pt idx="64">
                  <c:v>2.2246820951744833E-2</c:v>
                </c:pt>
                <c:pt idx="65">
                  <c:v>2.2026561714926486E-2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74-4BB5-8D0C-C7F80DF84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188185"/>
        <c:axId val="1167932775"/>
      </c:lineChart>
      <c:catAx>
        <c:axId val="2103188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932775"/>
        <c:crosses val="autoZero"/>
        <c:auto val="1"/>
        <c:lblAlgn val="ctr"/>
        <c:lblOffset val="100"/>
        <c:noMultiLvlLbl val="1"/>
      </c:catAx>
      <c:valAx>
        <c:axId val="1167932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31881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Population'!$IW$1:$IW$67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5.4480853891580097E-2</c:v>
                </c:pt>
                <c:pt idx="2">
                  <c:v>5.4555161322704153E-2</c:v>
                </c:pt>
                <c:pt idx="3">
                  <c:v>5.4617624685505087E-2</c:v>
                </c:pt>
                <c:pt idx="4">
                  <c:v>5.4664081914449096E-2</c:v>
                </c:pt>
                <c:pt idx="5">
                  <c:v>5.4704411172032015E-2</c:v>
                </c:pt>
                <c:pt idx="6">
                  <c:v>5.4737578849492416E-2</c:v>
                </c:pt>
                <c:pt idx="7">
                  <c:v>5.4781114938328546E-2</c:v>
                </c:pt>
                <c:pt idx="8">
                  <c:v>5.4837234777393565E-2</c:v>
                </c:pt>
                <c:pt idx="9">
                  <c:v>5.4921275771802523E-2</c:v>
                </c:pt>
                <c:pt idx="10">
                  <c:v>5.4956268470470325E-2</c:v>
                </c:pt>
                <c:pt idx="11">
                  <c:v>5.4970572208322903E-2</c:v>
                </c:pt>
                <c:pt idx="12">
                  <c:v>5.4946687017239794E-2</c:v>
                </c:pt>
                <c:pt idx="13">
                  <c:v>5.4897720295225341E-2</c:v>
                </c:pt>
                <c:pt idx="14">
                  <c:v>5.4823739630290587E-2</c:v>
                </c:pt>
                <c:pt idx="15">
                  <c:v>5.4723999181049067E-2</c:v>
                </c:pt>
                <c:pt idx="16">
                  <c:v>5.4605926882134885E-2</c:v>
                </c:pt>
                <c:pt idx="17">
                  <c:v>5.4435817328116524E-2</c:v>
                </c:pt>
                <c:pt idx="18">
                  <c:v>5.4225459245239097E-2</c:v>
                </c:pt>
                <c:pt idx="19">
                  <c:v>5.4007659161785682E-2</c:v>
                </c:pt>
                <c:pt idx="20">
                  <c:v>5.3798401559684142E-2</c:v>
                </c:pt>
                <c:pt idx="21">
                  <c:v>5.3618536132363948E-2</c:v>
                </c:pt>
                <c:pt idx="22">
                  <c:v>5.3439977466263527E-2</c:v>
                </c:pt>
                <c:pt idx="23">
                  <c:v>5.3256187565267697E-2</c:v>
                </c:pt>
                <c:pt idx="24">
                  <c:v>5.3050635566545712E-2</c:v>
                </c:pt>
                <c:pt idx="25">
                  <c:v>5.2861716590915465E-2</c:v>
                </c:pt>
                <c:pt idx="26">
                  <c:v>5.2702818136304772E-2</c:v>
                </c:pt>
                <c:pt idx="27">
                  <c:v>5.2549096971618581E-2</c:v>
                </c:pt>
                <c:pt idx="28">
                  <c:v>5.2419188719551979E-2</c:v>
                </c:pt>
                <c:pt idx="29">
                  <c:v>5.2285166727575133E-2</c:v>
                </c:pt>
                <c:pt idx="30">
                  <c:v>5.212382882582129E-2</c:v>
                </c:pt>
                <c:pt idx="31">
                  <c:v>5.1936741998386111E-2</c:v>
                </c:pt>
                <c:pt idx="32">
                  <c:v>5.1721584738198774E-2</c:v>
                </c:pt>
                <c:pt idx="33">
                  <c:v>5.1477399304996417E-2</c:v>
                </c:pt>
                <c:pt idx="34">
                  <c:v>5.122617024047E-2</c:v>
                </c:pt>
                <c:pt idx="35">
                  <c:v>5.0993456705749639E-2</c:v>
                </c:pt>
                <c:pt idx="36">
                  <c:v>5.0800587124732191E-2</c:v>
                </c:pt>
                <c:pt idx="37">
                  <c:v>5.0640592714811625E-2</c:v>
                </c:pt>
                <c:pt idx="38">
                  <c:v>5.0484491003885232E-2</c:v>
                </c:pt>
                <c:pt idx="39">
                  <c:v>5.0321294004096732E-2</c:v>
                </c:pt>
                <c:pt idx="40">
                  <c:v>5.0137180266840983E-2</c:v>
                </c:pt>
                <c:pt idx="41">
                  <c:v>4.9916427877780473E-2</c:v>
                </c:pt>
                <c:pt idx="42">
                  <c:v>4.9656621889156462E-2</c:v>
                </c:pt>
                <c:pt idx="43">
                  <c:v>4.9395065053731743E-2</c:v>
                </c:pt>
                <c:pt idx="44">
                  <c:v>4.9119491016620331E-2</c:v>
                </c:pt>
                <c:pt idx="45">
                  <c:v>4.90133865409507E-2</c:v>
                </c:pt>
                <c:pt idx="46">
                  <c:v>4.8981372504140017E-2</c:v>
                </c:pt>
                <c:pt idx="47">
                  <c:v>4.8797615660726733E-2</c:v>
                </c:pt>
                <c:pt idx="48">
                  <c:v>4.8600864759299083E-2</c:v>
                </c:pt>
                <c:pt idx="49">
                  <c:v>4.8393859099628664E-2</c:v>
                </c:pt>
                <c:pt idx="50">
                  <c:v>4.818680720515648E-2</c:v>
                </c:pt>
                <c:pt idx="51">
                  <c:v>4.8027695063576556E-2</c:v>
                </c:pt>
                <c:pt idx="52">
                  <c:v>4.7851838695787983E-2</c:v>
                </c:pt>
                <c:pt idx="53">
                  <c:v>4.7676302474569943E-2</c:v>
                </c:pt>
                <c:pt idx="54">
                  <c:v>4.7510550999155091E-2</c:v>
                </c:pt>
                <c:pt idx="55">
                  <c:v>4.736246967288546E-2</c:v>
                </c:pt>
                <c:pt idx="56">
                  <c:v>4.7207075578863618E-2</c:v>
                </c:pt>
                <c:pt idx="57">
                  <c:v>4.708222853115087E-2</c:v>
                </c:pt>
                <c:pt idx="58">
                  <c:v>4.6981982358440803E-2</c:v>
                </c:pt>
                <c:pt idx="59">
                  <c:v>4.6904834815576127E-2</c:v>
                </c:pt>
                <c:pt idx="60">
                  <c:v>4.6821137027928325E-2</c:v>
                </c:pt>
                <c:pt idx="61">
                  <c:v>4.67143941814036E-2</c:v>
                </c:pt>
                <c:pt idx="62">
                  <c:v>4.6584234554911494E-2</c:v>
                </c:pt>
                <c:pt idx="63">
                  <c:v>4.6435109452761393E-2</c:v>
                </c:pt>
                <c:pt idx="64">
                  <c:v>4.6280565950213272E-2</c:v>
                </c:pt>
                <c:pt idx="65">
                  <c:v>4.6136187261809077E-2</c:v>
                </c:pt>
                <c:pt idx="66">
                  <c:v>4.5988000270080501E-2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56-4793-BFC5-5F2A71419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548269"/>
        <c:axId val="675386476"/>
      </c:lineChart>
      <c:catAx>
        <c:axId val="1295548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5386476"/>
        <c:crosses val="autoZero"/>
        <c:auto val="1"/>
        <c:lblAlgn val="ctr"/>
        <c:lblOffset val="100"/>
        <c:noMultiLvlLbl val="1"/>
      </c:catAx>
      <c:valAx>
        <c:axId val="675386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5482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Population'!$Z$1:$Z$67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0.10203099257749167</c:v>
                </c:pt>
                <c:pt idx="2">
                  <c:v>0.10254171630227296</c:v>
                </c:pt>
                <c:pt idx="3">
                  <c:v>0.103050926446284</c:v>
                </c:pt>
                <c:pt idx="4">
                  <c:v>0.10365851307218657</c:v>
                </c:pt>
                <c:pt idx="5">
                  <c:v>0.10437697951274148</c:v>
                </c:pt>
                <c:pt idx="6">
                  <c:v>0.10496525159634663</c:v>
                </c:pt>
                <c:pt idx="7">
                  <c:v>0.10548123771344194</c:v>
                </c:pt>
                <c:pt idx="8">
                  <c:v>0.10604800328343031</c:v>
                </c:pt>
                <c:pt idx="9">
                  <c:v>0.10614939985753689</c:v>
                </c:pt>
                <c:pt idx="10">
                  <c:v>0.10657550753142672</c:v>
                </c:pt>
                <c:pt idx="11">
                  <c:v>0.10688292685369591</c:v>
                </c:pt>
                <c:pt idx="12">
                  <c:v>0.10718407149717825</c:v>
                </c:pt>
                <c:pt idx="13">
                  <c:v>0.10746710025147495</c:v>
                </c:pt>
                <c:pt idx="14">
                  <c:v>0.10772306695924784</c:v>
                </c:pt>
                <c:pt idx="15">
                  <c:v>0.10796031082529771</c:v>
                </c:pt>
                <c:pt idx="16">
                  <c:v>0.10817273441415649</c:v>
                </c:pt>
                <c:pt idx="17">
                  <c:v>0.10832850059980682</c:v>
                </c:pt>
                <c:pt idx="18">
                  <c:v>0.1084657782617916</c:v>
                </c:pt>
                <c:pt idx="19">
                  <c:v>0.10860633000909763</c:v>
                </c:pt>
                <c:pt idx="20">
                  <c:v>0.10880284008458758</c:v>
                </c:pt>
                <c:pt idx="21">
                  <c:v>0.10907738457974639</c:v>
                </c:pt>
                <c:pt idx="22">
                  <c:v>0.10942085400525316</c:v>
                </c:pt>
                <c:pt idx="23">
                  <c:v>0.10978990072337061</c:v>
                </c:pt>
                <c:pt idx="24">
                  <c:v>0.11012637000028595</c:v>
                </c:pt>
                <c:pt idx="25">
                  <c:v>0.11048242163470763</c:v>
                </c:pt>
                <c:pt idx="26">
                  <c:v>0.11086576846677323</c:v>
                </c:pt>
                <c:pt idx="27">
                  <c:v>0.11120091746126995</c:v>
                </c:pt>
                <c:pt idx="28">
                  <c:v>0.11156955684963321</c:v>
                </c:pt>
                <c:pt idx="29">
                  <c:v>0.1119363668408213</c:v>
                </c:pt>
                <c:pt idx="30">
                  <c:v>0.11226070846020554</c:v>
                </c:pt>
                <c:pt idx="31">
                  <c:v>0.11256930056434025</c:v>
                </c:pt>
                <c:pt idx="32">
                  <c:v>0.11284385101653581</c:v>
                </c:pt>
                <c:pt idx="33">
                  <c:v>0.11308361944935749</c:v>
                </c:pt>
                <c:pt idx="34">
                  <c:v>0.1133068309425975</c:v>
                </c:pt>
                <c:pt idx="35">
                  <c:v>0.11354225708741958</c:v>
                </c:pt>
                <c:pt idx="36">
                  <c:v>0.11374573185867205</c:v>
                </c:pt>
                <c:pt idx="37">
                  <c:v>0.11390826975670462</c:v>
                </c:pt>
                <c:pt idx="38">
                  <c:v>0.11404998987382137</c:v>
                </c:pt>
                <c:pt idx="39">
                  <c:v>0.11417364762501733</c:v>
                </c:pt>
                <c:pt idx="40">
                  <c:v>0.11426236224335261</c:v>
                </c:pt>
                <c:pt idx="41">
                  <c:v>0.11428370098786168</c:v>
                </c:pt>
                <c:pt idx="42">
                  <c:v>0.11420297265652075</c:v>
                </c:pt>
                <c:pt idx="43">
                  <c:v>0.11413750618038619</c:v>
                </c:pt>
                <c:pt idx="44">
                  <c:v>0.11397617387307658</c:v>
                </c:pt>
                <c:pt idx="45">
                  <c:v>0.11377133243915111</c:v>
                </c:pt>
                <c:pt idx="46">
                  <c:v>0.11361309611267459</c:v>
                </c:pt>
                <c:pt idx="47">
                  <c:v>0.11335763166960722</c:v>
                </c:pt>
                <c:pt idx="48">
                  <c:v>0.11307360795671231</c:v>
                </c:pt>
                <c:pt idx="49">
                  <c:v>0.11273435794185412</c:v>
                </c:pt>
                <c:pt idx="50">
                  <c:v>0.11233370397162934</c:v>
                </c:pt>
                <c:pt idx="51">
                  <c:v>0.11195634210125238</c:v>
                </c:pt>
                <c:pt idx="52">
                  <c:v>0.1115017870469958</c:v>
                </c:pt>
                <c:pt idx="53">
                  <c:v>0.11101585756096402</c:v>
                </c:pt>
                <c:pt idx="54">
                  <c:v>0.11049677422166282</c:v>
                </c:pt>
                <c:pt idx="55">
                  <c:v>0.1099951852878292</c:v>
                </c:pt>
                <c:pt idx="56">
                  <c:v>0.10942266070337724</c:v>
                </c:pt>
                <c:pt idx="57">
                  <c:v>0.10887238687215216</c:v>
                </c:pt>
                <c:pt idx="58">
                  <c:v>0.10830573668839596</c:v>
                </c:pt>
                <c:pt idx="59">
                  <c:v>0.10773203664590097</c:v>
                </c:pt>
                <c:pt idx="60">
                  <c:v>0.10716859382675541</c:v>
                </c:pt>
                <c:pt idx="61">
                  <c:v>0.10658556983644724</c:v>
                </c:pt>
                <c:pt idx="62">
                  <c:v>0.10599376498472994</c:v>
                </c:pt>
                <c:pt idx="63">
                  <c:v>0.1053588088528561</c:v>
                </c:pt>
                <c:pt idx="64">
                  <c:v>0.1047194467401001</c:v>
                </c:pt>
                <c:pt idx="65">
                  <c:v>0.10405658750571255</c:v>
                </c:pt>
                <c:pt idx="66">
                  <c:v>0.10336232510436678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25-4B02-A594-44D55B11F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016246"/>
        <c:axId val="438382397"/>
      </c:lineChart>
      <c:catAx>
        <c:axId val="289016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8382397"/>
        <c:crosses val="autoZero"/>
        <c:auto val="1"/>
        <c:lblAlgn val="ctr"/>
        <c:lblOffset val="100"/>
        <c:noMultiLvlLbl val="1"/>
      </c:catAx>
      <c:valAx>
        <c:axId val="438382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90162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9.5970216014784337E-3</c:v>
                </c:pt>
                <c:pt idx="2">
                  <c:v>9.775063187399834E-3</c:v>
                </c:pt>
                <c:pt idx="3">
                  <c:v>9.767101234825026E-3</c:v>
                </c:pt>
                <c:pt idx="4">
                  <c:v>9.9807088805101418E-3</c:v>
                </c:pt>
                <c:pt idx="5">
                  <c:v>1.0017077690113077E-2</c:v>
                </c:pt>
                <c:pt idx="6">
                  <c:v>1.03548475285569E-2</c:v>
                </c:pt>
                <c:pt idx="7">
                  <c:v>1.0842017656342316E-2</c:v>
                </c:pt>
                <c:pt idx="8">
                  <c:v>1.1492962111562182E-2</c:v>
                </c:pt>
                <c:pt idx="9">
                  <c:v>1.1118298934828193E-2</c:v>
                </c:pt>
                <c:pt idx="10">
                  <c:v>1.1275767828846019E-2</c:v>
                </c:pt>
                <c:pt idx="11">
                  <c:v>1.1238076933805519E-2</c:v>
                </c:pt>
                <c:pt idx="12">
                  <c:v>1.1334229231707431E-2</c:v>
                </c:pt>
                <c:pt idx="13">
                  <c:v>1.1445243835614268E-2</c:v>
                </c:pt>
                <c:pt idx="14">
                  <c:v>1.1659760981753366E-2</c:v>
                </c:pt>
                <c:pt idx="15">
                  <c:v>1.1927712979379225E-2</c:v>
                </c:pt>
                <c:pt idx="16">
                  <c:v>1.1879836063783468E-2</c:v>
                </c:pt>
                <c:pt idx="17">
                  <c:v>1.1971402545189469E-2</c:v>
                </c:pt>
                <c:pt idx="18">
                  <c:v>1.2046776098881027E-2</c:v>
                </c:pt>
                <c:pt idx="19">
                  <c:v>1.2335749880559587E-2</c:v>
                </c:pt>
                <c:pt idx="20">
                  <c:v>1.2755837456237479E-2</c:v>
                </c:pt>
                <c:pt idx="21">
                  <c:v>1.307628882847053E-2</c:v>
                </c:pt>
                <c:pt idx="22">
                  <c:v>1.3151345482118149E-2</c:v>
                </c:pt>
                <c:pt idx="23">
                  <c:v>1.2968056891963235E-2</c:v>
                </c:pt>
                <c:pt idx="24">
                  <c:v>1.3484154449169311E-2</c:v>
                </c:pt>
                <c:pt idx="25">
                  <c:v>1.4085256761843133E-2</c:v>
                </c:pt>
                <c:pt idx="26">
                  <c:v>1.4217724359724543E-2</c:v>
                </c:pt>
                <c:pt idx="27">
                  <c:v>1.4780844277549917E-2</c:v>
                </c:pt>
                <c:pt idx="28">
                  <c:v>1.5159035170536477E-2</c:v>
                </c:pt>
                <c:pt idx="29">
                  <c:v>1.5236054786111923E-2</c:v>
                </c:pt>
                <c:pt idx="30">
                  <c:v>1.5547970986555373E-2</c:v>
                </c:pt>
                <c:pt idx="31">
                  <c:v>1.5839009997982274E-2</c:v>
                </c:pt>
                <c:pt idx="32">
                  <c:v>1.6010655521446523E-2</c:v>
                </c:pt>
                <c:pt idx="33">
                  <c:v>1.6370005623381999E-2</c:v>
                </c:pt>
                <c:pt idx="34">
                  <c:v>1.6876660305443464E-2</c:v>
                </c:pt>
                <c:pt idx="35">
                  <c:v>1.7002245694723774E-2</c:v>
                </c:pt>
                <c:pt idx="36">
                  <c:v>1.7062009853949917E-2</c:v>
                </c:pt>
                <c:pt idx="37">
                  <c:v>1.7087873184267754E-2</c:v>
                </c:pt>
                <c:pt idx="38">
                  <c:v>1.7040711155025649E-2</c:v>
                </c:pt>
                <c:pt idx="39">
                  <c:v>1.7115529076990144E-2</c:v>
                </c:pt>
                <c:pt idx="40">
                  <c:v>1.7007835337554487E-2</c:v>
                </c:pt>
                <c:pt idx="41">
                  <c:v>1.6958150590889197E-2</c:v>
                </c:pt>
                <c:pt idx="42">
                  <c:v>1.7851089820900272E-2</c:v>
                </c:pt>
                <c:pt idx="43">
                  <c:v>1.7628738049633594E-2</c:v>
                </c:pt>
                <c:pt idx="44">
                  <c:v>1.7624164741996681E-2</c:v>
                </c:pt>
                <c:pt idx="45">
                  <c:v>1.8370459995812747E-2</c:v>
                </c:pt>
                <c:pt idx="46">
                  <c:v>1.7890029856534644E-2</c:v>
                </c:pt>
                <c:pt idx="47">
                  <c:v>1.8095664338655098E-2</c:v>
                </c:pt>
                <c:pt idx="48">
                  <c:v>1.8303750570720201E-2</c:v>
                </c:pt>
                <c:pt idx="49">
                  <c:v>1.8438977547179838E-2</c:v>
                </c:pt>
                <c:pt idx="50">
                  <c:v>1.9444300975475871E-2</c:v>
                </c:pt>
                <c:pt idx="51">
                  <c:v>1.9527612749616213E-2</c:v>
                </c:pt>
                <c:pt idx="52">
                  <c:v>1.9850666291378678E-2</c:v>
                </c:pt>
                <c:pt idx="53">
                  <c:v>1.9966412956023485E-2</c:v>
                </c:pt>
                <c:pt idx="54">
                  <c:v>2.0357243397523764E-2</c:v>
                </c:pt>
                <c:pt idx="55">
                  <c:v>1.9918775252385671E-2</c:v>
                </c:pt>
                <c:pt idx="56">
                  <c:v>2.0245001324829266E-2</c:v>
                </c:pt>
                <c:pt idx="57">
                  <c:v>2.0239838961790796E-2</c:v>
                </c:pt>
                <c:pt idx="58">
                  <c:v>2.0292839866622121E-2</c:v>
                </c:pt>
                <c:pt idx="59">
                  <c:v>2.0383910442590088E-2</c:v>
                </c:pt>
                <c:pt idx="60">
                  <c:v>2.0151681986547283E-2</c:v>
                </c:pt>
                <c:pt idx="61">
                  <c:v>2.0028125633084065E-2</c:v>
                </c:pt>
                <c:pt idx="62">
                  <c:v>1.9559744449577997E-2</c:v>
                </c:pt>
                <c:pt idx="63">
                  <c:v>1.9362706539855487E-2</c:v>
                </c:pt>
                <c:pt idx="64">
                  <c:v>1.90577792405189E-2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8B-4969-8E1C-2F27C05AE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968465"/>
        <c:axId val="1800475341"/>
      </c:lineChart>
      <c:catAx>
        <c:axId val="362968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0475341"/>
        <c:crosses val="autoZero"/>
        <c:auto val="1"/>
        <c:lblAlgn val="ctr"/>
        <c:lblOffset val="100"/>
        <c:noMultiLvlLbl val="1"/>
      </c:catAx>
      <c:valAx>
        <c:axId val="180047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29684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Population'!$C$1</c:f>
              <c:strCache>
                <c:ptCount val="1"/>
                <c:pt idx="0">
                  <c:v>Middle Acrolan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Population'!$C$2:$C$67</c:f>
              <c:numCache>
                <c:formatCode>#,###</c:formatCode>
                <c:ptCount val="66"/>
                <c:pt idx="0">
                  <c:v>6813753981.0332737</c:v>
                </c:pt>
                <c:pt idx="1">
                  <c:v>6748983837.358119</c:v>
                </c:pt>
                <c:pt idx="2">
                  <c:v>6683650729.1580877</c:v>
                </c:pt>
                <c:pt idx="3">
                  <c:v>6619002263.9723339</c:v>
                </c:pt>
                <c:pt idx="4">
                  <c:v>6553592762.4885178</c:v>
                </c:pt>
                <c:pt idx="5">
                  <c:v>6488595992.3335562</c:v>
                </c:pt>
                <c:pt idx="6">
                  <c:v>6422096165.7237568</c:v>
                </c:pt>
                <c:pt idx="7">
                  <c:v>6353214501.9194164</c:v>
                </c:pt>
                <c:pt idx="8">
                  <c:v>6281026897.7617378</c:v>
                </c:pt>
                <c:pt idx="9">
                  <c:v>6211960464.347785</c:v>
                </c:pt>
                <c:pt idx="10">
                  <c:v>6142696840.9265118</c:v>
                </c:pt>
                <c:pt idx="11">
                  <c:v>6074431907.8172979</c:v>
                </c:pt>
                <c:pt idx="12">
                  <c:v>6006354508.9657803</c:v>
                </c:pt>
                <c:pt idx="13">
                  <c:v>5938388207.9354229</c:v>
                </c:pt>
                <c:pt idx="14">
                  <c:v>5869946040.1316977</c:v>
                </c:pt>
                <c:pt idx="15">
                  <c:v>5800756284.1114855</c:v>
                </c:pt>
                <c:pt idx="16">
                  <c:v>5732653302.6653147</c:v>
                </c:pt>
                <c:pt idx="17">
                  <c:v>5664837255.5264215</c:v>
                </c:pt>
                <c:pt idx="18">
                  <c:v>5597406552.0593529</c:v>
                </c:pt>
                <c:pt idx="19">
                  <c:v>5529199727.1851387</c:v>
                </c:pt>
                <c:pt idx="20">
                  <c:v>5459558486.5479116</c:v>
                </c:pt>
                <c:pt idx="21">
                  <c:v>5389089199.6508856</c:v>
                </c:pt>
                <c:pt idx="22">
                  <c:v>5319135412.1791487</c:v>
                </c:pt>
                <c:pt idx="23">
                  <c:v>5251039631.4959555</c:v>
                </c:pt>
                <c:pt idx="24">
                  <c:v>5181175856.0250072</c:v>
                </c:pt>
                <c:pt idx="25">
                  <c:v>5109211302.9721336</c:v>
                </c:pt>
                <c:pt idx="26">
                  <c:v>5037588261.6304874</c:v>
                </c:pt>
                <c:pt idx="27">
                  <c:v>4964213002.2831516</c:v>
                </c:pt>
                <c:pt idx="28">
                  <c:v>4890084046.2393303</c:v>
                </c:pt>
                <c:pt idx="29">
                  <c:v>4816696593.0593987</c:v>
                </c:pt>
                <c:pt idx="30">
                  <c:v>4742953292.8712492</c:v>
                </c:pt>
                <c:pt idx="31">
                  <c:v>4669000940.2972918</c:v>
                </c:pt>
                <c:pt idx="32">
                  <c:v>4595425170.9112473</c:v>
                </c:pt>
                <c:pt idx="33">
                  <c:v>4521409669.2008162</c:v>
                </c:pt>
                <c:pt idx="34">
                  <c:v>4446369796.5520239</c:v>
                </c:pt>
                <c:pt idx="35">
                  <c:v>4372035376.8881474</c:v>
                </c:pt>
                <c:pt idx="36">
                  <c:v>4298691067.5347824</c:v>
                </c:pt>
                <c:pt idx="37">
                  <c:v>4226469689.4640689</c:v>
                </c:pt>
                <c:pt idx="38">
                  <c:v>4155654383.4554877</c:v>
                </c:pt>
                <c:pt idx="39">
                  <c:v>4085725037.7709327</c:v>
                </c:pt>
                <c:pt idx="40">
                  <c:v>4017397797.544836</c:v>
                </c:pt>
                <c:pt idx="41">
                  <c:v>3950406214.0714283</c:v>
                </c:pt>
                <c:pt idx="42">
                  <c:v>3881123922.327908</c:v>
                </c:pt>
                <c:pt idx="43">
                  <c:v>3813889857.0871639</c:v>
                </c:pt>
                <c:pt idx="44">
                  <c:v>3747837354.1317372</c:v>
                </c:pt>
                <c:pt idx="45">
                  <c:v>3680229839.0972056</c:v>
                </c:pt>
                <c:pt idx="46">
                  <c:v>3615547584.8564029</c:v>
                </c:pt>
                <c:pt idx="47">
                  <c:v>3551284728.4395685</c:v>
                </c:pt>
                <c:pt idx="48">
                  <c:v>3487451289.9016719</c:v>
                </c:pt>
                <c:pt idx="49">
                  <c:v>3424310505.378427</c:v>
                </c:pt>
                <c:pt idx="50">
                  <c:v>3358997153.7452378</c:v>
                </c:pt>
                <c:pt idx="51">
                  <c:v>3294660303.2027612</c:v>
                </c:pt>
                <c:pt idx="52">
                  <c:v>3230532088.7650948</c:v>
                </c:pt>
                <c:pt idx="53">
                  <c:v>3167292616.4328327</c:v>
                </c:pt>
                <c:pt idx="54">
                  <c:v>3104101663.3415308</c:v>
                </c:pt>
                <c:pt idx="55">
                  <c:v>3043479283.5080423</c:v>
                </c:pt>
                <c:pt idx="56">
                  <c:v>2983086689.5264978</c:v>
                </c:pt>
                <c:pt idx="57">
                  <c:v>2923907277.0988097</c:v>
                </c:pt>
                <c:pt idx="58">
                  <c:v>2865753010.1662164</c:v>
                </c:pt>
                <c:pt idx="59">
                  <c:v>2808504701.8461905</c:v>
                </c:pt>
                <c:pt idx="60">
                  <c:v>2753026585.592814</c:v>
                </c:pt>
                <c:pt idx="61">
                  <c:v>2698971250.3114934</c:v>
                </c:pt>
                <c:pt idx="62">
                  <c:v>2647192834.9510961</c:v>
                </c:pt>
                <c:pt idx="63">
                  <c:v>2596909635.7632885</c:v>
                </c:pt>
                <c:pt idx="64">
                  <c:v>2548343861.0308313</c:v>
                </c:pt>
                <c:pt idx="65">
                  <c:v>2501456887.1097956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7-4263-B57C-7C60D0A92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71036"/>
        <c:axId val="1458961532"/>
      </c:lineChart>
      <c:catAx>
        <c:axId val="47171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8961532"/>
        <c:crosses val="autoZero"/>
        <c:auto val="1"/>
        <c:lblAlgn val="ctr"/>
        <c:lblOffset val="100"/>
        <c:noMultiLvlLbl val="1"/>
      </c:catAx>
      <c:valAx>
        <c:axId val="1458961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1710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</a:t>
            </a:r>
          </a:p>
        </c:rich>
      </c:tx>
      <c:layout>
        <c:manualLayout>
          <c:xMode val="edge"/>
          <c:yMode val="edge"/>
          <c:x val="2.6916221033868096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'Geoscheme Population'!$C$1</c:f>
              <c:strCache>
                <c:ptCount val="1"/>
                <c:pt idx="0">
                  <c:v>Middle Acrolan 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'Geoscheme Population'!$C$2:$C$67</c:f>
              <c:numCache>
                <c:formatCode>#,###</c:formatCode>
                <c:ptCount val="66"/>
                <c:pt idx="0">
                  <c:v>6813753981.0332737</c:v>
                </c:pt>
                <c:pt idx="1">
                  <c:v>6748983837.358119</c:v>
                </c:pt>
                <c:pt idx="2">
                  <c:v>6683650729.1580877</c:v>
                </c:pt>
                <c:pt idx="3">
                  <c:v>6619002263.9723339</c:v>
                </c:pt>
                <c:pt idx="4">
                  <c:v>6553592762.4885178</c:v>
                </c:pt>
                <c:pt idx="5">
                  <c:v>6488595992.3335562</c:v>
                </c:pt>
                <c:pt idx="6">
                  <c:v>6422096165.7237568</c:v>
                </c:pt>
                <c:pt idx="7">
                  <c:v>6353214501.9194164</c:v>
                </c:pt>
                <c:pt idx="8">
                  <c:v>6281026897.7617378</c:v>
                </c:pt>
                <c:pt idx="9">
                  <c:v>6211960464.347785</c:v>
                </c:pt>
                <c:pt idx="10">
                  <c:v>6142696840.9265118</c:v>
                </c:pt>
                <c:pt idx="11">
                  <c:v>6074431907.8172979</c:v>
                </c:pt>
                <c:pt idx="12">
                  <c:v>6006354508.9657803</c:v>
                </c:pt>
                <c:pt idx="13">
                  <c:v>5938388207.9354229</c:v>
                </c:pt>
                <c:pt idx="14">
                  <c:v>5869946040.1316977</c:v>
                </c:pt>
                <c:pt idx="15">
                  <c:v>5800756284.1114855</c:v>
                </c:pt>
                <c:pt idx="16">
                  <c:v>5732653302.6653147</c:v>
                </c:pt>
                <c:pt idx="17">
                  <c:v>5664837255.5264215</c:v>
                </c:pt>
                <c:pt idx="18">
                  <c:v>5597406552.0593529</c:v>
                </c:pt>
                <c:pt idx="19">
                  <c:v>5529199727.1851387</c:v>
                </c:pt>
                <c:pt idx="20">
                  <c:v>5459558486.5479116</c:v>
                </c:pt>
                <c:pt idx="21">
                  <c:v>5389089199.6508856</c:v>
                </c:pt>
                <c:pt idx="22">
                  <c:v>5319135412.1791487</c:v>
                </c:pt>
                <c:pt idx="23">
                  <c:v>5251039631.4959555</c:v>
                </c:pt>
                <c:pt idx="24">
                  <c:v>5181175856.0250072</c:v>
                </c:pt>
                <c:pt idx="25">
                  <c:v>5109211302.9721336</c:v>
                </c:pt>
                <c:pt idx="26">
                  <c:v>5037588261.6304874</c:v>
                </c:pt>
                <c:pt idx="27">
                  <c:v>4964213002.2831516</c:v>
                </c:pt>
                <c:pt idx="28">
                  <c:v>4890084046.2393303</c:v>
                </c:pt>
                <c:pt idx="29">
                  <c:v>4816696593.0593987</c:v>
                </c:pt>
                <c:pt idx="30">
                  <c:v>4742953292.8712492</c:v>
                </c:pt>
                <c:pt idx="31">
                  <c:v>4669000940.2972918</c:v>
                </c:pt>
                <c:pt idx="32">
                  <c:v>4595425170.9112473</c:v>
                </c:pt>
                <c:pt idx="33">
                  <c:v>4521409669.2008162</c:v>
                </c:pt>
                <c:pt idx="34">
                  <c:v>4446369796.5520239</c:v>
                </c:pt>
                <c:pt idx="35">
                  <c:v>4372035376.8881474</c:v>
                </c:pt>
                <c:pt idx="36">
                  <c:v>4298691067.5347824</c:v>
                </c:pt>
                <c:pt idx="37">
                  <c:v>4226469689.4640689</c:v>
                </c:pt>
                <c:pt idx="38">
                  <c:v>4155654383.4554877</c:v>
                </c:pt>
                <c:pt idx="39">
                  <c:v>4085725037.7709327</c:v>
                </c:pt>
                <c:pt idx="40">
                  <c:v>4017397797.544836</c:v>
                </c:pt>
                <c:pt idx="41">
                  <c:v>3950406214.0714283</c:v>
                </c:pt>
                <c:pt idx="42">
                  <c:v>3881123922.327908</c:v>
                </c:pt>
                <c:pt idx="43">
                  <c:v>3813889857.0871639</c:v>
                </c:pt>
                <c:pt idx="44">
                  <c:v>3747837354.1317372</c:v>
                </c:pt>
                <c:pt idx="45">
                  <c:v>3680229839.0972056</c:v>
                </c:pt>
                <c:pt idx="46">
                  <c:v>3615547584.8564029</c:v>
                </c:pt>
                <c:pt idx="47">
                  <c:v>3551284728.4395685</c:v>
                </c:pt>
                <c:pt idx="48">
                  <c:v>3487451289.9016719</c:v>
                </c:pt>
                <c:pt idx="49">
                  <c:v>3424310505.378427</c:v>
                </c:pt>
                <c:pt idx="50">
                  <c:v>3358997153.7452378</c:v>
                </c:pt>
                <c:pt idx="51">
                  <c:v>3294660303.2027612</c:v>
                </c:pt>
                <c:pt idx="52">
                  <c:v>3230532088.7650948</c:v>
                </c:pt>
                <c:pt idx="53">
                  <c:v>3167292616.4328327</c:v>
                </c:pt>
                <c:pt idx="54">
                  <c:v>3104101663.3415308</c:v>
                </c:pt>
                <c:pt idx="55">
                  <c:v>3043479283.5080423</c:v>
                </c:pt>
                <c:pt idx="56">
                  <c:v>2983086689.5264978</c:v>
                </c:pt>
                <c:pt idx="57">
                  <c:v>2923907277.0988097</c:v>
                </c:pt>
                <c:pt idx="58">
                  <c:v>2865753010.1662164</c:v>
                </c:pt>
                <c:pt idx="59">
                  <c:v>2808504701.8461905</c:v>
                </c:pt>
                <c:pt idx="60">
                  <c:v>2753026585.592814</c:v>
                </c:pt>
                <c:pt idx="61">
                  <c:v>2698971250.3114934</c:v>
                </c:pt>
                <c:pt idx="62">
                  <c:v>2647192834.9510961</c:v>
                </c:pt>
                <c:pt idx="63">
                  <c:v>2596909635.7632885</c:v>
                </c:pt>
                <c:pt idx="64">
                  <c:v>2548343861.0308313</c:v>
                </c:pt>
                <c:pt idx="65">
                  <c:v>2501456887.1097956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C-4A9B-B0C9-F385EAAEE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656261"/>
        <c:axId val="760973060"/>
      </c:lineChart>
      <c:catAx>
        <c:axId val="1290656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0973060"/>
        <c:crosses val="autoZero"/>
        <c:auto val="1"/>
        <c:lblAlgn val="ctr"/>
        <c:lblOffset val="100"/>
        <c:noMultiLvlLbl val="1"/>
      </c:catAx>
      <c:valAx>
        <c:axId val="760973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#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06562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9.5970216014784337E-3</c:v>
                </c:pt>
                <c:pt idx="2">
                  <c:v>9.775063187399834E-3</c:v>
                </c:pt>
                <c:pt idx="3">
                  <c:v>9.767101234825026E-3</c:v>
                </c:pt>
                <c:pt idx="4">
                  <c:v>9.9807088805101418E-3</c:v>
                </c:pt>
                <c:pt idx="5">
                  <c:v>1.0017077690113077E-2</c:v>
                </c:pt>
                <c:pt idx="6">
                  <c:v>1.03548475285569E-2</c:v>
                </c:pt>
                <c:pt idx="7">
                  <c:v>1.0842017656342316E-2</c:v>
                </c:pt>
                <c:pt idx="8">
                  <c:v>1.1492962111562182E-2</c:v>
                </c:pt>
                <c:pt idx="9">
                  <c:v>1.1118298934828193E-2</c:v>
                </c:pt>
                <c:pt idx="10">
                  <c:v>1.1275767828846019E-2</c:v>
                </c:pt>
                <c:pt idx="11">
                  <c:v>1.1238076933805519E-2</c:v>
                </c:pt>
                <c:pt idx="12">
                  <c:v>1.1334229231707431E-2</c:v>
                </c:pt>
                <c:pt idx="13">
                  <c:v>1.1445243835614268E-2</c:v>
                </c:pt>
                <c:pt idx="14">
                  <c:v>1.1659760981753366E-2</c:v>
                </c:pt>
                <c:pt idx="15">
                  <c:v>1.1927712979379225E-2</c:v>
                </c:pt>
                <c:pt idx="16">
                  <c:v>1.1879836063783468E-2</c:v>
                </c:pt>
                <c:pt idx="17">
                  <c:v>1.1971402545189469E-2</c:v>
                </c:pt>
                <c:pt idx="18">
                  <c:v>1.2046776098881027E-2</c:v>
                </c:pt>
                <c:pt idx="19">
                  <c:v>1.2335749880559587E-2</c:v>
                </c:pt>
                <c:pt idx="20">
                  <c:v>1.2755837456237479E-2</c:v>
                </c:pt>
                <c:pt idx="21">
                  <c:v>1.307628882847053E-2</c:v>
                </c:pt>
                <c:pt idx="22">
                  <c:v>1.3151345482118149E-2</c:v>
                </c:pt>
                <c:pt idx="23">
                  <c:v>1.2968056891963235E-2</c:v>
                </c:pt>
                <c:pt idx="24">
                  <c:v>1.3484154449169311E-2</c:v>
                </c:pt>
                <c:pt idx="25">
                  <c:v>1.4085256761843133E-2</c:v>
                </c:pt>
                <c:pt idx="26">
                  <c:v>1.4217724359724543E-2</c:v>
                </c:pt>
                <c:pt idx="27">
                  <c:v>1.4780844277549917E-2</c:v>
                </c:pt>
                <c:pt idx="28">
                  <c:v>1.5159035170536477E-2</c:v>
                </c:pt>
                <c:pt idx="29">
                  <c:v>1.5236054786111923E-2</c:v>
                </c:pt>
                <c:pt idx="30">
                  <c:v>1.5547970986555373E-2</c:v>
                </c:pt>
                <c:pt idx="31">
                  <c:v>1.5839009997982274E-2</c:v>
                </c:pt>
                <c:pt idx="32">
                  <c:v>1.6010655521446523E-2</c:v>
                </c:pt>
                <c:pt idx="33">
                  <c:v>1.6370005623381999E-2</c:v>
                </c:pt>
                <c:pt idx="34">
                  <c:v>1.6876660305443464E-2</c:v>
                </c:pt>
                <c:pt idx="35">
                  <c:v>1.7002245694723774E-2</c:v>
                </c:pt>
                <c:pt idx="36">
                  <c:v>1.7062009853949917E-2</c:v>
                </c:pt>
                <c:pt idx="37">
                  <c:v>1.7087873184267754E-2</c:v>
                </c:pt>
                <c:pt idx="38">
                  <c:v>1.7040711155025649E-2</c:v>
                </c:pt>
                <c:pt idx="39">
                  <c:v>1.7115529076990144E-2</c:v>
                </c:pt>
                <c:pt idx="40">
                  <c:v>1.7007835337554487E-2</c:v>
                </c:pt>
                <c:pt idx="41">
                  <c:v>1.6958150590889197E-2</c:v>
                </c:pt>
                <c:pt idx="42">
                  <c:v>1.7851089820900272E-2</c:v>
                </c:pt>
                <c:pt idx="43">
                  <c:v>1.7628738049633594E-2</c:v>
                </c:pt>
                <c:pt idx="44">
                  <c:v>1.7624164741996681E-2</c:v>
                </c:pt>
                <c:pt idx="45">
                  <c:v>1.8370459995812747E-2</c:v>
                </c:pt>
                <c:pt idx="46">
                  <c:v>1.7890029856534644E-2</c:v>
                </c:pt>
                <c:pt idx="47">
                  <c:v>1.8095664338655098E-2</c:v>
                </c:pt>
                <c:pt idx="48">
                  <c:v>1.8303750570720201E-2</c:v>
                </c:pt>
                <c:pt idx="49">
                  <c:v>1.8438977547179838E-2</c:v>
                </c:pt>
                <c:pt idx="50">
                  <c:v>1.9444300975475871E-2</c:v>
                </c:pt>
                <c:pt idx="51">
                  <c:v>1.9527612749616213E-2</c:v>
                </c:pt>
                <c:pt idx="52">
                  <c:v>1.9850666291378678E-2</c:v>
                </c:pt>
                <c:pt idx="53">
                  <c:v>1.9966412956023485E-2</c:v>
                </c:pt>
                <c:pt idx="54">
                  <c:v>2.0357243397523764E-2</c:v>
                </c:pt>
                <c:pt idx="55">
                  <c:v>1.9918775252385671E-2</c:v>
                </c:pt>
                <c:pt idx="56">
                  <c:v>2.0245001324829266E-2</c:v>
                </c:pt>
                <c:pt idx="57">
                  <c:v>2.0239838961790796E-2</c:v>
                </c:pt>
                <c:pt idx="58">
                  <c:v>2.0292839866622121E-2</c:v>
                </c:pt>
                <c:pt idx="59">
                  <c:v>2.0383910442590088E-2</c:v>
                </c:pt>
                <c:pt idx="60">
                  <c:v>2.0151681986547283E-2</c:v>
                </c:pt>
                <c:pt idx="61">
                  <c:v>2.0028125633084065E-2</c:v>
                </c:pt>
                <c:pt idx="62">
                  <c:v>1.9559744449577997E-2</c:v>
                </c:pt>
                <c:pt idx="63">
                  <c:v>1.9362706539855487E-2</c:v>
                </c:pt>
                <c:pt idx="64">
                  <c:v>1.90577792405189E-2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5C-4C78-8314-E8DC9AF4A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49746"/>
        <c:axId val="1031510248"/>
      </c:lineChart>
      <c:catAx>
        <c:axId val="123749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510248"/>
        <c:crosses val="autoZero"/>
        <c:auto val="1"/>
        <c:lblAlgn val="ctr"/>
        <c:lblOffset val="100"/>
        <c:noMultiLvlLbl val="1"/>
      </c:catAx>
      <c:valAx>
        <c:axId val="1031510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7497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 Population as a % of Total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'Geoscheme Population'!$AA$1:$AA$67</c:f>
              <c:numCache>
                <c:formatCode>General</c:formatCode>
                <c:ptCount val="6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C3-457F-8B64-BB362C0C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822156"/>
        <c:axId val="840650738"/>
      </c:lineChart>
      <c:catAx>
        <c:axId val="935822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0650738"/>
        <c:crosses val="autoZero"/>
        <c:auto val="1"/>
        <c:lblAlgn val="ctr"/>
        <c:lblOffset val="100"/>
        <c:noMultiLvlLbl val="1"/>
      </c:catAx>
      <c:valAx>
        <c:axId val="84065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58221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Acetoa!$C$1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Acetoa!$B$2:$B$67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Acetoa!$C$2:$C$67</c:f>
              <c:numCache>
                <c:formatCode>#,##0</c:formatCode>
                <c:ptCount val="66"/>
                <c:pt idx="0">
                  <c:v>11202505.000434494</c:v>
                </c:pt>
                <c:pt idx="1">
                  <c:v>11067481.723408906</c:v>
                </c:pt>
                <c:pt idx="2">
                  <c:v>10933005.752651295</c:v>
                </c:pt>
                <c:pt idx="3">
                  <c:v>10803365.368232505</c:v>
                </c:pt>
                <c:pt idx="4">
                  <c:v>10680539.167802773</c:v>
                </c:pt>
                <c:pt idx="5">
                  <c:v>10540352.479821151</c:v>
                </c:pt>
                <c:pt idx="6">
                  <c:v>10374362.676989323</c:v>
                </c:pt>
                <c:pt idx="7">
                  <c:v>10200946.585043583</c:v>
                </c:pt>
                <c:pt idx="8">
                  <c:v>10024515.118950062</c:v>
                </c:pt>
                <c:pt idx="9">
                  <c:v>9850167.1602142677</c:v>
                </c:pt>
                <c:pt idx="10">
                  <c:v>9682657.1908131987</c:v>
                </c:pt>
                <c:pt idx="11">
                  <c:v>9519867.4572934806</c:v>
                </c:pt>
                <c:pt idx="12">
                  <c:v>9359814.6271688938</c:v>
                </c:pt>
                <c:pt idx="13">
                  <c:v>9203357.5488386378</c:v>
                </c:pt>
                <c:pt idx="14">
                  <c:v>9045068.8440674562</c:v>
                </c:pt>
                <c:pt idx="15">
                  <c:v>8879030.9650215544</c:v>
                </c:pt>
                <c:pt idx="16">
                  <c:v>8690448.2382514961</c:v>
                </c:pt>
                <c:pt idx="17">
                  <c:v>8511702.4860445615</c:v>
                </c:pt>
                <c:pt idx="18">
                  <c:v>8330921.4897176865</c:v>
                </c:pt>
                <c:pt idx="19">
                  <c:v>8149194.4534067167</c:v>
                </c:pt>
                <c:pt idx="20">
                  <c:v>7968313.7316971906</c:v>
                </c:pt>
                <c:pt idx="21">
                  <c:v>7788401.6535013113</c:v>
                </c:pt>
                <c:pt idx="22">
                  <c:v>7608089.9223418096</c:v>
                </c:pt>
                <c:pt idx="23">
                  <c:v>7428324.4701638445</c:v>
                </c:pt>
                <c:pt idx="24">
                  <c:v>7254223.115394379</c:v>
                </c:pt>
                <c:pt idx="25">
                  <c:v>7088355.594483465</c:v>
                </c:pt>
                <c:pt idx="26">
                  <c:v>6922898.3245272627</c:v>
                </c:pt>
                <c:pt idx="27">
                  <c:v>6756683.9005731633</c:v>
                </c:pt>
                <c:pt idx="28">
                  <c:v>6592529.9059158592</c:v>
                </c:pt>
                <c:pt idx="29">
                  <c:v>6430481.7654270967</c:v>
                </c:pt>
                <c:pt idx="30">
                  <c:v>6271193.4517525807</c:v>
                </c:pt>
                <c:pt idx="31">
                  <c:v>6115850.8404062614</c:v>
                </c:pt>
                <c:pt idx="32">
                  <c:v>5963193.0971199889</c:v>
                </c:pt>
                <c:pt idx="33">
                  <c:v>5809248.0244714944</c:v>
                </c:pt>
                <c:pt idx="34">
                  <c:v>5649920.2727791229</c:v>
                </c:pt>
                <c:pt idx="35">
                  <c:v>5488023.5772502404</c:v>
                </c:pt>
                <c:pt idx="36">
                  <c:v>5326109.8381698765</c:v>
                </c:pt>
                <c:pt idx="37">
                  <c:v>5163961.4486812837</c:v>
                </c:pt>
                <c:pt idx="38">
                  <c:v>5002869.0647948887</c:v>
                </c:pt>
                <c:pt idx="39">
                  <c:v>4843986.3137053531</c:v>
                </c:pt>
                <c:pt idx="40">
                  <c:v>4689695.3371142931</c:v>
                </c:pt>
                <c:pt idx="41">
                  <c:v>4541637.9402617598</c:v>
                </c:pt>
                <c:pt idx="42">
                  <c:v>4399959.2523365235</c:v>
                </c:pt>
                <c:pt idx="43">
                  <c:v>4264352.832270327</c:v>
                </c:pt>
                <c:pt idx="44">
                  <c:v>4134127.8063696814</c:v>
                </c:pt>
                <c:pt idx="45">
                  <c:v>4022307.6535996119</c:v>
                </c:pt>
                <c:pt idx="46">
                  <c:v>3928034.8179683709</c:v>
                </c:pt>
                <c:pt idx="47">
                  <c:v>3835971.5019222372</c:v>
                </c:pt>
                <c:pt idx="48">
                  <c:v>3746065.9198459345</c:v>
                </c:pt>
                <c:pt idx="49">
                  <c:v>3658267.4998495453</c:v>
                </c:pt>
                <c:pt idx="50">
                  <c:v>3572875.7689711349</c:v>
                </c:pt>
                <c:pt idx="51">
                  <c:v>3489136.4931358737</c:v>
                </c:pt>
                <c:pt idx="52">
                  <c:v>3407692.639062285</c:v>
                </c:pt>
                <c:pt idx="53">
                  <c:v>3327824.8428342626</c:v>
                </c:pt>
                <c:pt idx="54">
                  <c:v>3250463.8042921103</c:v>
                </c:pt>
                <c:pt idx="55">
                  <c:v>3177383.9729150641</c:v>
                </c:pt>
                <c:pt idx="56">
                  <c:v>3107162.1092461022</c:v>
                </c:pt>
                <c:pt idx="57">
                  <c:v>3038195.0809094575</c:v>
                </c:pt>
                <c:pt idx="58">
                  <c:v>2967856.8730189092</c:v>
                </c:pt>
                <c:pt idx="59">
                  <c:v>2895752.6324703968</c:v>
                </c:pt>
                <c:pt idx="60">
                  <c:v>2823747.0818823953</c:v>
                </c:pt>
                <c:pt idx="61">
                  <c:v>2752190.1382869352</c:v>
                </c:pt>
                <c:pt idx="62">
                  <c:v>2682185.1069943816</c:v>
                </c:pt>
                <c:pt idx="63">
                  <c:v>2613960.7318920004</c:v>
                </c:pt>
                <c:pt idx="64">
                  <c:v>2548216.7400000002</c:v>
                </c:pt>
                <c:pt idx="65">
                  <c:v>2483400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6-4723-B7FD-BE99DA1AA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588639"/>
        <c:axId val="831551511"/>
      </c:lineChart>
      <c:catAx>
        <c:axId val="343588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551511"/>
        <c:crosses val="autoZero"/>
        <c:auto val="1"/>
        <c:lblAlgn val="ctr"/>
        <c:lblOffset val="100"/>
        <c:noMultiLvlLbl val="1"/>
      </c:catAx>
      <c:valAx>
        <c:axId val="831551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35886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Acetoa!$D$1:$D$67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1.2200000000000001E-2</c:v>
                </c:pt>
                <c:pt idx="2">
                  <c:v>1.23E-2</c:v>
                </c:pt>
                <c:pt idx="3">
                  <c:v>1.2E-2</c:v>
                </c:pt>
                <c:pt idx="4">
                  <c:v>1.15E-2</c:v>
                </c:pt>
                <c:pt idx="5">
                  <c:v>1.3299999999999999E-2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1.7600000000000001E-2</c:v>
                </c:pt>
                <c:pt idx="9">
                  <c:v>1.77E-2</c:v>
                </c:pt>
                <c:pt idx="10">
                  <c:v>1.7299999999999999E-2</c:v>
                </c:pt>
                <c:pt idx="11">
                  <c:v>1.7100000000000001E-2</c:v>
                </c:pt>
                <c:pt idx="12">
                  <c:v>1.7100000000000001E-2</c:v>
                </c:pt>
                <c:pt idx="13">
                  <c:v>1.7000000000000001E-2</c:v>
                </c:pt>
                <c:pt idx="14">
                  <c:v>1.7500000000000002E-2</c:v>
                </c:pt>
                <c:pt idx="15">
                  <c:v>1.8700000000000001E-2</c:v>
                </c:pt>
                <c:pt idx="16">
                  <c:v>2.1700000000000001E-2</c:v>
                </c:pt>
                <c:pt idx="17">
                  <c:v>2.1000000000000001E-2</c:v>
                </c:pt>
                <c:pt idx="18">
                  <c:v>2.1700000000000001E-2</c:v>
                </c:pt>
                <c:pt idx="19">
                  <c:v>2.23E-2</c:v>
                </c:pt>
                <c:pt idx="20">
                  <c:v>2.2700000000000001E-2</c:v>
                </c:pt>
                <c:pt idx="21">
                  <c:v>2.3099999999999999E-2</c:v>
                </c:pt>
                <c:pt idx="22">
                  <c:v>2.3699999999999999E-2</c:v>
                </c:pt>
                <c:pt idx="23">
                  <c:v>2.4199999999999999E-2</c:v>
                </c:pt>
                <c:pt idx="24">
                  <c:v>2.4E-2</c:v>
                </c:pt>
                <c:pt idx="25">
                  <c:v>2.3400000000000001E-2</c:v>
                </c:pt>
                <c:pt idx="26">
                  <c:v>2.3900000000000001E-2</c:v>
                </c:pt>
                <c:pt idx="27">
                  <c:v>2.46E-2</c:v>
                </c:pt>
                <c:pt idx="28">
                  <c:v>2.4899999999999999E-2</c:v>
                </c:pt>
                <c:pt idx="29">
                  <c:v>2.52E-2</c:v>
                </c:pt>
                <c:pt idx="30">
                  <c:v>2.5399999999999999E-2</c:v>
                </c:pt>
                <c:pt idx="31">
                  <c:v>2.5399999999999999E-2</c:v>
                </c:pt>
                <c:pt idx="32">
                  <c:v>2.5600000000000001E-2</c:v>
                </c:pt>
                <c:pt idx="33">
                  <c:v>2.6499999999999999E-2</c:v>
                </c:pt>
                <c:pt idx="34">
                  <c:v>2.8199999999999999E-2</c:v>
                </c:pt>
                <c:pt idx="35">
                  <c:v>2.9499999999999998E-2</c:v>
                </c:pt>
                <c:pt idx="36">
                  <c:v>3.04E-2</c:v>
                </c:pt>
                <c:pt idx="37">
                  <c:v>3.1399999999999997E-2</c:v>
                </c:pt>
                <c:pt idx="38">
                  <c:v>3.2199999999999999E-2</c:v>
                </c:pt>
                <c:pt idx="39">
                  <c:v>3.2800000000000003E-2</c:v>
                </c:pt>
                <c:pt idx="40">
                  <c:v>3.2899999999999999E-2</c:v>
                </c:pt>
                <c:pt idx="41">
                  <c:v>3.2599999999999997E-2</c:v>
                </c:pt>
                <c:pt idx="42">
                  <c:v>3.2199999999999999E-2</c:v>
                </c:pt>
                <c:pt idx="43">
                  <c:v>3.1800000000000002E-2</c:v>
                </c:pt>
                <c:pt idx="44">
                  <c:v>3.15E-2</c:v>
                </c:pt>
                <c:pt idx="45">
                  <c:v>2.7799999999999998E-2</c:v>
                </c:pt>
                <c:pt idx="46">
                  <c:v>2.4E-2</c:v>
                </c:pt>
                <c:pt idx="47">
                  <c:v>2.4E-2</c:v>
                </c:pt>
                <c:pt idx="48">
                  <c:v>2.4E-2</c:v>
                </c:pt>
                <c:pt idx="49">
                  <c:v>2.4E-2</c:v>
                </c:pt>
                <c:pt idx="50">
                  <c:v>2.3900000000000001E-2</c:v>
                </c:pt>
                <c:pt idx="51">
                  <c:v>2.4E-2</c:v>
                </c:pt>
                <c:pt idx="52">
                  <c:v>2.3900000000000001E-2</c:v>
                </c:pt>
                <c:pt idx="53">
                  <c:v>2.4E-2</c:v>
                </c:pt>
                <c:pt idx="54">
                  <c:v>2.3800000000000002E-2</c:v>
                </c:pt>
                <c:pt idx="55">
                  <c:v>2.3E-2</c:v>
                </c:pt>
                <c:pt idx="56">
                  <c:v>2.2599999999999999E-2</c:v>
                </c:pt>
                <c:pt idx="57">
                  <c:v>2.2700000000000001E-2</c:v>
                </c:pt>
                <c:pt idx="58">
                  <c:v>2.3699999999999999E-2</c:v>
                </c:pt>
                <c:pt idx="59">
                  <c:v>2.4899999999999999E-2</c:v>
                </c:pt>
                <c:pt idx="60">
                  <c:v>2.5499999999999998E-2</c:v>
                </c:pt>
                <c:pt idx="61">
                  <c:v>2.5999999999999999E-2</c:v>
                </c:pt>
                <c:pt idx="62">
                  <c:v>2.6100000000000002E-2</c:v>
                </c:pt>
                <c:pt idx="63">
                  <c:v>2.6100000000000002E-2</c:v>
                </c:pt>
                <c:pt idx="64">
                  <c:v>2.58E-2</c:v>
                </c:pt>
                <c:pt idx="65">
                  <c:v>2.6100000000000002E-2</c:v>
                </c:pt>
                <c:pt idx="66">
                  <c:v>2.58E-2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62-4696-BA4B-118C71695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561214"/>
        <c:axId val="879397572"/>
      </c:lineChart>
      <c:catAx>
        <c:axId val="1203561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9397572"/>
        <c:crosses val="autoZero"/>
        <c:auto val="1"/>
        <c:lblAlgn val="ctr"/>
        <c:lblOffset val="100"/>
        <c:noMultiLvlLbl val="1"/>
      </c:catAx>
      <c:valAx>
        <c:axId val="879397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35612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Acrana!$C$1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Acrana!$B$2:$B$67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Acrana!$C$2:$C$67</c:f>
              <c:numCache>
                <c:formatCode>#,##0</c:formatCode>
                <c:ptCount val="66"/>
                <c:pt idx="0">
                  <c:v>14469872.85038319</c:v>
                </c:pt>
                <c:pt idx="1">
                  <c:v>14472767.403863963</c:v>
                </c:pt>
                <c:pt idx="2">
                  <c:v>14513404.937689494</c:v>
                </c:pt>
                <c:pt idx="3">
                  <c:v>14698607.390813747</c:v>
                </c:pt>
                <c:pt idx="4">
                  <c:v>14880145.161787555</c:v>
                </c:pt>
                <c:pt idx="5">
                  <c:v>14911459.226162495</c:v>
                </c:pt>
                <c:pt idx="6">
                  <c:v>14927879.894045945</c:v>
                </c:pt>
                <c:pt idx="7">
                  <c:v>14957795.485015977</c:v>
                </c:pt>
                <c:pt idx="8">
                  <c:v>14987771.027070118</c:v>
                </c:pt>
                <c:pt idx="9">
                  <c:v>15050985.164762119</c:v>
                </c:pt>
                <c:pt idx="10">
                  <c:v>15150981.643609945</c:v>
                </c:pt>
                <c:pt idx="11">
                  <c:v>15253177.935779668</c:v>
                </c:pt>
                <c:pt idx="12">
                  <c:v>15365344.953943456</c:v>
                </c:pt>
                <c:pt idx="13">
                  <c:v>15448768.302778458</c:v>
                </c:pt>
                <c:pt idx="14">
                  <c:v>15471976.267179227</c:v>
                </c:pt>
                <c:pt idx="15">
                  <c:v>15451888.811723985</c:v>
                </c:pt>
                <c:pt idx="16">
                  <c:v>15411818.084703756</c:v>
                </c:pt>
                <c:pt idx="17">
                  <c:v>15370318.225494921</c:v>
                </c:pt>
                <c:pt idx="18">
                  <c:v>15331988.254857777</c:v>
                </c:pt>
                <c:pt idx="19">
                  <c:v>15286129.865261992</c:v>
                </c:pt>
                <c:pt idx="20">
                  <c:v>15241928.273269512</c:v>
                </c:pt>
                <c:pt idx="21">
                  <c:v>15203918.477076821</c:v>
                </c:pt>
                <c:pt idx="22">
                  <c:v>15167516.437626518</c:v>
                </c:pt>
                <c:pt idx="23">
                  <c:v>15111603.504659278</c:v>
                </c:pt>
                <c:pt idx="24">
                  <c:v>15033429.670373335</c:v>
                </c:pt>
                <c:pt idx="25">
                  <c:v>14972044.2887893</c:v>
                </c:pt>
                <c:pt idx="26">
                  <c:v>14915365.898375474</c:v>
                </c:pt>
                <c:pt idx="27">
                  <c:v>14833780.107782668</c:v>
                </c:pt>
                <c:pt idx="28">
                  <c:v>14761449.007645207</c:v>
                </c:pt>
                <c:pt idx="29">
                  <c:v>14696783.161733579</c:v>
                </c:pt>
                <c:pt idx="30">
                  <c:v>14628031.41408737</c:v>
                </c:pt>
                <c:pt idx="31">
                  <c:v>14555255.138395395</c:v>
                </c:pt>
                <c:pt idx="32">
                  <c:v>14469882.829700164</c:v>
                </c:pt>
                <c:pt idx="33">
                  <c:v>14360741.196605958</c:v>
                </c:pt>
                <c:pt idx="34">
                  <c:v>14190455.7278715</c:v>
                </c:pt>
                <c:pt idx="35">
                  <c:v>14041614.612973977</c:v>
                </c:pt>
                <c:pt idx="36">
                  <c:v>13968975.938095877</c:v>
                </c:pt>
                <c:pt idx="37">
                  <c:v>13918868.013248183</c:v>
                </c:pt>
                <c:pt idx="38">
                  <c:v>13873086.826720005</c:v>
                </c:pt>
                <c:pt idx="39">
                  <c:v>13827456.221190076</c:v>
                </c:pt>
                <c:pt idx="40">
                  <c:v>13773738.640492156</c:v>
                </c:pt>
                <c:pt idx="41">
                  <c:v>13705212.577604137</c:v>
                </c:pt>
                <c:pt idx="42">
                  <c:v>13626180.72937377</c:v>
                </c:pt>
                <c:pt idx="43">
                  <c:v>13542218.971748928</c:v>
                </c:pt>
                <c:pt idx="44">
                  <c:v>13421426.136520246</c:v>
                </c:pt>
                <c:pt idx="45">
                  <c:v>13291172.644603135</c:v>
                </c:pt>
                <c:pt idx="46">
                  <c:v>13127084.093435196</c:v>
                </c:pt>
                <c:pt idx="47">
                  <c:v>12958622.007339781</c:v>
                </c:pt>
                <c:pt idx="48">
                  <c:v>12792321.823632559</c:v>
                </c:pt>
                <c:pt idx="49">
                  <c:v>12597067.280780461</c:v>
                </c:pt>
                <c:pt idx="50">
                  <c:v>12479757.559719101</c:v>
                </c:pt>
                <c:pt idx="51">
                  <c:v>12433752.674822258</c:v>
                </c:pt>
                <c:pt idx="52">
                  <c:v>12378051.443327285</c:v>
                </c:pt>
                <c:pt idx="53">
                  <c:v>12298113.704249663</c:v>
                </c:pt>
                <c:pt idx="54">
                  <c:v>12245458.233844133</c:v>
                </c:pt>
                <c:pt idx="55">
                  <c:v>12217358.30973175</c:v>
                </c:pt>
                <c:pt idx="56">
                  <c:v>12172320.723056441</c:v>
                </c:pt>
                <c:pt idx="57">
                  <c:v>12093711.597671576</c:v>
                </c:pt>
                <c:pt idx="58">
                  <c:v>11996539.626695344</c:v>
                </c:pt>
                <c:pt idx="59">
                  <c:v>11908417.338391248</c:v>
                </c:pt>
                <c:pt idx="60">
                  <c:v>11852709.603255946</c:v>
                </c:pt>
                <c:pt idx="61">
                  <c:v>11810192.908784322</c:v>
                </c:pt>
                <c:pt idx="62">
                  <c:v>11766656.2805463</c:v>
                </c:pt>
                <c:pt idx="63">
                  <c:v>11696477.41605</c:v>
                </c:pt>
                <c:pt idx="64">
                  <c:v>11604799.5</c:v>
                </c:pt>
                <c:pt idx="65">
                  <c:v>11599000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A-48C1-A10A-67E2987E7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376477"/>
        <c:axId val="1132538636"/>
      </c:lineChart>
      <c:catAx>
        <c:axId val="1193376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2538636"/>
        <c:crosses val="autoZero"/>
        <c:auto val="1"/>
        <c:lblAlgn val="ctr"/>
        <c:lblOffset val="100"/>
        <c:noMultiLvlLbl val="1"/>
      </c:catAx>
      <c:valAx>
        <c:axId val="1132538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33764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Acrana!$D$1:$D$67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-2.0000000000000001E-4</c:v>
                </c:pt>
                <c:pt idx="2">
                  <c:v>-2.8E-3</c:v>
                </c:pt>
                <c:pt idx="3">
                  <c:v>-1.26E-2</c:v>
                </c:pt>
                <c:pt idx="4">
                  <c:v>-1.2200000000000001E-2</c:v>
                </c:pt>
                <c:pt idx="5">
                  <c:v>-2.0999999999999999E-3</c:v>
                </c:pt>
                <c:pt idx="6">
                  <c:v>-1.1000000000000001E-3</c:v>
                </c:pt>
                <c:pt idx="7">
                  <c:v>-2E-3</c:v>
                </c:pt>
                <c:pt idx="8">
                  <c:v>-2E-3</c:v>
                </c:pt>
                <c:pt idx="9">
                  <c:v>-4.1999999999999997E-3</c:v>
                </c:pt>
                <c:pt idx="10">
                  <c:v>-6.6E-3</c:v>
                </c:pt>
                <c:pt idx="11">
                  <c:v>-6.7000000000000002E-3</c:v>
                </c:pt>
                <c:pt idx="12">
                  <c:v>-7.3000000000000001E-3</c:v>
                </c:pt>
                <c:pt idx="13">
                  <c:v>-5.4000000000000003E-3</c:v>
                </c:pt>
                <c:pt idx="14">
                  <c:v>-1.5E-3</c:v>
                </c:pt>
                <c:pt idx="15">
                  <c:v>1.2999999999999999E-3</c:v>
                </c:pt>
                <c:pt idx="16">
                  <c:v>2.5999999999999999E-3</c:v>
                </c:pt>
                <c:pt idx="17">
                  <c:v>2.7000000000000001E-3</c:v>
                </c:pt>
                <c:pt idx="18">
                  <c:v>2.5000000000000001E-3</c:v>
                </c:pt>
                <c:pt idx="19">
                  <c:v>3.0000000000000001E-3</c:v>
                </c:pt>
                <c:pt idx="20">
                  <c:v>2.8999999999999998E-3</c:v>
                </c:pt>
                <c:pt idx="21">
                  <c:v>2.5000000000000001E-3</c:v>
                </c:pt>
                <c:pt idx="22">
                  <c:v>2.3999999999999998E-3</c:v>
                </c:pt>
                <c:pt idx="23">
                  <c:v>3.7000000000000002E-3</c:v>
                </c:pt>
                <c:pt idx="24">
                  <c:v>5.1999999999999998E-3</c:v>
                </c:pt>
                <c:pt idx="25">
                  <c:v>4.1000000000000003E-3</c:v>
                </c:pt>
                <c:pt idx="26">
                  <c:v>3.8E-3</c:v>
                </c:pt>
                <c:pt idx="27">
                  <c:v>5.4999999999999997E-3</c:v>
                </c:pt>
                <c:pt idx="28">
                  <c:v>4.8999999999999998E-3</c:v>
                </c:pt>
                <c:pt idx="29">
                  <c:v>4.4000000000000003E-3</c:v>
                </c:pt>
                <c:pt idx="30">
                  <c:v>4.7000000000000002E-3</c:v>
                </c:pt>
                <c:pt idx="31">
                  <c:v>5.0000000000000001E-3</c:v>
                </c:pt>
                <c:pt idx="32">
                  <c:v>5.8999999999999999E-3</c:v>
                </c:pt>
                <c:pt idx="33">
                  <c:v>7.6E-3</c:v>
                </c:pt>
                <c:pt idx="34">
                  <c:v>1.2E-2</c:v>
                </c:pt>
                <c:pt idx="35">
                  <c:v>1.06E-2</c:v>
                </c:pt>
                <c:pt idx="36">
                  <c:v>5.1999999999999998E-3</c:v>
                </c:pt>
                <c:pt idx="37">
                  <c:v>3.5999999999999999E-3</c:v>
                </c:pt>
                <c:pt idx="38">
                  <c:v>3.3E-3</c:v>
                </c:pt>
                <c:pt idx="39">
                  <c:v>3.3E-3</c:v>
                </c:pt>
                <c:pt idx="40">
                  <c:v>3.8999999999999998E-3</c:v>
                </c:pt>
                <c:pt idx="41">
                  <c:v>5.0000000000000001E-3</c:v>
                </c:pt>
                <c:pt idx="42">
                  <c:v>5.7999999999999996E-3</c:v>
                </c:pt>
                <c:pt idx="43">
                  <c:v>6.1999999999999998E-3</c:v>
                </c:pt>
                <c:pt idx="44">
                  <c:v>8.9999999999999993E-3</c:v>
                </c:pt>
                <c:pt idx="45">
                  <c:v>9.7999999999999997E-3</c:v>
                </c:pt>
                <c:pt idx="46">
                  <c:v>1.2500000000000001E-2</c:v>
                </c:pt>
                <c:pt idx="47">
                  <c:v>1.2999999999999999E-2</c:v>
                </c:pt>
                <c:pt idx="48">
                  <c:v>1.2999999999999999E-2</c:v>
                </c:pt>
                <c:pt idx="49">
                  <c:v>1.55E-2</c:v>
                </c:pt>
                <c:pt idx="50">
                  <c:v>9.4000000000000004E-3</c:v>
                </c:pt>
                <c:pt idx="51">
                  <c:v>3.7000000000000002E-3</c:v>
                </c:pt>
                <c:pt idx="52">
                  <c:v>4.4999999999999997E-3</c:v>
                </c:pt>
                <c:pt idx="53">
                  <c:v>6.4999999999999997E-3</c:v>
                </c:pt>
                <c:pt idx="54">
                  <c:v>4.3E-3</c:v>
                </c:pt>
                <c:pt idx="55">
                  <c:v>2.3E-3</c:v>
                </c:pt>
                <c:pt idx="56">
                  <c:v>3.7000000000000002E-3</c:v>
                </c:pt>
                <c:pt idx="57">
                  <c:v>6.4999999999999997E-3</c:v>
                </c:pt>
                <c:pt idx="58">
                  <c:v>8.0999999999999996E-3</c:v>
                </c:pt>
                <c:pt idx="59">
                  <c:v>7.4000000000000003E-3</c:v>
                </c:pt>
                <c:pt idx="60">
                  <c:v>4.7000000000000002E-3</c:v>
                </c:pt>
                <c:pt idx="61">
                  <c:v>3.5999999999999999E-3</c:v>
                </c:pt>
                <c:pt idx="62">
                  <c:v>3.7000000000000002E-3</c:v>
                </c:pt>
                <c:pt idx="63">
                  <c:v>6.0000000000000001E-3</c:v>
                </c:pt>
                <c:pt idx="64">
                  <c:v>7.9000000000000008E-3</c:v>
                </c:pt>
                <c:pt idx="65">
                  <c:v>5.0000000000000001E-4</c:v>
                </c:pt>
                <c:pt idx="66">
                  <c:v>3.0000000000000001E-3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AF-4D54-9522-A312DC3E1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105190"/>
        <c:axId val="1959075785"/>
      </c:lineChart>
      <c:catAx>
        <c:axId val="1601105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9075785"/>
        <c:crosses val="autoZero"/>
        <c:auto val="1"/>
        <c:lblAlgn val="ctr"/>
        <c:lblOffset val="100"/>
        <c:noMultiLvlLbl val="1"/>
      </c:catAx>
      <c:valAx>
        <c:axId val="1959075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11051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Aetintio!$C$1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Aetintio!$C$2:$C$67</c:f>
              <c:numCache>
                <c:formatCode>#,##0</c:formatCode>
                <c:ptCount val="66"/>
                <c:pt idx="0">
                  <c:v>1405234.7437337118</c:v>
                </c:pt>
                <c:pt idx="1">
                  <c:v>1387612.070439135</c:v>
                </c:pt>
                <c:pt idx="2">
                  <c:v>1369669.4012823361</c:v>
                </c:pt>
                <c:pt idx="3">
                  <c:v>1352492.7434406402</c:v>
                </c:pt>
                <c:pt idx="4">
                  <c:v>1336323.2323294538</c:v>
                </c:pt>
                <c:pt idx="5">
                  <c:v>1318263.0288344221</c:v>
                </c:pt>
                <c:pt idx="6">
                  <c:v>1297630.7006933971</c:v>
                </c:pt>
                <c:pt idx="7">
                  <c:v>1276316.2198223637</c:v>
                </c:pt>
                <c:pt idx="8">
                  <c:v>1254858.145533737</c:v>
                </c:pt>
                <c:pt idx="9">
                  <c:v>1233518.2793018154</c:v>
                </c:pt>
                <c:pt idx="10">
                  <c:v>1212541.3145599286</c:v>
                </c:pt>
                <c:pt idx="11">
                  <c:v>1191921.0798780385</c:v>
                </c:pt>
                <c:pt idx="12">
                  <c:v>1171536.3474327093</c:v>
                </c:pt>
                <c:pt idx="13">
                  <c:v>1151273.9263293133</c:v>
                </c:pt>
                <c:pt idx="14">
                  <c:v>1131250.7873924666</c:v>
                </c:pt>
                <c:pt idx="15">
                  <c:v>1111466.680479924</c:v>
                </c:pt>
                <c:pt idx="16">
                  <c:v>1091814.0279763497</c:v>
                </c:pt>
                <c:pt idx="17">
                  <c:v>1072298.2007231878</c:v>
                </c:pt>
                <c:pt idx="18">
                  <c:v>1053027.7921272588</c:v>
                </c:pt>
                <c:pt idx="19">
                  <c:v>1033900.6304636808</c:v>
                </c:pt>
                <c:pt idx="20">
                  <c:v>1014722.3775283942</c:v>
                </c:pt>
                <c:pt idx="21">
                  <c:v>995802.13692678534</c:v>
                </c:pt>
                <c:pt idx="22">
                  <c:v>977138.7861120454</c:v>
                </c:pt>
                <c:pt idx="23">
                  <c:v>958637.09026983741</c:v>
                </c:pt>
                <c:pt idx="24">
                  <c:v>940301.21654716763</c:v>
                </c:pt>
                <c:pt idx="25">
                  <c:v>922225.59488737502</c:v>
                </c:pt>
                <c:pt idx="26">
                  <c:v>904320.05774404295</c:v>
                </c:pt>
                <c:pt idx="27">
                  <c:v>886588.29190592445</c:v>
                </c:pt>
                <c:pt idx="28">
                  <c:v>869119.00000580773</c:v>
                </c:pt>
                <c:pt idx="29">
                  <c:v>851910.40972927632</c:v>
                </c:pt>
                <c:pt idx="30">
                  <c:v>834878.8805657354</c:v>
                </c:pt>
                <c:pt idx="31">
                  <c:v>818027.51378182974</c:v>
                </c:pt>
                <c:pt idx="32">
                  <c:v>801359.24155743513</c:v>
                </c:pt>
                <c:pt idx="33">
                  <c:v>784953.70903852989</c:v>
                </c:pt>
                <c:pt idx="34">
                  <c:v>768658.15612860338</c:v>
                </c:pt>
                <c:pt idx="35">
                  <c:v>752627.19683599658</c:v>
                </c:pt>
                <c:pt idx="36">
                  <c:v>736858.42650871014</c:v>
                </c:pt>
                <c:pt idx="37">
                  <c:v>721067.05793982791</c:v>
                </c:pt>
                <c:pt idx="38">
                  <c:v>705407.02205031097</c:v>
                </c:pt>
                <c:pt idx="39">
                  <c:v>689817.1543617358</c:v>
                </c:pt>
                <c:pt idx="40">
                  <c:v>674308.06877980044</c:v>
                </c:pt>
                <c:pt idx="41">
                  <c:v>658890.04180164193</c:v>
                </c:pt>
                <c:pt idx="42">
                  <c:v>643761.64318675315</c:v>
                </c:pt>
                <c:pt idx="43">
                  <c:v>628919.15121800813</c:v>
                </c:pt>
                <c:pt idx="44">
                  <c:v>614358.84655466257</c:v>
                </c:pt>
                <c:pt idx="45">
                  <c:v>600077.01363026234</c:v>
                </c:pt>
                <c:pt idx="46">
                  <c:v>586012.7086233031</c:v>
                </c:pt>
                <c:pt idx="47">
                  <c:v>572110.4252887856</c:v>
                </c:pt>
                <c:pt idx="48">
                  <c:v>558265.44231926778</c:v>
                </c:pt>
                <c:pt idx="49">
                  <c:v>544436.74889727694</c:v>
                </c:pt>
                <c:pt idx="50">
                  <c:v>530640.10613769677</c:v>
                </c:pt>
                <c:pt idx="51">
                  <c:v>516890.8105763655</c:v>
                </c:pt>
                <c:pt idx="52">
                  <c:v>503252.66339827236</c:v>
                </c:pt>
                <c:pt idx="53">
                  <c:v>489688.29755597189</c:v>
                </c:pt>
                <c:pt idx="54">
                  <c:v>476350.4840038637</c:v>
                </c:pt>
                <c:pt idx="55">
                  <c:v>463240.77020700544</c:v>
                </c:pt>
                <c:pt idx="56">
                  <c:v>450360.46102178248</c:v>
                </c:pt>
                <c:pt idx="57">
                  <c:v>437668.08651290816</c:v>
                </c:pt>
                <c:pt idx="58">
                  <c:v>425168.14310560341</c:v>
                </c:pt>
                <c:pt idx="59">
                  <c:v>412864.77287395939</c:v>
                </c:pt>
                <c:pt idx="60">
                  <c:v>400800.6726278608</c:v>
                </c:pt>
                <c:pt idx="61">
                  <c:v>389013.5617081052</c:v>
                </c:pt>
                <c:pt idx="62">
                  <c:v>377573.0968728576</c:v>
                </c:pt>
                <c:pt idx="63">
                  <c:v>366540.23577600002</c:v>
                </c:pt>
                <c:pt idx="64">
                  <c:v>356002.56</c:v>
                </c:pt>
                <c:pt idx="65">
                  <c:v>345600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5-45A2-974E-DA218983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744254"/>
        <c:axId val="1998633643"/>
      </c:lineChart>
      <c:catAx>
        <c:axId val="1997744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8633643"/>
        <c:crosses val="autoZero"/>
        <c:auto val="1"/>
        <c:lblAlgn val="ctr"/>
        <c:lblOffset val="100"/>
        <c:noMultiLvlLbl val="1"/>
      </c:catAx>
      <c:valAx>
        <c:axId val="1998633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77442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Aetintio!$D$1:$D$67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1.2699999999999999E-2</c:v>
                </c:pt>
                <c:pt idx="2">
                  <c:v>1.3100000000000001E-2</c:v>
                </c:pt>
                <c:pt idx="3">
                  <c:v>1.2699999999999999E-2</c:v>
                </c:pt>
                <c:pt idx="4">
                  <c:v>1.21E-2</c:v>
                </c:pt>
                <c:pt idx="5">
                  <c:v>1.37E-2</c:v>
                </c:pt>
                <c:pt idx="6">
                  <c:v>1.5900000000000001E-2</c:v>
                </c:pt>
                <c:pt idx="7">
                  <c:v>1.67E-2</c:v>
                </c:pt>
                <c:pt idx="8">
                  <c:v>1.7100000000000001E-2</c:v>
                </c:pt>
                <c:pt idx="9">
                  <c:v>1.7299999999999999E-2</c:v>
                </c:pt>
                <c:pt idx="10">
                  <c:v>1.7299999999999999E-2</c:v>
                </c:pt>
                <c:pt idx="11">
                  <c:v>1.7299999999999999E-2</c:v>
                </c:pt>
                <c:pt idx="12">
                  <c:v>1.7399999999999999E-2</c:v>
                </c:pt>
                <c:pt idx="13">
                  <c:v>1.7600000000000001E-2</c:v>
                </c:pt>
                <c:pt idx="14">
                  <c:v>1.77E-2</c:v>
                </c:pt>
                <c:pt idx="15">
                  <c:v>1.78E-2</c:v>
                </c:pt>
                <c:pt idx="16">
                  <c:v>1.7999999999999999E-2</c:v>
                </c:pt>
                <c:pt idx="17">
                  <c:v>1.8200000000000001E-2</c:v>
                </c:pt>
                <c:pt idx="18">
                  <c:v>1.83E-2</c:v>
                </c:pt>
                <c:pt idx="19">
                  <c:v>1.8499999999999999E-2</c:v>
                </c:pt>
                <c:pt idx="20">
                  <c:v>1.89E-2</c:v>
                </c:pt>
                <c:pt idx="21">
                  <c:v>1.9E-2</c:v>
                </c:pt>
                <c:pt idx="22">
                  <c:v>1.9099999999999999E-2</c:v>
                </c:pt>
                <c:pt idx="23">
                  <c:v>1.9300000000000001E-2</c:v>
                </c:pt>
                <c:pt idx="24">
                  <c:v>1.95E-2</c:v>
                </c:pt>
                <c:pt idx="25">
                  <c:v>1.9599999999999999E-2</c:v>
                </c:pt>
                <c:pt idx="26">
                  <c:v>1.9800000000000002E-2</c:v>
                </c:pt>
                <c:pt idx="27">
                  <c:v>0.02</c:v>
                </c:pt>
                <c:pt idx="28">
                  <c:v>2.01E-2</c:v>
                </c:pt>
                <c:pt idx="29">
                  <c:v>2.0199999999999999E-2</c:v>
                </c:pt>
                <c:pt idx="30">
                  <c:v>2.0400000000000001E-2</c:v>
                </c:pt>
                <c:pt idx="31">
                  <c:v>2.06E-2</c:v>
                </c:pt>
                <c:pt idx="32">
                  <c:v>2.0799999999999999E-2</c:v>
                </c:pt>
                <c:pt idx="33">
                  <c:v>2.0899999999999998E-2</c:v>
                </c:pt>
                <c:pt idx="34">
                  <c:v>2.12E-2</c:v>
                </c:pt>
                <c:pt idx="35">
                  <c:v>2.1299999999999999E-2</c:v>
                </c:pt>
                <c:pt idx="36">
                  <c:v>2.1399999999999999E-2</c:v>
                </c:pt>
                <c:pt idx="37">
                  <c:v>2.1899999999999999E-2</c:v>
                </c:pt>
                <c:pt idx="38">
                  <c:v>2.2200000000000001E-2</c:v>
                </c:pt>
                <c:pt idx="39">
                  <c:v>2.2599999999999999E-2</c:v>
                </c:pt>
                <c:pt idx="40">
                  <c:v>2.3E-2</c:v>
                </c:pt>
                <c:pt idx="41">
                  <c:v>2.3400000000000001E-2</c:v>
                </c:pt>
                <c:pt idx="42">
                  <c:v>2.35E-2</c:v>
                </c:pt>
                <c:pt idx="43">
                  <c:v>2.3599999999999999E-2</c:v>
                </c:pt>
                <c:pt idx="44">
                  <c:v>2.3699999999999999E-2</c:v>
                </c:pt>
                <c:pt idx="45">
                  <c:v>2.3800000000000002E-2</c:v>
                </c:pt>
                <c:pt idx="46">
                  <c:v>2.4E-2</c:v>
                </c:pt>
                <c:pt idx="47">
                  <c:v>2.4299999999999999E-2</c:v>
                </c:pt>
                <c:pt idx="48">
                  <c:v>2.4799999999999999E-2</c:v>
                </c:pt>
                <c:pt idx="49">
                  <c:v>2.5399999999999999E-2</c:v>
                </c:pt>
                <c:pt idx="50">
                  <c:v>2.5999999999999999E-2</c:v>
                </c:pt>
                <c:pt idx="51">
                  <c:v>2.6599999999999999E-2</c:v>
                </c:pt>
                <c:pt idx="52">
                  <c:v>2.7099999999999999E-2</c:v>
                </c:pt>
                <c:pt idx="53">
                  <c:v>2.7699999999999999E-2</c:v>
                </c:pt>
                <c:pt idx="54">
                  <c:v>2.8000000000000001E-2</c:v>
                </c:pt>
                <c:pt idx="55">
                  <c:v>2.8299999999999999E-2</c:v>
                </c:pt>
                <c:pt idx="56">
                  <c:v>2.86E-2</c:v>
                </c:pt>
                <c:pt idx="57">
                  <c:v>2.9000000000000001E-2</c:v>
                </c:pt>
                <c:pt idx="58">
                  <c:v>2.9399999999999999E-2</c:v>
                </c:pt>
                <c:pt idx="59">
                  <c:v>2.98E-2</c:v>
                </c:pt>
                <c:pt idx="60">
                  <c:v>3.0099999999999998E-2</c:v>
                </c:pt>
                <c:pt idx="61">
                  <c:v>3.0300000000000001E-2</c:v>
                </c:pt>
                <c:pt idx="62">
                  <c:v>3.0300000000000001E-2</c:v>
                </c:pt>
                <c:pt idx="63">
                  <c:v>3.0099999999999998E-2</c:v>
                </c:pt>
                <c:pt idx="64">
                  <c:v>2.9600000000000001E-2</c:v>
                </c:pt>
                <c:pt idx="65">
                  <c:v>3.0099999999999998E-2</c:v>
                </c:pt>
                <c:pt idx="66">
                  <c:v>2.9600000000000001E-2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58-4B7D-B0DF-A555EDD0E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256047"/>
        <c:axId val="756269772"/>
      </c:lineChart>
      <c:catAx>
        <c:axId val="81925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6269772"/>
        <c:crosses val="autoZero"/>
        <c:auto val="1"/>
        <c:lblAlgn val="ctr"/>
        <c:lblOffset val="100"/>
        <c:noMultiLvlLbl val="1"/>
      </c:catAx>
      <c:valAx>
        <c:axId val="756269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92560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Ahokini!$D$1:$D$67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6.9999999999999999E-4</c:v>
                </c:pt>
                <c:pt idx="2">
                  <c:v>8.0000000000000004E-4</c:v>
                </c:pt>
                <c:pt idx="3">
                  <c:v>-1.9E-3</c:v>
                </c:pt>
                <c:pt idx="4">
                  <c:v>-1.2999999999999999E-3</c:v>
                </c:pt>
                <c:pt idx="5">
                  <c:v>1.4E-3</c:v>
                </c:pt>
                <c:pt idx="6">
                  <c:v>3.5000000000000001E-3</c:v>
                </c:pt>
                <c:pt idx="7">
                  <c:v>4.3E-3</c:v>
                </c:pt>
                <c:pt idx="8">
                  <c:v>2.8E-3</c:v>
                </c:pt>
                <c:pt idx="9">
                  <c:v>4.0000000000000001E-3</c:v>
                </c:pt>
                <c:pt idx="10">
                  <c:v>5.3E-3</c:v>
                </c:pt>
                <c:pt idx="11">
                  <c:v>6.3E-3</c:v>
                </c:pt>
                <c:pt idx="12">
                  <c:v>4.5999999999999999E-3</c:v>
                </c:pt>
                <c:pt idx="13">
                  <c:v>5.3E-3</c:v>
                </c:pt>
                <c:pt idx="14">
                  <c:v>7.7000000000000002E-3</c:v>
                </c:pt>
                <c:pt idx="15">
                  <c:v>5.0000000000000001E-3</c:v>
                </c:pt>
                <c:pt idx="16">
                  <c:v>5.1000000000000004E-3</c:v>
                </c:pt>
                <c:pt idx="17">
                  <c:v>7.6E-3</c:v>
                </c:pt>
                <c:pt idx="18">
                  <c:v>5.1000000000000004E-3</c:v>
                </c:pt>
                <c:pt idx="19">
                  <c:v>5.3E-3</c:v>
                </c:pt>
                <c:pt idx="20">
                  <c:v>2.0999999999999999E-3</c:v>
                </c:pt>
                <c:pt idx="21">
                  <c:v>4.0000000000000001E-3</c:v>
                </c:pt>
                <c:pt idx="22">
                  <c:v>5.1999999999999998E-3</c:v>
                </c:pt>
                <c:pt idx="23">
                  <c:v>5.7999999999999996E-3</c:v>
                </c:pt>
                <c:pt idx="24">
                  <c:v>7.7000000000000002E-3</c:v>
                </c:pt>
                <c:pt idx="25">
                  <c:v>8.3999999999999995E-3</c:v>
                </c:pt>
                <c:pt idx="26">
                  <c:v>7.1000000000000004E-3</c:v>
                </c:pt>
                <c:pt idx="27">
                  <c:v>7.1999999999999998E-3</c:v>
                </c:pt>
                <c:pt idx="28">
                  <c:v>9.4000000000000004E-3</c:v>
                </c:pt>
                <c:pt idx="29">
                  <c:v>9.4999999999999998E-3</c:v>
                </c:pt>
                <c:pt idx="30">
                  <c:v>1.01E-2</c:v>
                </c:pt>
                <c:pt idx="31">
                  <c:v>1.01E-2</c:v>
                </c:pt>
                <c:pt idx="32">
                  <c:v>1.0200000000000001E-2</c:v>
                </c:pt>
                <c:pt idx="33">
                  <c:v>1.04E-2</c:v>
                </c:pt>
                <c:pt idx="34">
                  <c:v>9.9000000000000008E-3</c:v>
                </c:pt>
                <c:pt idx="35">
                  <c:v>9.9000000000000008E-3</c:v>
                </c:pt>
                <c:pt idx="36">
                  <c:v>9.7999999999999997E-3</c:v>
                </c:pt>
                <c:pt idx="37">
                  <c:v>9.9000000000000008E-3</c:v>
                </c:pt>
                <c:pt idx="38">
                  <c:v>9.9000000000000008E-3</c:v>
                </c:pt>
                <c:pt idx="39">
                  <c:v>9.7999999999999997E-3</c:v>
                </c:pt>
                <c:pt idx="40">
                  <c:v>1.23E-2</c:v>
                </c:pt>
                <c:pt idx="41">
                  <c:v>1.47E-2</c:v>
                </c:pt>
                <c:pt idx="42">
                  <c:v>1.55E-2</c:v>
                </c:pt>
                <c:pt idx="43">
                  <c:v>1.5599999999999999E-2</c:v>
                </c:pt>
                <c:pt idx="44">
                  <c:v>1.5599999999999999E-2</c:v>
                </c:pt>
                <c:pt idx="45">
                  <c:v>1.52E-2</c:v>
                </c:pt>
                <c:pt idx="46">
                  <c:v>1.52E-2</c:v>
                </c:pt>
                <c:pt idx="47">
                  <c:v>1.5599999999999999E-2</c:v>
                </c:pt>
                <c:pt idx="48">
                  <c:v>1.6E-2</c:v>
                </c:pt>
                <c:pt idx="49">
                  <c:v>1.6799999999999999E-2</c:v>
                </c:pt>
                <c:pt idx="50">
                  <c:v>1.7100000000000001E-2</c:v>
                </c:pt>
                <c:pt idx="51">
                  <c:v>1.77E-2</c:v>
                </c:pt>
                <c:pt idx="52">
                  <c:v>1.8800000000000001E-2</c:v>
                </c:pt>
                <c:pt idx="53">
                  <c:v>1.9699999999999999E-2</c:v>
                </c:pt>
                <c:pt idx="54">
                  <c:v>2.18E-2</c:v>
                </c:pt>
                <c:pt idx="55">
                  <c:v>2.2599999999999999E-2</c:v>
                </c:pt>
                <c:pt idx="56">
                  <c:v>2.3199999999999998E-2</c:v>
                </c:pt>
                <c:pt idx="57">
                  <c:v>2.3400000000000001E-2</c:v>
                </c:pt>
                <c:pt idx="58">
                  <c:v>2.5100000000000001E-2</c:v>
                </c:pt>
                <c:pt idx="59">
                  <c:v>2.5399999999999999E-2</c:v>
                </c:pt>
                <c:pt idx="60">
                  <c:v>2.6200000000000001E-2</c:v>
                </c:pt>
                <c:pt idx="61">
                  <c:v>2.7799999999999998E-2</c:v>
                </c:pt>
                <c:pt idx="62">
                  <c:v>2.86E-2</c:v>
                </c:pt>
                <c:pt idx="63">
                  <c:v>2.9700000000000001E-2</c:v>
                </c:pt>
                <c:pt idx="64">
                  <c:v>3.0839999999999999E-2</c:v>
                </c:pt>
                <c:pt idx="65">
                  <c:v>3.1940000000000003E-2</c:v>
                </c:pt>
                <c:pt idx="66">
                  <c:v>3.304E-2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FB-498D-BE85-9D60594C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843166"/>
        <c:axId val="1733138339"/>
      </c:lineChart>
      <c:catAx>
        <c:axId val="1065843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3138339"/>
        <c:crosses val="autoZero"/>
        <c:auto val="1"/>
        <c:lblAlgn val="ctr"/>
        <c:lblOffset val="100"/>
        <c:noMultiLvlLbl val="1"/>
      </c:catAx>
      <c:valAx>
        <c:axId val="1733138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58431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Ahokini!$C$1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Ahokini!$C$2:$C$67</c:f>
              <c:numCache>
                <c:formatCode>#,##0</c:formatCode>
                <c:ptCount val="66"/>
                <c:pt idx="0">
                  <c:v>20712262.830952272</c:v>
                </c:pt>
                <c:pt idx="1">
                  <c:v>20697774.388880059</c:v>
                </c:pt>
                <c:pt idx="2">
                  <c:v>20681229.405355778</c:v>
                </c:pt>
                <c:pt idx="3">
                  <c:v>20720598.542586692</c:v>
                </c:pt>
                <c:pt idx="4">
                  <c:v>20747570.384086002</c:v>
                </c:pt>
                <c:pt idx="5">
                  <c:v>20718564.393934492</c:v>
                </c:pt>
                <c:pt idx="6">
                  <c:v>20646302.335759334</c:v>
                </c:pt>
                <c:pt idx="7">
                  <c:v>20557903.351348538</c:v>
                </c:pt>
                <c:pt idx="8">
                  <c:v>20500501.945900019</c:v>
                </c:pt>
                <c:pt idx="9">
                  <c:v>20418826.639342647</c:v>
                </c:pt>
                <c:pt idx="10">
                  <c:v>20311177.399127271</c:v>
                </c:pt>
                <c:pt idx="11">
                  <c:v>20184018.085190572</c:v>
                </c:pt>
                <c:pt idx="12">
                  <c:v>20091596.740185719</c:v>
                </c:pt>
                <c:pt idx="13">
                  <c:v>19985672.675008174</c:v>
                </c:pt>
                <c:pt idx="14">
                  <c:v>19832958.891543292</c:v>
                </c:pt>
                <c:pt idx="15">
                  <c:v>19734287.454271935</c:v>
                </c:pt>
                <c:pt idx="16">
                  <c:v>19634153.272581767</c:v>
                </c:pt>
                <c:pt idx="17">
                  <c:v>19486059.222490836</c:v>
                </c:pt>
                <c:pt idx="18">
                  <c:v>19387184.581127085</c:v>
                </c:pt>
                <c:pt idx="19">
                  <c:v>19284974.217772886</c:v>
                </c:pt>
                <c:pt idx="20">
                  <c:v>19244560.640427988</c:v>
                </c:pt>
                <c:pt idx="21">
                  <c:v>19167889.084091622</c:v>
                </c:pt>
                <c:pt idx="22">
                  <c:v>19068731.679358955</c:v>
                </c:pt>
                <c:pt idx="23">
                  <c:v>18958770.808668677</c:v>
                </c:pt>
                <c:pt idx="24">
                  <c:v>18813903.749795254</c:v>
                </c:pt>
                <c:pt idx="25">
                  <c:v>18657183.409158327</c:v>
                </c:pt>
                <c:pt idx="26">
                  <c:v>18525651.285034578</c:v>
                </c:pt>
                <c:pt idx="27">
                  <c:v>18393220.100312326</c:v>
                </c:pt>
                <c:pt idx="28">
                  <c:v>18221933.921450689</c:v>
                </c:pt>
                <c:pt idx="29">
                  <c:v>18050454.602724802</c:v>
                </c:pt>
                <c:pt idx="30">
                  <c:v>17869967.926665481</c:v>
                </c:pt>
                <c:pt idx="31">
                  <c:v>17691285.938684765</c:v>
                </c:pt>
                <c:pt idx="32">
                  <c:v>17512656.838927701</c:v>
                </c:pt>
                <c:pt idx="33">
                  <c:v>17332399.880173892</c:v>
                </c:pt>
                <c:pt idx="34">
                  <c:v>17162491.217124362</c:v>
                </c:pt>
                <c:pt idx="35">
                  <c:v>16994248.160337023</c:v>
                </c:pt>
                <c:pt idx="36">
                  <c:v>16829320.816336922</c:v>
                </c:pt>
                <c:pt idx="37">
                  <c:v>16664343.812592259</c:v>
                </c:pt>
                <c:pt idx="38">
                  <c:v>16500984.070296325</c:v>
                </c:pt>
                <c:pt idx="39">
                  <c:v>16340843.801046073</c:v>
                </c:pt>
                <c:pt idx="40">
                  <c:v>16142293.589890422</c:v>
                </c:pt>
                <c:pt idx="41">
                  <c:v>15908439.528816815</c:v>
                </c:pt>
                <c:pt idx="42">
                  <c:v>15665622.381897405</c:v>
                </c:pt>
                <c:pt idx="43">
                  <c:v>15424992.498914341</c:v>
                </c:pt>
                <c:pt idx="44">
                  <c:v>15188058.781916443</c:v>
                </c:pt>
                <c:pt idx="45">
                  <c:v>14960656.798578056</c:v>
                </c:pt>
                <c:pt idx="46">
                  <c:v>14736659.573067429</c:v>
                </c:pt>
                <c:pt idx="47">
                  <c:v>14510298.91007033</c:v>
                </c:pt>
                <c:pt idx="48">
                  <c:v>14281790.265817253</c:v>
                </c:pt>
                <c:pt idx="49">
                  <c:v>14045820.481724286</c:v>
                </c:pt>
                <c:pt idx="50">
                  <c:v>13809675.038564829</c:v>
                </c:pt>
                <c:pt idx="51">
                  <c:v>13569494.97746372</c:v>
                </c:pt>
                <c:pt idx="52">
                  <c:v>13319095.973168161</c:v>
                </c:pt>
                <c:pt idx="53">
                  <c:v>13061778.928281024</c:v>
                </c:pt>
                <c:pt idx="54">
                  <c:v>12783107.191506188</c:v>
                </c:pt>
                <c:pt idx="55">
                  <c:v>12500593.772253266</c:v>
                </c:pt>
                <c:pt idx="56">
                  <c:v>12217155.758652525</c:v>
                </c:pt>
                <c:pt idx="57">
                  <c:v>11937810.981681185</c:v>
                </c:pt>
                <c:pt idx="58">
                  <c:v>11645508.712985257</c:v>
                </c:pt>
                <c:pt idx="59">
                  <c:v>11357039.899537016</c:v>
                </c:pt>
                <c:pt idx="60">
                  <c:v>11067082.342172107</c:v>
                </c:pt>
                <c:pt idx="61">
                  <c:v>10767739.192617344</c:v>
                </c:pt>
                <c:pt idx="62">
                  <c:v>10468344.538807452</c:v>
                </c:pt>
                <c:pt idx="63">
                  <c:v>10166402.3878872</c:v>
                </c:pt>
                <c:pt idx="64">
                  <c:v>9862250.5800000001</c:v>
                </c:pt>
                <c:pt idx="65">
                  <c:v>9557000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3-4E7B-B0F9-A9950F45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976362"/>
        <c:axId val="785907592"/>
      </c:lineChart>
      <c:catAx>
        <c:axId val="692976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5907592"/>
        <c:crosses val="autoZero"/>
        <c:auto val="1"/>
        <c:lblAlgn val="ctr"/>
        <c:lblOffset val="100"/>
        <c:noMultiLvlLbl val="1"/>
      </c:catAx>
      <c:valAx>
        <c:axId val="785907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29763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Amcha!$C$1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Amcha!$C$2:$C$67</c:f>
              <c:numCache>
                <c:formatCode>#,##0</c:formatCode>
                <c:ptCount val="66"/>
                <c:pt idx="0">
                  <c:v>2239038.8372365632</c:v>
                </c:pt>
                <c:pt idx="1">
                  <c:v>2223253.7357130009</c:v>
                </c:pt>
                <c:pt idx="2">
                  <c:v>2211092.7257215325</c:v>
                </c:pt>
                <c:pt idx="3">
                  <c:v>2201844.9768188931</c:v>
                </c:pt>
                <c:pt idx="4">
                  <c:v>2193509.6401861855</c:v>
                </c:pt>
                <c:pt idx="5">
                  <c:v>2184552.972996898</c:v>
                </c:pt>
                <c:pt idx="6">
                  <c:v>2174983.047587513</c:v>
                </c:pt>
                <c:pt idx="7">
                  <c:v>2163301.2209941447</c:v>
                </c:pt>
                <c:pt idx="8">
                  <c:v>2150612.6066151154</c:v>
                </c:pt>
                <c:pt idx="9">
                  <c:v>2141191.364610828</c:v>
                </c:pt>
                <c:pt idx="10">
                  <c:v>2134148.673986672</c:v>
                </c:pt>
                <c:pt idx="11">
                  <c:v>2128189.7427070923</c:v>
                </c:pt>
                <c:pt idx="12">
                  <c:v>2122670.7986306529</c:v>
                </c:pt>
                <c:pt idx="13">
                  <c:v>2116955.0200764467</c:v>
                </c:pt>
                <c:pt idx="14">
                  <c:v>2110202.3724844963</c:v>
                </c:pt>
                <c:pt idx="15">
                  <c:v>2102632.8940658593</c:v>
                </c:pt>
                <c:pt idx="16">
                  <c:v>2095717.0278738753</c:v>
                </c:pt>
                <c:pt idx="17">
                  <c:v>2088823.9089742601</c:v>
                </c:pt>
                <c:pt idx="18">
                  <c:v>2081331.1169532284</c:v>
                </c:pt>
                <c:pt idx="19">
                  <c:v>2072626.0873862063</c:v>
                </c:pt>
                <c:pt idx="20">
                  <c:v>2060879.0766493052</c:v>
                </c:pt>
                <c:pt idx="21">
                  <c:v>2050217.9433439167</c:v>
                </c:pt>
                <c:pt idx="22">
                  <c:v>2043270.8225472558</c:v>
                </c:pt>
                <c:pt idx="23">
                  <c:v>2036550.2068646024</c:v>
                </c:pt>
                <c:pt idx="24">
                  <c:v>2029851.6962669215</c:v>
                </c:pt>
                <c:pt idx="25">
                  <c:v>2024587.7680699397</c:v>
                </c:pt>
                <c:pt idx="26">
                  <c:v>2021353.6023062496</c:v>
                </c:pt>
                <c:pt idx="27">
                  <c:v>2020141.5173958121</c:v>
                </c:pt>
                <c:pt idx="28">
                  <c:v>2019131.951420102</c:v>
                </c:pt>
                <c:pt idx="29">
                  <c:v>2016510.4877859801</c:v>
                </c:pt>
                <c:pt idx="30">
                  <c:v>2013892.4276300608</c:v>
                </c:pt>
                <c:pt idx="31">
                  <c:v>2013087.1927529597</c:v>
                </c:pt>
                <c:pt idx="32">
                  <c:v>2014094.2398728961</c:v>
                </c:pt>
                <c:pt idx="33">
                  <c:v>2015505.0934383031</c:v>
                </c:pt>
                <c:pt idx="34">
                  <c:v>2016916.9352930083</c:v>
                </c:pt>
                <c:pt idx="35">
                  <c:v>2017522.1919505934</c:v>
                </c:pt>
                <c:pt idx="36">
                  <c:v>2015104.0670701091</c:v>
                </c:pt>
                <c:pt idx="37">
                  <c:v>2010078.8698953707</c:v>
                </c:pt>
                <c:pt idx="38">
                  <c:v>2003866.8825594361</c:v>
                </c:pt>
                <c:pt idx="39">
                  <c:v>1997674.0928715342</c:v>
                </c:pt>
                <c:pt idx="40">
                  <c:v>1992692.3619666176</c:v>
                </c:pt>
                <c:pt idx="41">
                  <c:v>1986930.2642004366</c:v>
                </c:pt>
                <c:pt idx="42">
                  <c:v>1977635.3779241932</c:v>
                </c:pt>
                <c:pt idx="43">
                  <c:v>1965840.3359087408</c:v>
                </c:pt>
                <c:pt idx="44">
                  <c:v>1954698.5541500852</c:v>
                </c:pt>
                <c:pt idx="45">
                  <c:v>1941303.5595889217</c:v>
                </c:pt>
                <c:pt idx="46">
                  <c:v>1926852.1683264731</c:v>
                </c:pt>
                <c:pt idx="47">
                  <c:v>1916312.4498522854</c:v>
                </c:pt>
                <c:pt idx="48">
                  <c:v>1904693.8175651382</c:v>
                </c:pt>
                <c:pt idx="49">
                  <c:v>1889764.6766198415</c:v>
                </c:pt>
                <c:pt idx="50">
                  <c:v>1874766.5442657156</c:v>
                </c:pt>
                <c:pt idx="51">
                  <c:v>1860256.5432285331</c:v>
                </c:pt>
                <c:pt idx="52">
                  <c:v>1845492.602409259</c:v>
                </c:pt>
                <c:pt idx="53">
                  <c:v>1831027.4852755817</c:v>
                </c:pt>
                <c:pt idx="54">
                  <c:v>1816856.0084099837</c:v>
                </c:pt>
                <c:pt idx="55">
                  <c:v>1804226.423445863</c:v>
                </c:pt>
                <c:pt idx="56">
                  <c:v>1790795.457514504</c:v>
                </c:pt>
                <c:pt idx="57">
                  <c:v>1778523.6443683624</c:v>
                </c:pt>
                <c:pt idx="58">
                  <c:v>1769851.3726424146</c:v>
                </c:pt>
                <c:pt idx="59">
                  <c:v>1759995.3984113112</c:v>
                </c:pt>
                <c:pt idx="60">
                  <c:v>1748108.2622281599</c:v>
                </c:pt>
                <c:pt idx="61">
                  <c:v>1734234.387131111</c:v>
                </c:pt>
                <c:pt idx="62">
                  <c:v>1718424.8782511998</c:v>
                </c:pt>
                <c:pt idx="63">
                  <c:v>1704955.7279999999</c:v>
                </c:pt>
                <c:pt idx="64">
                  <c:v>1693104</c:v>
                </c:pt>
                <c:pt idx="65">
                  <c:v>1680000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E-4B3C-8020-39D1D32BF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563768"/>
        <c:axId val="161520184"/>
      </c:lineChart>
      <c:catAx>
        <c:axId val="1372563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520184"/>
        <c:crosses val="autoZero"/>
        <c:auto val="1"/>
        <c:lblAlgn val="ctr"/>
        <c:lblOffset val="100"/>
        <c:noMultiLvlLbl val="1"/>
      </c:catAx>
      <c:valAx>
        <c:axId val="161520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25637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Amcha!$D$1:$D$67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7.1000000000000004E-3</c:v>
                </c:pt>
                <c:pt idx="2">
                  <c:v>5.4999999999999997E-3</c:v>
                </c:pt>
                <c:pt idx="3">
                  <c:v>4.1999999999999997E-3</c:v>
                </c:pt>
                <c:pt idx="4">
                  <c:v>3.8E-3</c:v>
                </c:pt>
                <c:pt idx="5">
                  <c:v>4.1000000000000003E-3</c:v>
                </c:pt>
                <c:pt idx="6">
                  <c:v>4.4000000000000003E-3</c:v>
                </c:pt>
                <c:pt idx="7">
                  <c:v>5.4000000000000003E-3</c:v>
                </c:pt>
                <c:pt idx="8">
                  <c:v>5.8999999999999999E-3</c:v>
                </c:pt>
                <c:pt idx="9">
                  <c:v>4.4000000000000003E-3</c:v>
                </c:pt>
                <c:pt idx="10">
                  <c:v>3.3E-3</c:v>
                </c:pt>
                <c:pt idx="11">
                  <c:v>2.8E-3</c:v>
                </c:pt>
                <c:pt idx="12">
                  <c:v>2.5999999999999999E-3</c:v>
                </c:pt>
                <c:pt idx="13">
                  <c:v>2.7000000000000001E-3</c:v>
                </c:pt>
                <c:pt idx="14">
                  <c:v>3.2000000000000002E-3</c:v>
                </c:pt>
                <c:pt idx="15">
                  <c:v>3.5999999999999999E-3</c:v>
                </c:pt>
                <c:pt idx="16">
                  <c:v>3.3E-3</c:v>
                </c:pt>
                <c:pt idx="17">
                  <c:v>3.3E-3</c:v>
                </c:pt>
                <c:pt idx="18">
                  <c:v>3.5999999999999999E-3</c:v>
                </c:pt>
                <c:pt idx="19">
                  <c:v>4.1999999999999997E-3</c:v>
                </c:pt>
                <c:pt idx="20">
                  <c:v>5.7000000000000002E-3</c:v>
                </c:pt>
                <c:pt idx="21">
                  <c:v>5.1999999999999998E-3</c:v>
                </c:pt>
                <c:pt idx="22">
                  <c:v>3.3999999999999998E-3</c:v>
                </c:pt>
                <c:pt idx="23">
                  <c:v>3.3E-3</c:v>
                </c:pt>
                <c:pt idx="24">
                  <c:v>3.3E-3</c:v>
                </c:pt>
                <c:pt idx="25">
                  <c:v>2.5999999999999999E-3</c:v>
                </c:pt>
                <c:pt idx="26">
                  <c:v>1.6000000000000001E-3</c:v>
                </c:pt>
                <c:pt idx="27">
                  <c:v>5.9999999999999995E-4</c:v>
                </c:pt>
                <c:pt idx="28">
                  <c:v>5.0000000000000001E-4</c:v>
                </c:pt>
                <c:pt idx="29">
                  <c:v>1.2999999999999999E-3</c:v>
                </c:pt>
                <c:pt idx="30">
                  <c:v>1.2999999999999999E-3</c:v>
                </c:pt>
                <c:pt idx="31">
                  <c:v>4.0000000000000002E-4</c:v>
                </c:pt>
                <c:pt idx="32">
                  <c:v>-5.0000000000000001E-4</c:v>
                </c:pt>
                <c:pt idx="33">
                  <c:v>-6.9999999999999999E-4</c:v>
                </c:pt>
                <c:pt idx="34">
                  <c:v>-6.9999999999999999E-4</c:v>
                </c:pt>
                <c:pt idx="35">
                  <c:v>-2.9999999999999997E-4</c:v>
                </c:pt>
                <c:pt idx="36">
                  <c:v>1.1999999999999999E-3</c:v>
                </c:pt>
                <c:pt idx="37">
                  <c:v>2.5000000000000001E-3</c:v>
                </c:pt>
                <c:pt idx="38">
                  <c:v>3.0999999999999999E-3</c:v>
                </c:pt>
                <c:pt idx="39">
                  <c:v>3.0999999999999999E-3</c:v>
                </c:pt>
                <c:pt idx="40">
                  <c:v>2.5000000000000001E-3</c:v>
                </c:pt>
                <c:pt idx="41">
                  <c:v>2.8999999999999998E-3</c:v>
                </c:pt>
                <c:pt idx="42">
                  <c:v>4.7000000000000002E-3</c:v>
                </c:pt>
                <c:pt idx="43">
                  <c:v>6.0000000000000001E-3</c:v>
                </c:pt>
                <c:pt idx="44">
                  <c:v>5.7000000000000002E-3</c:v>
                </c:pt>
                <c:pt idx="45">
                  <c:v>6.8999999999999999E-3</c:v>
                </c:pt>
                <c:pt idx="46">
                  <c:v>7.4999999999999997E-3</c:v>
                </c:pt>
                <c:pt idx="47">
                  <c:v>5.4999999999999997E-3</c:v>
                </c:pt>
                <c:pt idx="48">
                  <c:v>6.1000000000000004E-3</c:v>
                </c:pt>
                <c:pt idx="49">
                  <c:v>7.9000000000000008E-3</c:v>
                </c:pt>
                <c:pt idx="50">
                  <c:v>8.0000000000000002E-3</c:v>
                </c:pt>
                <c:pt idx="51">
                  <c:v>7.7999999999999996E-3</c:v>
                </c:pt>
                <c:pt idx="52">
                  <c:v>8.0000000000000002E-3</c:v>
                </c:pt>
                <c:pt idx="53">
                  <c:v>7.9000000000000008E-3</c:v>
                </c:pt>
                <c:pt idx="54">
                  <c:v>7.7999999999999996E-3</c:v>
                </c:pt>
                <c:pt idx="55">
                  <c:v>7.0000000000000001E-3</c:v>
                </c:pt>
                <c:pt idx="56">
                  <c:v>7.4999999999999997E-3</c:v>
                </c:pt>
                <c:pt idx="57">
                  <c:v>6.8999999999999999E-3</c:v>
                </c:pt>
                <c:pt idx="58">
                  <c:v>4.8999999999999998E-3</c:v>
                </c:pt>
                <c:pt idx="59">
                  <c:v>5.5999999999999999E-3</c:v>
                </c:pt>
                <c:pt idx="60">
                  <c:v>6.7999999999999996E-3</c:v>
                </c:pt>
                <c:pt idx="61">
                  <c:v>8.0000000000000002E-3</c:v>
                </c:pt>
                <c:pt idx="62">
                  <c:v>9.1999999999999998E-3</c:v>
                </c:pt>
                <c:pt idx="63">
                  <c:v>7.9000000000000008E-3</c:v>
                </c:pt>
                <c:pt idx="64">
                  <c:v>7.0000000000000001E-3</c:v>
                </c:pt>
                <c:pt idx="65">
                  <c:v>7.7999999999999996E-3</c:v>
                </c:pt>
                <c:pt idx="66">
                  <c:v>9.7000000000000003E-3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D-4C2A-9E19-D0FB799F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869139"/>
        <c:axId val="2024839809"/>
      </c:lineChart>
      <c:catAx>
        <c:axId val="1306869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4839809"/>
        <c:crosses val="autoZero"/>
        <c:auto val="1"/>
        <c:lblAlgn val="ctr"/>
        <c:lblOffset val="100"/>
        <c:noMultiLvlLbl val="1"/>
      </c:catAx>
      <c:valAx>
        <c:axId val="2024839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68691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Andsaudare!$C$1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Andsaudare!$C$2:$C$67</c:f>
              <c:numCache>
                <c:formatCode>#,##0</c:formatCode>
                <c:ptCount val="66"/>
                <c:pt idx="0">
                  <c:v>3147403.5572427409</c:v>
                </c:pt>
                <c:pt idx="1">
                  <c:v>3104866.8809734052</c:v>
                </c:pt>
                <c:pt idx="2">
                  <c:v>3062905.0813587895</c:v>
                </c:pt>
                <c:pt idx="3">
                  <c:v>3027782.8008687124</c:v>
                </c:pt>
                <c:pt idx="4">
                  <c:v>2997211.2461579018</c:v>
                </c:pt>
                <c:pt idx="5">
                  <c:v>2960793.4862766983</c:v>
                </c:pt>
                <c:pt idx="6">
                  <c:v>2919626.7491141884</c:v>
                </c:pt>
                <c:pt idx="7">
                  <c:v>2878464.7038491457</c:v>
                </c:pt>
                <c:pt idx="8">
                  <c:v>2837043.8634428796</c:v>
                </c:pt>
                <c:pt idx="9">
                  <c:v>2795392.5149698295</c:v>
                </c:pt>
                <c:pt idx="10">
                  <c:v>2753538.7263296191</c:v>
                </c:pt>
                <c:pt idx="11">
                  <c:v>2711777.3550616694</c:v>
                </c:pt>
                <c:pt idx="12">
                  <c:v>2669860.5445128181</c:v>
                </c:pt>
                <c:pt idx="13">
                  <c:v>2627815.4965677345</c:v>
                </c:pt>
                <c:pt idx="14">
                  <c:v>2585923.5352959405</c:v>
                </c:pt>
                <c:pt idx="15">
                  <c:v>2544198.6769932513</c:v>
                </c:pt>
                <c:pt idx="16">
                  <c:v>2502408.4557816973</c:v>
                </c:pt>
                <c:pt idx="17">
                  <c:v>2460820.5878470819</c:v>
                </c:pt>
                <c:pt idx="18">
                  <c:v>2419448.0265923529</c:v>
                </c:pt>
                <c:pt idx="19">
                  <c:v>2379004.9425686854</c:v>
                </c:pt>
                <c:pt idx="20">
                  <c:v>2339467.9344760403</c:v>
                </c:pt>
                <c:pt idx="21">
                  <c:v>2300814.2549921721</c:v>
                </c:pt>
                <c:pt idx="22">
                  <c:v>2262799.227962404</c:v>
                </c:pt>
                <c:pt idx="23">
                  <c:v>2225631.1871372126</c:v>
                </c:pt>
                <c:pt idx="24">
                  <c:v>2188643.1184356501</c:v>
                </c:pt>
                <c:pt idx="25">
                  <c:v>2151634.9964959202</c:v>
                </c:pt>
                <c:pt idx="26">
                  <c:v>2114628.9891851796</c:v>
                </c:pt>
                <c:pt idx="27">
                  <c:v>2077851.0260245448</c:v>
                </c:pt>
                <c:pt idx="28">
                  <c:v>2040910.5451571995</c:v>
                </c:pt>
                <c:pt idx="29">
                  <c:v>2003839.5141455077</c:v>
                </c:pt>
                <c:pt idx="30">
                  <c:v>1966669.4613264382</c:v>
                </c:pt>
                <c:pt idx="31">
                  <c:v>1929242.1633573063</c:v>
                </c:pt>
                <c:pt idx="32">
                  <c:v>1891784.8238451718</c:v>
                </c:pt>
                <c:pt idx="33">
                  <c:v>1853963.959079941</c:v>
                </c:pt>
                <c:pt idx="34">
                  <c:v>1816187.2639889705</c:v>
                </c:pt>
                <c:pt idx="35">
                  <c:v>1778831.7962673563</c:v>
                </c:pt>
                <c:pt idx="36">
                  <c:v>1741903.4432700314</c:v>
                </c:pt>
                <c:pt idx="37">
                  <c:v>1705741.7188308178</c:v>
                </c:pt>
                <c:pt idx="38">
                  <c:v>1670494.2893260387</c:v>
                </c:pt>
                <c:pt idx="39">
                  <c:v>1636135.4449814288</c:v>
                </c:pt>
                <c:pt idx="40">
                  <c:v>1602169.4525865929</c:v>
                </c:pt>
                <c:pt idx="41">
                  <c:v>1568601.382990594</c:v>
                </c:pt>
                <c:pt idx="42">
                  <c:v>1535586.2780133078</c:v>
                </c:pt>
                <c:pt idx="43">
                  <c:v>1502824.6995628378</c:v>
                </c:pt>
                <c:pt idx="44">
                  <c:v>1470186.5579757756</c:v>
                </c:pt>
                <c:pt idx="45">
                  <c:v>1437835.264523986</c:v>
                </c:pt>
                <c:pt idx="46">
                  <c:v>1405783.402937022</c:v>
                </c:pt>
                <c:pt idx="47">
                  <c:v>1374177.3244741175</c:v>
                </c:pt>
                <c:pt idx="48">
                  <c:v>1343150.5468420659</c:v>
                </c:pt>
                <c:pt idx="49">
                  <c:v>1313080.9921224616</c:v>
                </c:pt>
                <c:pt idx="50">
                  <c:v>1283935.652803815</c:v>
                </c:pt>
                <c:pt idx="51">
                  <c:v>1255559.9968744523</c:v>
                </c:pt>
                <c:pt idx="52">
                  <c:v>1227931.5372855279</c:v>
                </c:pt>
                <c:pt idx="53">
                  <c:v>1200911.0389100518</c:v>
                </c:pt>
                <c:pt idx="54">
                  <c:v>1174485.1236284126</c:v>
                </c:pt>
                <c:pt idx="55">
                  <c:v>1148753.0551921094</c:v>
                </c:pt>
                <c:pt idx="56">
                  <c:v>1123584.7566432995</c:v>
                </c:pt>
                <c:pt idx="57">
                  <c:v>1099182.8963444526</c:v>
                </c:pt>
                <c:pt idx="58">
                  <c:v>1075626.6722227738</c:v>
                </c:pt>
                <c:pt idx="59">
                  <c:v>1052884.3698343518</c:v>
                </c:pt>
                <c:pt idx="60">
                  <c:v>1030925.6534165785</c:v>
                </c:pt>
                <c:pt idx="61">
                  <c:v>1009622.6162144537</c:v>
                </c:pt>
                <c:pt idx="62">
                  <c:v>988953.48830879992</c:v>
                </c:pt>
                <c:pt idx="63">
                  <c:v>968992.24800000002</c:v>
                </c:pt>
                <c:pt idx="64">
                  <c:v>949620</c:v>
                </c:pt>
                <c:pt idx="65">
                  <c:v>931000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E-475C-948F-C7A22682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760313"/>
        <c:axId val="15201894"/>
      </c:lineChart>
      <c:catAx>
        <c:axId val="2083760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01894"/>
        <c:crosses val="autoZero"/>
        <c:auto val="1"/>
        <c:lblAlgn val="ctr"/>
        <c:lblOffset val="100"/>
        <c:noMultiLvlLbl val="1"/>
      </c:catAx>
      <c:valAx>
        <c:axId val="15201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37603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Andsaudare!$D$1:$D$67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1.37E-2</c:v>
                </c:pt>
                <c:pt idx="2">
                  <c:v>1.37E-2</c:v>
                </c:pt>
                <c:pt idx="3">
                  <c:v>1.1599999999999999E-2</c:v>
                </c:pt>
                <c:pt idx="4">
                  <c:v>1.0200000000000001E-2</c:v>
                </c:pt>
                <c:pt idx="5">
                  <c:v>1.23E-2</c:v>
                </c:pt>
                <c:pt idx="6">
                  <c:v>1.41E-2</c:v>
                </c:pt>
                <c:pt idx="7">
                  <c:v>1.43E-2</c:v>
                </c:pt>
                <c:pt idx="8">
                  <c:v>1.46E-2</c:v>
                </c:pt>
                <c:pt idx="9">
                  <c:v>1.49E-2</c:v>
                </c:pt>
                <c:pt idx="10">
                  <c:v>1.52E-2</c:v>
                </c:pt>
                <c:pt idx="11">
                  <c:v>1.54E-2</c:v>
                </c:pt>
                <c:pt idx="12">
                  <c:v>1.5699999999999999E-2</c:v>
                </c:pt>
                <c:pt idx="13">
                  <c:v>1.6E-2</c:v>
                </c:pt>
                <c:pt idx="14">
                  <c:v>1.6199999999999999E-2</c:v>
                </c:pt>
                <c:pt idx="15">
                  <c:v>1.6400000000000001E-2</c:v>
                </c:pt>
                <c:pt idx="16">
                  <c:v>1.67E-2</c:v>
                </c:pt>
                <c:pt idx="17">
                  <c:v>1.6899999999999998E-2</c:v>
                </c:pt>
                <c:pt idx="18">
                  <c:v>1.7100000000000001E-2</c:v>
                </c:pt>
                <c:pt idx="19">
                  <c:v>1.7000000000000001E-2</c:v>
                </c:pt>
                <c:pt idx="20">
                  <c:v>1.6899999999999998E-2</c:v>
                </c:pt>
                <c:pt idx="21">
                  <c:v>1.6799999999999999E-2</c:v>
                </c:pt>
                <c:pt idx="22">
                  <c:v>1.6799999999999999E-2</c:v>
                </c:pt>
                <c:pt idx="23">
                  <c:v>1.67E-2</c:v>
                </c:pt>
                <c:pt idx="24">
                  <c:v>1.6899999999999998E-2</c:v>
                </c:pt>
                <c:pt idx="25">
                  <c:v>1.72E-2</c:v>
                </c:pt>
                <c:pt idx="26">
                  <c:v>1.7500000000000002E-2</c:v>
                </c:pt>
                <c:pt idx="27">
                  <c:v>1.77E-2</c:v>
                </c:pt>
                <c:pt idx="28">
                  <c:v>1.8100000000000002E-2</c:v>
                </c:pt>
                <c:pt idx="29">
                  <c:v>1.8499999999999999E-2</c:v>
                </c:pt>
                <c:pt idx="30">
                  <c:v>1.89E-2</c:v>
                </c:pt>
                <c:pt idx="31">
                  <c:v>1.9400000000000001E-2</c:v>
                </c:pt>
                <c:pt idx="32">
                  <c:v>1.9800000000000002E-2</c:v>
                </c:pt>
                <c:pt idx="33">
                  <c:v>2.0400000000000001E-2</c:v>
                </c:pt>
                <c:pt idx="34">
                  <c:v>2.0799999999999999E-2</c:v>
                </c:pt>
                <c:pt idx="35">
                  <c:v>2.1000000000000001E-2</c:v>
                </c:pt>
                <c:pt idx="36">
                  <c:v>2.12E-2</c:v>
                </c:pt>
                <c:pt idx="37">
                  <c:v>2.12E-2</c:v>
                </c:pt>
                <c:pt idx="38">
                  <c:v>2.1100000000000001E-2</c:v>
                </c:pt>
                <c:pt idx="39">
                  <c:v>2.1000000000000001E-2</c:v>
                </c:pt>
                <c:pt idx="40">
                  <c:v>2.12E-2</c:v>
                </c:pt>
                <c:pt idx="41">
                  <c:v>2.1399999999999999E-2</c:v>
                </c:pt>
                <c:pt idx="42">
                  <c:v>2.1499999999999998E-2</c:v>
                </c:pt>
                <c:pt idx="43">
                  <c:v>2.18E-2</c:v>
                </c:pt>
                <c:pt idx="44">
                  <c:v>2.2200000000000001E-2</c:v>
                </c:pt>
                <c:pt idx="45">
                  <c:v>2.2499999999999999E-2</c:v>
                </c:pt>
                <c:pt idx="46">
                  <c:v>2.2800000000000001E-2</c:v>
                </c:pt>
                <c:pt idx="47">
                  <c:v>2.3E-2</c:v>
                </c:pt>
                <c:pt idx="48">
                  <c:v>2.3099999999999999E-2</c:v>
                </c:pt>
                <c:pt idx="49">
                  <c:v>2.29E-2</c:v>
                </c:pt>
                <c:pt idx="50">
                  <c:v>2.2700000000000001E-2</c:v>
                </c:pt>
                <c:pt idx="51">
                  <c:v>2.2599999999999999E-2</c:v>
                </c:pt>
                <c:pt idx="52">
                  <c:v>2.2499999999999999E-2</c:v>
                </c:pt>
                <c:pt idx="53">
                  <c:v>2.2499999999999999E-2</c:v>
                </c:pt>
                <c:pt idx="54">
                  <c:v>2.2499999999999999E-2</c:v>
                </c:pt>
                <c:pt idx="55">
                  <c:v>2.24E-2</c:v>
                </c:pt>
                <c:pt idx="56">
                  <c:v>2.24E-2</c:v>
                </c:pt>
                <c:pt idx="57">
                  <c:v>2.2200000000000001E-2</c:v>
                </c:pt>
                <c:pt idx="58">
                  <c:v>2.1899999999999999E-2</c:v>
                </c:pt>
                <c:pt idx="59">
                  <c:v>2.1600000000000001E-2</c:v>
                </c:pt>
                <c:pt idx="60">
                  <c:v>2.1299999999999999E-2</c:v>
                </c:pt>
                <c:pt idx="61">
                  <c:v>2.1100000000000001E-2</c:v>
                </c:pt>
                <c:pt idx="62">
                  <c:v>2.0899999999999998E-2</c:v>
                </c:pt>
                <c:pt idx="63">
                  <c:v>2.06E-2</c:v>
                </c:pt>
                <c:pt idx="64">
                  <c:v>2.0400000000000001E-2</c:v>
                </c:pt>
                <c:pt idx="65">
                  <c:v>0.02</c:v>
                </c:pt>
                <c:pt idx="66">
                  <c:v>2.0400000000000001E-2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25-4211-90F5-A11EE8A41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937444"/>
        <c:axId val="804466991"/>
      </c:lineChart>
      <c:catAx>
        <c:axId val="658937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4466991"/>
        <c:crosses val="autoZero"/>
        <c:auto val="1"/>
        <c:lblAlgn val="ctr"/>
        <c:lblOffset val="100"/>
        <c:noMultiLvlLbl val="1"/>
      </c:catAx>
      <c:valAx>
        <c:axId val="804466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89374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Anymna!$D$1:$D$67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1.09E-2</c:v>
                </c:pt>
                <c:pt idx="2">
                  <c:v>1.0999999999999999E-2</c:v>
                </c:pt>
                <c:pt idx="3">
                  <c:v>9.5999999999999992E-3</c:v>
                </c:pt>
                <c:pt idx="4">
                  <c:v>9.5999999999999992E-3</c:v>
                </c:pt>
                <c:pt idx="5">
                  <c:v>1.1900000000000001E-2</c:v>
                </c:pt>
                <c:pt idx="6">
                  <c:v>1.7100000000000001E-2</c:v>
                </c:pt>
                <c:pt idx="7">
                  <c:v>1.8100000000000002E-2</c:v>
                </c:pt>
                <c:pt idx="8">
                  <c:v>1.47E-2</c:v>
                </c:pt>
                <c:pt idx="9">
                  <c:v>1.3299999999999999E-2</c:v>
                </c:pt>
                <c:pt idx="10">
                  <c:v>1.1299999999999999E-2</c:v>
                </c:pt>
                <c:pt idx="11">
                  <c:v>9.9000000000000008E-3</c:v>
                </c:pt>
                <c:pt idx="12">
                  <c:v>8.9999999999999993E-3</c:v>
                </c:pt>
                <c:pt idx="13">
                  <c:v>8.3999999999999995E-3</c:v>
                </c:pt>
                <c:pt idx="14">
                  <c:v>7.4999999999999997E-3</c:v>
                </c:pt>
                <c:pt idx="15">
                  <c:v>6.4999999999999997E-3</c:v>
                </c:pt>
                <c:pt idx="16">
                  <c:v>6.1999999999999998E-3</c:v>
                </c:pt>
                <c:pt idx="17">
                  <c:v>6.6E-3</c:v>
                </c:pt>
                <c:pt idx="18">
                  <c:v>7.3000000000000001E-3</c:v>
                </c:pt>
                <c:pt idx="19">
                  <c:v>7.9000000000000008E-3</c:v>
                </c:pt>
                <c:pt idx="20">
                  <c:v>8.8999999999999999E-3</c:v>
                </c:pt>
                <c:pt idx="21">
                  <c:v>9.7999999999999997E-3</c:v>
                </c:pt>
                <c:pt idx="22">
                  <c:v>1.0699999999999999E-2</c:v>
                </c:pt>
                <c:pt idx="23">
                  <c:v>1.1900000000000001E-2</c:v>
                </c:pt>
                <c:pt idx="24">
                  <c:v>1.37E-2</c:v>
                </c:pt>
                <c:pt idx="25">
                  <c:v>1.5599999999999999E-2</c:v>
                </c:pt>
                <c:pt idx="26">
                  <c:v>1.7299999999999999E-2</c:v>
                </c:pt>
                <c:pt idx="27">
                  <c:v>1.8200000000000001E-2</c:v>
                </c:pt>
                <c:pt idx="28">
                  <c:v>1.8499999999999999E-2</c:v>
                </c:pt>
                <c:pt idx="29">
                  <c:v>1.8800000000000001E-2</c:v>
                </c:pt>
                <c:pt idx="30">
                  <c:v>1.9400000000000001E-2</c:v>
                </c:pt>
                <c:pt idx="31">
                  <c:v>1.9800000000000002E-2</c:v>
                </c:pt>
                <c:pt idx="32">
                  <c:v>2.0199999999999999E-2</c:v>
                </c:pt>
                <c:pt idx="33">
                  <c:v>2.0400000000000001E-2</c:v>
                </c:pt>
                <c:pt idx="34">
                  <c:v>2.1100000000000001E-2</c:v>
                </c:pt>
                <c:pt idx="35">
                  <c:v>2.2100000000000002E-2</c:v>
                </c:pt>
                <c:pt idx="36">
                  <c:v>2.24E-2</c:v>
                </c:pt>
                <c:pt idx="37">
                  <c:v>2.2700000000000001E-2</c:v>
                </c:pt>
                <c:pt idx="38">
                  <c:v>2.29E-2</c:v>
                </c:pt>
                <c:pt idx="39">
                  <c:v>2.3599999999999999E-2</c:v>
                </c:pt>
                <c:pt idx="40">
                  <c:v>2.4400000000000002E-2</c:v>
                </c:pt>
                <c:pt idx="41">
                  <c:v>2.4799999999999999E-2</c:v>
                </c:pt>
                <c:pt idx="42">
                  <c:v>2.4899999999999999E-2</c:v>
                </c:pt>
                <c:pt idx="43">
                  <c:v>2.4799999999999999E-2</c:v>
                </c:pt>
                <c:pt idx="44">
                  <c:v>2.4899999999999999E-2</c:v>
                </c:pt>
                <c:pt idx="45">
                  <c:v>2.5000000000000001E-2</c:v>
                </c:pt>
                <c:pt idx="46">
                  <c:v>2.4899999999999999E-2</c:v>
                </c:pt>
                <c:pt idx="47">
                  <c:v>2.4899999999999999E-2</c:v>
                </c:pt>
                <c:pt idx="48">
                  <c:v>2.47E-2</c:v>
                </c:pt>
                <c:pt idx="49">
                  <c:v>2.47E-2</c:v>
                </c:pt>
                <c:pt idx="50">
                  <c:v>2.4899999999999999E-2</c:v>
                </c:pt>
                <c:pt idx="51">
                  <c:v>2.53E-2</c:v>
                </c:pt>
                <c:pt idx="52">
                  <c:v>2.5899999999999999E-2</c:v>
                </c:pt>
                <c:pt idx="53">
                  <c:v>2.6499999999999999E-2</c:v>
                </c:pt>
                <c:pt idx="54">
                  <c:v>2.46E-2</c:v>
                </c:pt>
                <c:pt idx="55">
                  <c:v>2.5100000000000001E-2</c:v>
                </c:pt>
                <c:pt idx="56">
                  <c:v>2.7900000000000001E-2</c:v>
                </c:pt>
                <c:pt idx="57">
                  <c:v>2.81E-2</c:v>
                </c:pt>
                <c:pt idx="58">
                  <c:v>2.8299999999999999E-2</c:v>
                </c:pt>
                <c:pt idx="59">
                  <c:v>2.8500000000000001E-2</c:v>
                </c:pt>
                <c:pt idx="60">
                  <c:v>2.87E-2</c:v>
                </c:pt>
                <c:pt idx="61">
                  <c:v>2.8899999999999999E-2</c:v>
                </c:pt>
                <c:pt idx="62">
                  <c:v>2.9000000000000001E-2</c:v>
                </c:pt>
                <c:pt idx="63">
                  <c:v>2.9100000000000001E-2</c:v>
                </c:pt>
                <c:pt idx="64">
                  <c:v>2.92E-2</c:v>
                </c:pt>
                <c:pt idx="65">
                  <c:v>2.9414285714285698E-2</c:v>
                </c:pt>
                <c:pt idx="66">
                  <c:v>2.9564285714285699E-2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38-4B19-88F0-D16D9C3D1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713491"/>
        <c:axId val="453508441"/>
      </c:lineChart>
      <c:catAx>
        <c:axId val="516713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3508441"/>
        <c:crosses val="autoZero"/>
        <c:auto val="1"/>
        <c:lblAlgn val="ctr"/>
        <c:lblOffset val="100"/>
        <c:noMultiLvlLbl val="1"/>
      </c:catAx>
      <c:valAx>
        <c:axId val="45350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67134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Anymna!$C$1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Anymna!$C$2:$C$67</c:f>
              <c:numCache>
                <c:formatCode>#,##0</c:formatCode>
                <c:ptCount val="66"/>
                <c:pt idx="0">
                  <c:v>21769692.941413205</c:v>
                </c:pt>
                <c:pt idx="1">
                  <c:v>21534961.857170053</c:v>
                </c:pt>
                <c:pt idx="2">
                  <c:v>21300654.655954555</c:v>
                </c:pt>
                <c:pt idx="3">
                  <c:v>21098112.77333058</c:v>
                </c:pt>
                <c:pt idx="4">
                  <c:v>20897496.804012064</c:v>
                </c:pt>
                <c:pt idx="5">
                  <c:v>20651741.08509938</c:v>
                </c:pt>
                <c:pt idx="6">
                  <c:v>20304533.561202813</c:v>
                </c:pt>
                <c:pt idx="7">
                  <c:v>19943555.211868003</c:v>
                </c:pt>
                <c:pt idx="8">
                  <c:v>19654632.119708292</c:v>
                </c:pt>
                <c:pt idx="9">
                  <c:v>19396656.587099861</c:v>
                </c:pt>
                <c:pt idx="10">
                  <c:v>19179923.452091228</c:v>
                </c:pt>
                <c:pt idx="11">
                  <c:v>18991903.606387988</c:v>
                </c:pt>
                <c:pt idx="12">
                  <c:v>18822501.096519317</c:v>
                </c:pt>
                <c:pt idx="13">
                  <c:v>18665709.139745455</c:v>
                </c:pt>
                <c:pt idx="14">
                  <c:v>18526758.451360252</c:v>
                </c:pt>
                <c:pt idx="15">
                  <c:v>18407112.221917786</c:v>
                </c:pt>
                <c:pt idx="16">
                  <c:v>18293691.335636839</c:v>
                </c:pt>
                <c:pt idx="17">
                  <c:v>18173744.621137332</c:v>
                </c:pt>
                <c:pt idx="18">
                  <c:v>18042037.74559449</c:v>
                </c:pt>
                <c:pt idx="19">
                  <c:v>17900622.825274818</c:v>
                </c:pt>
                <c:pt idx="20">
                  <c:v>17742712.682401445</c:v>
                </c:pt>
                <c:pt idx="21">
                  <c:v>17570521.57100559</c:v>
                </c:pt>
                <c:pt idx="22">
                  <c:v>17384507.342441469</c:v>
                </c:pt>
                <c:pt idx="23">
                  <c:v>17180064.574010741</c:v>
                </c:pt>
                <c:pt idx="24">
                  <c:v>16947878.636688113</c:v>
                </c:pt>
                <c:pt idx="25">
                  <c:v>16687552.812808301</c:v>
                </c:pt>
                <c:pt idx="26">
                  <c:v>16403767.632761525</c:v>
                </c:pt>
                <c:pt idx="27">
                  <c:v>16110555.522256458</c:v>
                </c:pt>
                <c:pt idx="28">
                  <c:v>15817923.929559605</c:v>
                </c:pt>
                <c:pt idx="29">
                  <c:v>15526034.48131096</c:v>
                </c:pt>
                <c:pt idx="30">
                  <c:v>15230561.586532233</c:v>
                </c:pt>
                <c:pt idx="31">
                  <c:v>14934851.526311269</c:v>
                </c:pt>
                <c:pt idx="32">
                  <c:v>14639140.880524671</c:v>
                </c:pt>
                <c:pt idx="33">
                  <c:v>14346472.834696855</c:v>
                </c:pt>
                <c:pt idx="34">
                  <c:v>14050017.466160862</c:v>
                </c:pt>
                <c:pt idx="35">
                  <c:v>13746225.874337992</c:v>
                </c:pt>
                <c:pt idx="36">
                  <c:v>13445056.606355626</c:v>
                </c:pt>
                <c:pt idx="37">
                  <c:v>13146628.147409433</c:v>
                </c:pt>
                <c:pt idx="38">
                  <c:v>12852310.24284821</c:v>
                </c:pt>
                <c:pt idx="39">
                  <c:v>12555988.904697351</c:v>
                </c:pt>
                <c:pt idx="40">
                  <c:v>12256920.055346888</c:v>
                </c:pt>
                <c:pt idx="41">
                  <c:v>11960304.503656214</c:v>
                </c:pt>
                <c:pt idx="42">
                  <c:v>11669728.269739697</c:v>
                </c:pt>
                <c:pt idx="43">
                  <c:v>11387322.667583624</c:v>
                </c:pt>
                <c:pt idx="44">
                  <c:v>11110667.057843326</c:v>
                </c:pt>
                <c:pt idx="45">
                  <c:v>10839675.178383734</c:v>
                </c:pt>
                <c:pt idx="46">
                  <c:v>10576324.693515206</c:v>
                </c:pt>
                <c:pt idx="47">
                  <c:v>10319372.322680462</c:v>
                </c:pt>
                <c:pt idx="48">
                  <c:v>10070627.815634295</c:v>
                </c:pt>
                <c:pt idx="49">
                  <c:v>9827879.1994088963</c:v>
                </c:pt>
                <c:pt idx="50">
                  <c:v>9589110.3516527433</c:v>
                </c:pt>
                <c:pt idx="51">
                  <c:v>9352492.2965500262</c:v>
                </c:pt>
                <c:pt idx="52">
                  <c:v>9116378.1036651004</c:v>
                </c:pt>
                <c:pt idx="53">
                  <c:v>8881030.7877887003</c:v>
                </c:pt>
                <c:pt idx="54">
                  <c:v>8667802.8379745279</c:v>
                </c:pt>
                <c:pt idx="55">
                  <c:v>8455568.0791869368</c:v>
                </c:pt>
                <c:pt idx="56">
                  <c:v>8226060.9779034304</c:v>
                </c:pt>
                <c:pt idx="57">
                  <c:v>8001226.5128911883</c:v>
                </c:pt>
                <c:pt idx="58">
                  <c:v>7781023.5465245433</c:v>
                </c:pt>
                <c:pt idx="59">
                  <c:v>7565409.3792168628</c:v>
                </c:pt>
                <c:pt idx="60">
                  <c:v>7354339.8262047861</c:v>
                </c:pt>
                <c:pt idx="61">
                  <c:v>7147769.2936191922</c:v>
                </c:pt>
                <c:pt idx="62">
                  <c:v>6946325.8441391569</c:v>
                </c:pt>
                <c:pt idx="63">
                  <c:v>6749903.6479828563</c:v>
                </c:pt>
                <c:pt idx="64">
                  <c:v>6558398.4142857138</c:v>
                </c:pt>
                <c:pt idx="65">
                  <c:v>6371000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7-440B-9221-483454ECD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158820"/>
        <c:axId val="659819661"/>
      </c:lineChart>
      <c:catAx>
        <c:axId val="940158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9819661"/>
        <c:crosses val="autoZero"/>
        <c:auto val="1"/>
        <c:lblAlgn val="ctr"/>
        <c:lblOffset val="100"/>
        <c:noMultiLvlLbl val="1"/>
      </c:catAx>
      <c:valAx>
        <c:axId val="659819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01588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Aplasia!$D$1:$D$67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8.8000000000000005E-3</c:v>
                </c:pt>
                <c:pt idx="2">
                  <c:v>9.1000000000000004E-3</c:v>
                </c:pt>
                <c:pt idx="3">
                  <c:v>8.5000000000000006E-3</c:v>
                </c:pt>
                <c:pt idx="4">
                  <c:v>9.1000000000000004E-3</c:v>
                </c:pt>
                <c:pt idx="5">
                  <c:v>1.0800000000000001E-2</c:v>
                </c:pt>
                <c:pt idx="6">
                  <c:v>1.04E-2</c:v>
                </c:pt>
                <c:pt idx="7">
                  <c:v>9.7000000000000003E-3</c:v>
                </c:pt>
                <c:pt idx="8">
                  <c:v>1.01E-2</c:v>
                </c:pt>
                <c:pt idx="9">
                  <c:v>1.0500000000000001E-2</c:v>
                </c:pt>
                <c:pt idx="10">
                  <c:v>1.0800000000000001E-2</c:v>
                </c:pt>
                <c:pt idx="11">
                  <c:v>1.11E-2</c:v>
                </c:pt>
                <c:pt idx="12">
                  <c:v>1.1299999999999999E-2</c:v>
                </c:pt>
                <c:pt idx="13">
                  <c:v>1.14E-2</c:v>
                </c:pt>
                <c:pt idx="14">
                  <c:v>1.15E-2</c:v>
                </c:pt>
                <c:pt idx="15">
                  <c:v>1.1599999999999999E-2</c:v>
                </c:pt>
                <c:pt idx="16">
                  <c:v>1.17E-2</c:v>
                </c:pt>
                <c:pt idx="17">
                  <c:v>1.17E-2</c:v>
                </c:pt>
                <c:pt idx="18">
                  <c:v>1.14E-2</c:v>
                </c:pt>
                <c:pt idx="19">
                  <c:v>1.09E-2</c:v>
                </c:pt>
                <c:pt idx="20">
                  <c:v>1.04E-2</c:v>
                </c:pt>
                <c:pt idx="21">
                  <c:v>1.47E-2</c:v>
                </c:pt>
                <c:pt idx="22">
                  <c:v>1.9699999999999999E-2</c:v>
                </c:pt>
                <c:pt idx="23">
                  <c:v>2.0299999999999999E-2</c:v>
                </c:pt>
                <c:pt idx="24">
                  <c:v>2.06E-2</c:v>
                </c:pt>
                <c:pt idx="25">
                  <c:v>2.06E-2</c:v>
                </c:pt>
                <c:pt idx="26">
                  <c:v>2.06E-2</c:v>
                </c:pt>
                <c:pt idx="27">
                  <c:v>2.06E-2</c:v>
                </c:pt>
                <c:pt idx="28">
                  <c:v>2.0799999999999999E-2</c:v>
                </c:pt>
                <c:pt idx="29">
                  <c:v>2.12E-2</c:v>
                </c:pt>
                <c:pt idx="30">
                  <c:v>1.7000000000000001E-2</c:v>
                </c:pt>
                <c:pt idx="31">
                  <c:v>7.1999999999999998E-3</c:v>
                </c:pt>
                <c:pt idx="32">
                  <c:v>4.1999999999999997E-3</c:v>
                </c:pt>
                <c:pt idx="33">
                  <c:v>6.1999999999999998E-3</c:v>
                </c:pt>
                <c:pt idx="34">
                  <c:v>6.1000000000000004E-3</c:v>
                </c:pt>
                <c:pt idx="35">
                  <c:v>0.01</c:v>
                </c:pt>
                <c:pt idx="36">
                  <c:v>1.5299999999999999E-2</c:v>
                </c:pt>
                <c:pt idx="37">
                  <c:v>1.3299999999999999E-2</c:v>
                </c:pt>
                <c:pt idx="38">
                  <c:v>1.1599999999999999E-2</c:v>
                </c:pt>
                <c:pt idx="39">
                  <c:v>1.38E-2</c:v>
                </c:pt>
                <c:pt idx="40">
                  <c:v>1.24E-2</c:v>
                </c:pt>
                <c:pt idx="41">
                  <c:v>9.1000000000000004E-3</c:v>
                </c:pt>
                <c:pt idx="42">
                  <c:v>5.7999999999999996E-3</c:v>
                </c:pt>
                <c:pt idx="43">
                  <c:v>2.8999999999999998E-3</c:v>
                </c:pt>
                <c:pt idx="44">
                  <c:v>2.0000000000000001E-4</c:v>
                </c:pt>
                <c:pt idx="45">
                  <c:v>-5.8999999999999999E-3</c:v>
                </c:pt>
                <c:pt idx="46">
                  <c:v>-1.03E-2</c:v>
                </c:pt>
                <c:pt idx="47">
                  <c:v>-9.2999999999999992E-3</c:v>
                </c:pt>
                <c:pt idx="48">
                  <c:v>-8.3000000000000001E-3</c:v>
                </c:pt>
                <c:pt idx="49">
                  <c:v>-7.4000000000000003E-3</c:v>
                </c:pt>
                <c:pt idx="50">
                  <c:v>-6.4000000000000003E-3</c:v>
                </c:pt>
                <c:pt idx="51">
                  <c:v>-5.3E-3</c:v>
                </c:pt>
                <c:pt idx="52">
                  <c:v>-4.1000000000000003E-3</c:v>
                </c:pt>
                <c:pt idx="53">
                  <c:v>1.3899999999999999E-2</c:v>
                </c:pt>
                <c:pt idx="54">
                  <c:v>3.2399999999999998E-2</c:v>
                </c:pt>
                <c:pt idx="55">
                  <c:v>3.3599999999999998E-2</c:v>
                </c:pt>
                <c:pt idx="56">
                  <c:v>3.4099999999999998E-2</c:v>
                </c:pt>
                <c:pt idx="57">
                  <c:v>3.4200000000000001E-2</c:v>
                </c:pt>
                <c:pt idx="58">
                  <c:v>3.4299999999999997E-2</c:v>
                </c:pt>
                <c:pt idx="59">
                  <c:v>3.4200000000000001E-2</c:v>
                </c:pt>
                <c:pt idx="60">
                  <c:v>3.4799999999999998E-2</c:v>
                </c:pt>
                <c:pt idx="61">
                  <c:v>3.9600000000000003E-2</c:v>
                </c:pt>
                <c:pt idx="62">
                  <c:v>4.5199999999999997E-2</c:v>
                </c:pt>
                <c:pt idx="63">
                  <c:v>0.04</c:v>
                </c:pt>
                <c:pt idx="64">
                  <c:v>3.3099999999999997E-2</c:v>
                </c:pt>
                <c:pt idx="65">
                  <c:v>2.73333333333333E-2</c:v>
                </c:pt>
                <c:pt idx="66">
                  <c:v>2.12833333333333E-2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FF-4ED1-AEAA-5F5B3DFE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379333"/>
        <c:axId val="374388296"/>
      </c:lineChart>
      <c:catAx>
        <c:axId val="1486379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4388296"/>
        <c:crosses val="autoZero"/>
        <c:auto val="1"/>
        <c:lblAlgn val="ctr"/>
        <c:lblOffset val="100"/>
        <c:noMultiLvlLbl val="1"/>
      </c:catAx>
      <c:valAx>
        <c:axId val="374388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63793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Aplasia!$C$1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Aplasia!$C$2:$C$67</c:f>
              <c:numCache>
                <c:formatCode>#,##0</c:formatCode>
                <c:ptCount val="66"/>
                <c:pt idx="0">
                  <c:v>376279.76762747578</c:v>
                </c:pt>
                <c:pt idx="1">
                  <c:v>372997.39059028134</c:v>
                </c:pt>
                <c:pt idx="2">
                  <c:v>369633.72370456974</c:v>
                </c:pt>
                <c:pt idx="3">
                  <c:v>366518.3180015565</c:v>
                </c:pt>
                <c:pt idx="4">
                  <c:v>363213.07898281288</c:v>
                </c:pt>
                <c:pt idx="5">
                  <c:v>359332.29024813307</c:v>
                </c:pt>
                <c:pt idx="6">
                  <c:v>355633.69977051968</c:v>
                </c:pt>
                <c:pt idx="7">
                  <c:v>352217.19299843482</c:v>
                </c:pt>
                <c:pt idx="8">
                  <c:v>348695.36976382026</c:v>
                </c:pt>
                <c:pt idx="9">
                  <c:v>345072.11258171231</c:v>
                </c:pt>
                <c:pt idx="10">
                  <c:v>341385.15293006762</c:v>
                </c:pt>
                <c:pt idx="11">
                  <c:v>337637.37803389138</c:v>
                </c:pt>
                <c:pt idx="12">
                  <c:v>333864.7068465256</c:v>
                </c:pt>
                <c:pt idx="13">
                  <c:v>330101.54918580735</c:v>
                </c:pt>
                <c:pt idx="14">
                  <c:v>326348.54096471315</c:v>
                </c:pt>
                <c:pt idx="15">
                  <c:v>322606.30779429927</c:v>
                </c:pt>
                <c:pt idx="16">
                  <c:v>318875.46485549002</c:v>
                </c:pt>
                <c:pt idx="17">
                  <c:v>315187.76797023823</c:v>
                </c:pt>
                <c:pt idx="18">
                  <c:v>311635.12751654955</c:v>
                </c:pt>
                <c:pt idx="19">
                  <c:v>308274.93077114411</c:v>
                </c:pt>
                <c:pt idx="20">
                  <c:v>305101.87130952504</c:v>
                </c:pt>
                <c:pt idx="21">
                  <c:v>300681.84814184002</c:v>
                </c:pt>
                <c:pt idx="22">
                  <c:v>294872.85293894284</c:v>
                </c:pt>
                <c:pt idx="23">
                  <c:v>289006.03051939904</c:v>
                </c:pt>
                <c:pt idx="24">
                  <c:v>283172.67344640312</c:v>
                </c:pt>
                <c:pt idx="25">
                  <c:v>277457.05805056158</c:v>
                </c:pt>
                <c:pt idx="26">
                  <c:v>271856.80780968216</c:v>
                </c:pt>
                <c:pt idx="27">
                  <c:v>266369.59416978463</c:v>
                </c:pt>
                <c:pt idx="28">
                  <c:v>260942.00055817462</c:v>
                </c:pt>
                <c:pt idx="29">
                  <c:v>255524.8732453727</c:v>
                </c:pt>
                <c:pt idx="30">
                  <c:v>251253.56267981586</c:v>
                </c:pt>
                <c:pt idx="31">
                  <c:v>249457.46890370914</c:v>
                </c:pt>
                <c:pt idx="32">
                  <c:v>248414.12955955899</c:v>
                </c:pt>
                <c:pt idx="33">
                  <c:v>246883.45215619061</c:v>
                </c:pt>
                <c:pt idx="34">
                  <c:v>245386.59393319811</c:v>
                </c:pt>
                <c:pt idx="35">
                  <c:v>242957.02369623576</c:v>
                </c:pt>
                <c:pt idx="36">
                  <c:v>239295.79798703411</c:v>
                </c:pt>
                <c:pt idx="37">
                  <c:v>236154.93732066918</c:v>
                </c:pt>
                <c:pt idx="38">
                  <c:v>233446.95266970064</c:v>
                </c:pt>
                <c:pt idx="39">
                  <c:v>230269.23719639043</c:v>
                </c:pt>
                <c:pt idx="40">
                  <c:v>227448.87119358993</c:v>
                </c:pt>
                <c:pt idx="41">
                  <c:v>225397.75165354268</c:v>
                </c:pt>
                <c:pt idx="42">
                  <c:v>224097.98335011202</c:v>
                </c:pt>
                <c:pt idx="43">
                  <c:v>223449.97841271517</c:v>
                </c:pt>
                <c:pt idx="44">
                  <c:v>223405.29735324453</c:v>
                </c:pt>
                <c:pt idx="45">
                  <c:v>224731.21150110103</c:v>
                </c:pt>
                <c:pt idx="46">
                  <c:v>227070.0328393463</c:v>
                </c:pt>
                <c:pt idx="47">
                  <c:v>229201.60779181012</c:v>
                </c:pt>
                <c:pt idx="48">
                  <c:v>231119.9029865989</c:v>
                </c:pt>
                <c:pt idx="49">
                  <c:v>232842.94074813509</c:v>
                </c:pt>
                <c:pt idx="50">
                  <c:v>234342.73424731792</c:v>
                </c:pt>
                <c:pt idx="51">
                  <c:v>235591.36850036986</c:v>
                </c:pt>
                <c:pt idx="52">
                  <c:v>236561.26970616513</c:v>
                </c:pt>
                <c:pt idx="53">
                  <c:v>233318.14745651951</c:v>
                </c:pt>
                <c:pt idx="54">
                  <c:v>225995.88091487749</c:v>
                </c:pt>
                <c:pt idx="55">
                  <c:v>218649.26559101924</c:v>
                </c:pt>
                <c:pt idx="56">
                  <c:v>211439.18923800331</c:v>
                </c:pt>
                <c:pt idx="57">
                  <c:v>204447.09847031842</c:v>
                </c:pt>
                <c:pt idx="58">
                  <c:v>197667.11637853467</c:v>
                </c:pt>
                <c:pt idx="59">
                  <c:v>191130.45482356864</c:v>
                </c:pt>
                <c:pt idx="60">
                  <c:v>184702.79747155841</c:v>
                </c:pt>
                <c:pt idx="61">
                  <c:v>177667.17725236475</c:v>
                </c:pt>
                <c:pt idx="62">
                  <c:v>169983.90475733331</c:v>
                </c:pt>
                <c:pt idx="63">
                  <c:v>163446.06226666665</c:v>
                </c:pt>
                <c:pt idx="64">
                  <c:v>158209.33333333331</c:v>
                </c:pt>
                <c:pt idx="65">
                  <c:v>154000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2-4625-AD22-AEED0615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645248"/>
        <c:axId val="1942383481"/>
      </c:lineChart>
      <c:catAx>
        <c:axId val="141664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2383481"/>
        <c:crosses val="autoZero"/>
        <c:auto val="1"/>
        <c:lblAlgn val="ctr"/>
        <c:lblOffset val="100"/>
        <c:noMultiLvlLbl val="1"/>
      </c:catAx>
      <c:valAx>
        <c:axId val="1942383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66452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Arbiya!$D$1:$D$67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-4.0000000000000002E-4</c:v>
                </c:pt>
                <c:pt idx="2">
                  <c:v>8.9999999999999998E-4</c:v>
                </c:pt>
                <c:pt idx="3">
                  <c:v>1E-4</c:v>
                </c:pt>
                <c:pt idx="4">
                  <c:v>2.3E-3</c:v>
                </c:pt>
                <c:pt idx="5">
                  <c:v>4.4999999999999997E-3</c:v>
                </c:pt>
                <c:pt idx="6">
                  <c:v>3.7000000000000002E-3</c:v>
                </c:pt>
                <c:pt idx="7">
                  <c:v>4.3E-3</c:v>
                </c:pt>
                <c:pt idx="8">
                  <c:v>6.4999999999999997E-3</c:v>
                </c:pt>
                <c:pt idx="9">
                  <c:v>6.8999999999999999E-3</c:v>
                </c:pt>
                <c:pt idx="10">
                  <c:v>5.4999999999999997E-3</c:v>
                </c:pt>
                <c:pt idx="11">
                  <c:v>4.0000000000000001E-3</c:v>
                </c:pt>
                <c:pt idx="12">
                  <c:v>6.7000000000000002E-3</c:v>
                </c:pt>
                <c:pt idx="13">
                  <c:v>5.1000000000000004E-3</c:v>
                </c:pt>
                <c:pt idx="14">
                  <c:v>4.4000000000000003E-3</c:v>
                </c:pt>
                <c:pt idx="15">
                  <c:v>1.1000000000000001E-3</c:v>
                </c:pt>
                <c:pt idx="16">
                  <c:v>2.2000000000000001E-3</c:v>
                </c:pt>
                <c:pt idx="17">
                  <c:v>4.0000000000000002E-4</c:v>
                </c:pt>
                <c:pt idx="18">
                  <c:v>1.6000000000000001E-3</c:v>
                </c:pt>
                <c:pt idx="19">
                  <c:v>1.1999999999999999E-3</c:v>
                </c:pt>
                <c:pt idx="20">
                  <c:v>1E-3</c:v>
                </c:pt>
                <c:pt idx="21">
                  <c:v>4.0000000000000002E-4</c:v>
                </c:pt>
                <c:pt idx="22">
                  <c:v>1.2999999999999999E-3</c:v>
                </c:pt>
                <c:pt idx="23">
                  <c:v>2.0999999999999999E-3</c:v>
                </c:pt>
                <c:pt idx="24">
                  <c:v>1.6000000000000001E-3</c:v>
                </c:pt>
                <c:pt idx="25">
                  <c:v>4.0000000000000001E-3</c:v>
                </c:pt>
                <c:pt idx="26">
                  <c:v>2.2000000000000001E-3</c:v>
                </c:pt>
                <c:pt idx="27">
                  <c:v>4.8999999999999998E-3</c:v>
                </c:pt>
                <c:pt idx="28">
                  <c:v>6.6E-3</c:v>
                </c:pt>
                <c:pt idx="29">
                  <c:v>4.1999999999999997E-3</c:v>
                </c:pt>
                <c:pt idx="30">
                  <c:v>2.7000000000000001E-3</c:v>
                </c:pt>
                <c:pt idx="31">
                  <c:v>1E-3</c:v>
                </c:pt>
                <c:pt idx="32">
                  <c:v>-8.9999999999999998E-4</c:v>
                </c:pt>
                <c:pt idx="33">
                  <c:v>-4.0000000000000002E-4</c:v>
                </c:pt>
                <c:pt idx="34">
                  <c:v>-3.3E-3</c:v>
                </c:pt>
                <c:pt idx="35">
                  <c:v>-8.0000000000000004E-4</c:v>
                </c:pt>
                <c:pt idx="36">
                  <c:v>2E-3</c:v>
                </c:pt>
                <c:pt idx="37">
                  <c:v>2.0999999999999999E-3</c:v>
                </c:pt>
                <c:pt idx="38">
                  <c:v>1.2999999999999999E-3</c:v>
                </c:pt>
                <c:pt idx="39">
                  <c:v>5.0000000000000001E-4</c:v>
                </c:pt>
                <c:pt idx="40">
                  <c:v>1.4E-3</c:v>
                </c:pt>
                <c:pt idx="41">
                  <c:v>3.7000000000000002E-3</c:v>
                </c:pt>
                <c:pt idx="42">
                  <c:v>4.4999999999999997E-3</c:v>
                </c:pt>
                <c:pt idx="43">
                  <c:v>6.4000000000000003E-3</c:v>
                </c:pt>
                <c:pt idx="44">
                  <c:v>5.4000000000000003E-3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4.0000000000000001E-3</c:v>
                </c:pt>
                <c:pt idx="49">
                  <c:v>4.0000000000000001E-3</c:v>
                </c:pt>
                <c:pt idx="50">
                  <c:v>4.0000000000000001E-3</c:v>
                </c:pt>
                <c:pt idx="51">
                  <c:v>4.0000000000000001E-3</c:v>
                </c:pt>
                <c:pt idx="52">
                  <c:v>4.0000000000000001E-3</c:v>
                </c:pt>
                <c:pt idx="53">
                  <c:v>3.5000000000000001E-3</c:v>
                </c:pt>
                <c:pt idx="54">
                  <c:v>3.0000000000000001E-3</c:v>
                </c:pt>
                <c:pt idx="55">
                  <c:v>2E-3</c:v>
                </c:pt>
                <c:pt idx="56">
                  <c:v>1E-3</c:v>
                </c:pt>
                <c:pt idx="57">
                  <c:v>1E-3</c:v>
                </c:pt>
                <c:pt idx="58">
                  <c:v>1.5E-3</c:v>
                </c:pt>
                <c:pt idx="59">
                  <c:v>1.8E-3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1.5E-3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22-4807-A1AA-9714560F3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153321"/>
        <c:axId val="2108945959"/>
      </c:lineChart>
      <c:catAx>
        <c:axId val="1366153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945959"/>
        <c:crosses val="autoZero"/>
        <c:auto val="1"/>
        <c:lblAlgn val="ctr"/>
        <c:lblOffset val="100"/>
        <c:noMultiLvlLbl val="1"/>
      </c:catAx>
      <c:valAx>
        <c:axId val="2108945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61533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Arbiya!$C$1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Arbiya!$C$2:$C$67</c:f>
              <c:numCache>
                <c:formatCode>#,##0</c:formatCode>
                <c:ptCount val="66"/>
                <c:pt idx="0">
                  <c:v>6585897.2473049136</c:v>
                </c:pt>
                <c:pt idx="1">
                  <c:v>6588532.6603690609</c:v>
                </c:pt>
                <c:pt idx="2">
                  <c:v>6582608.3128874628</c:v>
                </c:pt>
                <c:pt idx="3">
                  <c:v>6581950.1178756757</c:v>
                </c:pt>
                <c:pt idx="4">
                  <c:v>6566846.3712218655</c:v>
                </c:pt>
                <c:pt idx="5">
                  <c:v>6537427.9454672635</c:v>
                </c:pt>
                <c:pt idx="6">
                  <c:v>6513328.6295379726</c:v>
                </c:pt>
                <c:pt idx="7">
                  <c:v>6485441.2322393432</c:v>
                </c:pt>
                <c:pt idx="8">
                  <c:v>6443558.1045597056</c:v>
                </c:pt>
                <c:pt idx="9">
                  <c:v>6399402.2291783756</c:v>
                </c:pt>
                <c:pt idx="10">
                  <c:v>6364398.0399586027</c:v>
                </c:pt>
                <c:pt idx="11">
                  <c:v>6339041.8724687276</c:v>
                </c:pt>
                <c:pt idx="12">
                  <c:v>6296852.9576524571</c:v>
                </c:pt>
                <c:pt idx="13">
                  <c:v>6264901.9576683482</c:v>
                </c:pt>
                <c:pt idx="14">
                  <c:v>6237457.1462249588</c:v>
                </c:pt>
                <c:pt idx="15">
                  <c:v>6230603.4823943246</c:v>
                </c:pt>
                <c:pt idx="16">
                  <c:v>6216926.2446560813</c:v>
                </c:pt>
                <c:pt idx="17">
                  <c:v>6214440.468468694</c:v>
                </c:pt>
                <c:pt idx="18">
                  <c:v>6204513.2472730568</c:v>
                </c:pt>
                <c:pt idx="19">
                  <c:v>6197076.7551668556</c:v>
                </c:pt>
                <c:pt idx="20">
                  <c:v>6190885.8692975584</c:v>
                </c:pt>
                <c:pt idx="21">
                  <c:v>6188410.5050955201</c:v>
                </c:pt>
                <c:pt idx="22">
                  <c:v>6180376.0162743628</c:v>
                </c:pt>
                <c:pt idx="23">
                  <c:v>6167424.4249819005</c:v>
                </c:pt>
                <c:pt idx="24">
                  <c:v>6157572.3092870405</c:v>
                </c:pt>
                <c:pt idx="25">
                  <c:v>6133040.1486922717</c:v>
                </c:pt>
                <c:pt idx="26">
                  <c:v>6119577.0791182118</c:v>
                </c:pt>
                <c:pt idx="27">
                  <c:v>6089737.3660246916</c:v>
                </c:pt>
                <c:pt idx="28">
                  <c:v>6049808.6290728115</c:v>
                </c:pt>
                <c:pt idx="29">
                  <c:v>6024505.7051113443</c:v>
                </c:pt>
                <c:pt idx="30">
                  <c:v>6008283.340093093</c:v>
                </c:pt>
                <c:pt idx="31">
                  <c:v>6002281.0590340598</c:v>
                </c:pt>
                <c:pt idx="32">
                  <c:v>6007687.978214453</c:v>
                </c:pt>
                <c:pt idx="33">
                  <c:v>6010092.0150204608</c:v>
                </c:pt>
                <c:pt idx="34">
                  <c:v>6029990.9852718581</c:v>
                </c:pt>
                <c:pt idx="35">
                  <c:v>6034818.8403441338</c:v>
                </c:pt>
                <c:pt idx="36">
                  <c:v>6022773.293756621</c:v>
                </c:pt>
                <c:pt idx="37">
                  <c:v>6010151.9746099403</c:v>
                </c:pt>
                <c:pt idx="38">
                  <c:v>6002348.9210126232</c:v>
                </c:pt>
                <c:pt idx="39">
                  <c:v>5999349.2463894291</c:v>
                </c:pt>
                <c:pt idx="40">
                  <c:v>5990961.8997298069</c:v>
                </c:pt>
                <c:pt idx="41">
                  <c:v>5968877.0546276839</c:v>
                </c:pt>
                <c:pt idx="42">
                  <c:v>5942137.4361649416</c:v>
                </c:pt>
                <c:pt idx="43">
                  <c:v>5904349.5987330507</c:v>
                </c:pt>
                <c:pt idx="44">
                  <c:v>5872637.3570052218</c:v>
                </c:pt>
                <c:pt idx="45">
                  <c:v>5855072.1405834723</c:v>
                </c:pt>
                <c:pt idx="46">
                  <c:v>5837559.4621968819</c:v>
                </c:pt>
                <c:pt idx="47">
                  <c:v>5820099.164702774</c:v>
                </c:pt>
                <c:pt idx="48">
                  <c:v>5796911.5186282611</c:v>
                </c:pt>
                <c:pt idx="49">
                  <c:v>5773816.2536138054</c:v>
                </c:pt>
                <c:pt idx="50">
                  <c:v>5750813.0016073762</c:v>
                </c:pt>
                <c:pt idx="51">
                  <c:v>5727901.3960232828</c:v>
                </c:pt>
                <c:pt idx="52">
                  <c:v>5705081.0717363376</c:v>
                </c:pt>
                <c:pt idx="53">
                  <c:v>5685182.9314761711</c:v>
                </c:pt>
                <c:pt idx="54">
                  <c:v>5668178.3962873099</c:v>
                </c:pt>
                <c:pt idx="55">
                  <c:v>5656864.6669534035</c:v>
                </c:pt>
                <c:pt idx="56">
                  <c:v>5651213.4534999039</c:v>
                </c:pt>
                <c:pt idx="57">
                  <c:v>5645567.8856142899</c:v>
                </c:pt>
                <c:pt idx="58">
                  <c:v>5637112.2172883572</c:v>
                </c:pt>
                <c:pt idx="59">
                  <c:v>5626983.646724253</c:v>
                </c:pt>
                <c:pt idx="60">
                  <c:v>5615752.1424393738</c:v>
                </c:pt>
                <c:pt idx="61">
                  <c:v>5604543.0563267199</c:v>
                </c:pt>
                <c:pt idx="62">
                  <c:v>5593356.3436394408</c:v>
                </c:pt>
                <c:pt idx="63">
                  <c:v>5582191.9597200006</c:v>
                </c:pt>
                <c:pt idx="64">
                  <c:v>5571049.8600000003</c:v>
                </c:pt>
                <c:pt idx="65" formatCode="#,###">
                  <c:v>5559930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6-45DC-B11D-DF157893C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886179"/>
        <c:axId val="1794507986"/>
      </c:lineChart>
      <c:catAx>
        <c:axId val="1942886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4507986"/>
        <c:crosses val="autoZero"/>
        <c:auto val="1"/>
        <c:lblAlgn val="ctr"/>
        <c:lblOffset val="100"/>
        <c:noMultiLvlLbl val="1"/>
      </c:catAx>
      <c:valAx>
        <c:axId val="1794507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28861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'Areoix Lie'!$D$1:$D$67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2.5999999999999999E-3</c:v>
                </c:pt>
                <c:pt idx="2">
                  <c:v>2.8000000000000004E-3</c:v>
                </c:pt>
                <c:pt idx="3">
                  <c:v>1.5999999999999999E-3</c:v>
                </c:pt>
                <c:pt idx="4">
                  <c:v>7.000000000000001E-4</c:v>
                </c:pt>
                <c:pt idx="5">
                  <c:v>2.2000000000000006E-3</c:v>
                </c:pt>
                <c:pt idx="6">
                  <c:v>3.4999999999999996E-3</c:v>
                </c:pt>
                <c:pt idx="7">
                  <c:v>3.4999999999999996E-3</c:v>
                </c:pt>
                <c:pt idx="8">
                  <c:v>9.5000000000000015E-3</c:v>
                </c:pt>
                <c:pt idx="9">
                  <c:v>5.4000000000000012E-3</c:v>
                </c:pt>
                <c:pt idx="10">
                  <c:v>6.899999999999999E-3</c:v>
                </c:pt>
                <c:pt idx="11">
                  <c:v>6.899999999999999E-3</c:v>
                </c:pt>
                <c:pt idx="12">
                  <c:v>7.2000000000000007E-3</c:v>
                </c:pt>
                <c:pt idx="13">
                  <c:v>7.5999999999999983E-3</c:v>
                </c:pt>
                <c:pt idx="14">
                  <c:v>8.0000000000000002E-3</c:v>
                </c:pt>
                <c:pt idx="15">
                  <c:v>8.5000000000000006E-3</c:v>
                </c:pt>
                <c:pt idx="16">
                  <c:v>8.9000000000000017E-3</c:v>
                </c:pt>
                <c:pt idx="17">
                  <c:v>9.1000000000000004E-3</c:v>
                </c:pt>
                <c:pt idx="18">
                  <c:v>9.0000000000000011E-3</c:v>
                </c:pt>
                <c:pt idx="19">
                  <c:v>8.6999999999999994E-3</c:v>
                </c:pt>
                <c:pt idx="20">
                  <c:v>8.3000000000000018E-3</c:v>
                </c:pt>
                <c:pt idx="21">
                  <c:v>7.9000000000000008E-3</c:v>
                </c:pt>
                <c:pt idx="22">
                  <c:v>7.7000000000000011E-3</c:v>
                </c:pt>
                <c:pt idx="23">
                  <c:v>7.8000000000000005E-3</c:v>
                </c:pt>
                <c:pt idx="24">
                  <c:v>8.0999999999999996E-3</c:v>
                </c:pt>
                <c:pt idx="25">
                  <c:v>8.5000000000000006E-3</c:v>
                </c:pt>
                <c:pt idx="26">
                  <c:v>8.9000000000000017E-3</c:v>
                </c:pt>
                <c:pt idx="27">
                  <c:v>9.2999999999999992E-3</c:v>
                </c:pt>
                <c:pt idx="28">
                  <c:v>9.7000000000000003E-3</c:v>
                </c:pt>
                <c:pt idx="29">
                  <c:v>1.0200000000000001E-2</c:v>
                </c:pt>
                <c:pt idx="30">
                  <c:v>1.0700000000000001E-2</c:v>
                </c:pt>
                <c:pt idx="31">
                  <c:v>1.1300000000000001E-2</c:v>
                </c:pt>
                <c:pt idx="32">
                  <c:v>1.1800000000000001E-2</c:v>
                </c:pt>
                <c:pt idx="33">
                  <c:v>1.2300000000000002E-2</c:v>
                </c:pt>
                <c:pt idx="34">
                  <c:v>1.2700000000000003E-2</c:v>
                </c:pt>
                <c:pt idx="35">
                  <c:v>1.3100000000000001E-2</c:v>
                </c:pt>
                <c:pt idx="36">
                  <c:v>1.3600000000000001E-2</c:v>
                </c:pt>
                <c:pt idx="37">
                  <c:v>1.4100000000000001E-2</c:v>
                </c:pt>
                <c:pt idx="38">
                  <c:v>1.4600000000000002E-2</c:v>
                </c:pt>
                <c:pt idx="39">
                  <c:v>1.5300000000000001E-2</c:v>
                </c:pt>
                <c:pt idx="40">
                  <c:v>1.5900000000000001E-2</c:v>
                </c:pt>
                <c:pt idx="41">
                  <c:v>1.66E-2</c:v>
                </c:pt>
                <c:pt idx="42">
                  <c:v>1.72E-2</c:v>
                </c:pt>
                <c:pt idx="43">
                  <c:v>1.7800000000000003E-2</c:v>
                </c:pt>
                <c:pt idx="44">
                  <c:v>1.83E-2</c:v>
                </c:pt>
                <c:pt idx="45">
                  <c:v>1.8800000000000001E-2</c:v>
                </c:pt>
                <c:pt idx="46">
                  <c:v>1.9300000000000001E-2</c:v>
                </c:pt>
                <c:pt idx="47">
                  <c:v>1.9800000000000002E-2</c:v>
                </c:pt>
                <c:pt idx="48">
                  <c:v>2.06E-2</c:v>
                </c:pt>
                <c:pt idx="49">
                  <c:v>2.1400000000000002E-2</c:v>
                </c:pt>
                <c:pt idx="50">
                  <c:v>2.23E-2</c:v>
                </c:pt>
                <c:pt idx="51">
                  <c:v>2.3200000000000002E-2</c:v>
                </c:pt>
                <c:pt idx="52">
                  <c:v>2.3900000000000001E-2</c:v>
                </c:pt>
                <c:pt idx="53">
                  <c:v>2.4400000000000002E-2</c:v>
                </c:pt>
                <c:pt idx="54">
                  <c:v>2.4700000000000003E-2</c:v>
                </c:pt>
                <c:pt idx="55">
                  <c:v>2.5000000000000001E-2</c:v>
                </c:pt>
                <c:pt idx="56">
                  <c:v>2.52E-2</c:v>
                </c:pt>
                <c:pt idx="57">
                  <c:v>2.5399999999999999E-2</c:v>
                </c:pt>
                <c:pt idx="58">
                  <c:v>2.5600000000000005E-2</c:v>
                </c:pt>
                <c:pt idx="59">
                  <c:v>2.5600000000000005E-2</c:v>
                </c:pt>
                <c:pt idx="60">
                  <c:v>2.5600000000000005E-2</c:v>
                </c:pt>
                <c:pt idx="61">
                  <c:v>2.5600000000000005E-2</c:v>
                </c:pt>
                <c:pt idx="62">
                  <c:v>2.5600000000000005E-2</c:v>
                </c:pt>
                <c:pt idx="63">
                  <c:v>2.5500000000000002E-2</c:v>
                </c:pt>
                <c:pt idx="64">
                  <c:v>2.5500000000000002E-2</c:v>
                </c:pt>
                <c:pt idx="65">
                  <c:v>2.5600000000000005E-2</c:v>
                </c:pt>
                <c:pt idx="66">
                  <c:v>2.5600000000000005E-2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7E-4056-BEEE-F3CDCE327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874611"/>
        <c:axId val="1434840446"/>
      </c:lineChart>
      <c:catAx>
        <c:axId val="1989874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4840446"/>
        <c:crosses val="autoZero"/>
        <c:auto val="1"/>
        <c:lblAlgn val="ctr"/>
        <c:lblOffset val="100"/>
        <c:noMultiLvlLbl val="1"/>
      </c:catAx>
      <c:valAx>
        <c:axId val="1434840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98746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'Areoix Lie'!$C$1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'Areoix Lie'!$C$2:$C$67</c:f>
              <c:numCache>
                <c:formatCode>#,##0</c:formatCode>
                <c:ptCount val="66"/>
                <c:pt idx="0">
                  <c:v>579077699.51143062</c:v>
                </c:pt>
                <c:pt idx="1">
                  <c:v>577576001.90647388</c:v>
                </c:pt>
                <c:pt idx="2">
                  <c:v>575963304.65344429</c:v>
                </c:pt>
                <c:pt idx="3">
                  <c:v>575043235.47668159</c:v>
                </c:pt>
                <c:pt idx="4">
                  <c:v>574640986.78593147</c:v>
                </c:pt>
                <c:pt idx="5">
                  <c:v>573379551.77203298</c:v>
                </c:pt>
                <c:pt idx="6">
                  <c:v>571379722.74243438</c:v>
                </c:pt>
                <c:pt idx="7">
                  <c:v>569386868.70197737</c:v>
                </c:pt>
                <c:pt idx="8">
                  <c:v>564028597.03019047</c:v>
                </c:pt>
                <c:pt idx="9">
                  <c:v>560999201.34293854</c:v>
                </c:pt>
                <c:pt idx="10">
                  <c:v>557154832.99527121</c:v>
                </c:pt>
                <c:pt idx="11">
                  <c:v>553336809.01308095</c:v>
                </c:pt>
                <c:pt idx="12">
                  <c:v>549381263.91290796</c:v>
                </c:pt>
                <c:pt idx="13">
                  <c:v>545237459.22281456</c:v>
                </c:pt>
                <c:pt idx="14">
                  <c:v>540910177.80041122</c:v>
                </c:pt>
                <c:pt idx="15">
                  <c:v>536351192.66277766</c:v>
                </c:pt>
                <c:pt idx="16">
                  <c:v>531619776.6505875</c:v>
                </c:pt>
                <c:pt idx="17">
                  <c:v>526825663.11622977</c:v>
                </c:pt>
                <c:pt idx="18">
                  <c:v>522126524.39665991</c:v>
                </c:pt>
                <c:pt idx="19">
                  <c:v>517623202.53460884</c:v>
                </c:pt>
                <c:pt idx="20">
                  <c:v>513362295.48210734</c:v>
                </c:pt>
                <c:pt idx="21">
                  <c:v>509338521.16490459</c:v>
                </c:pt>
                <c:pt idx="22">
                  <c:v>505446582.47981006</c:v>
                </c:pt>
                <c:pt idx="23">
                  <c:v>501534612.50229216</c:v>
                </c:pt>
                <c:pt idx="24">
                  <c:v>497504823.43248898</c:v>
                </c:pt>
                <c:pt idx="25">
                  <c:v>493311674.20177394</c:v>
                </c:pt>
                <c:pt idx="26">
                  <c:v>488959930.81749827</c:v>
                </c:pt>
                <c:pt idx="27">
                  <c:v>484454503.93094045</c:v>
                </c:pt>
                <c:pt idx="28">
                  <c:v>479800439.66617852</c:v>
                </c:pt>
                <c:pt idx="29">
                  <c:v>474955889.59233671</c:v>
                </c:pt>
                <c:pt idx="30">
                  <c:v>469927663.59190339</c:v>
                </c:pt>
                <c:pt idx="31">
                  <c:v>464676815.57589573</c:v>
                </c:pt>
                <c:pt idx="32">
                  <c:v>459257576.17700702</c:v>
                </c:pt>
                <c:pt idx="33">
                  <c:v>453677344.83552998</c:v>
                </c:pt>
                <c:pt idx="34">
                  <c:v>447987898.52427179</c:v>
                </c:pt>
                <c:pt idx="35">
                  <c:v>442195142.16195017</c:v>
                </c:pt>
                <c:pt idx="36">
                  <c:v>436261979.24422866</c:v>
                </c:pt>
                <c:pt idx="37">
                  <c:v>430196212.64592117</c:v>
                </c:pt>
                <c:pt idx="38">
                  <c:v>424005729.00248492</c:v>
                </c:pt>
                <c:pt idx="39">
                  <c:v>417616201.12526828</c:v>
                </c:pt>
                <c:pt idx="40">
                  <c:v>411080028.66942441</c:v>
                </c:pt>
                <c:pt idx="41">
                  <c:v>404367527.70944762</c:v>
                </c:pt>
                <c:pt idx="42">
                  <c:v>397530011.51145065</c:v>
                </c:pt>
                <c:pt idx="43">
                  <c:v>390577727.95387173</c:v>
                </c:pt>
                <c:pt idx="44">
                  <c:v>383558605.47370297</c:v>
                </c:pt>
                <c:pt idx="45">
                  <c:v>376480767.05310464</c:v>
                </c:pt>
                <c:pt idx="46">
                  <c:v>369352268.27538961</c:v>
                </c:pt>
                <c:pt idx="47">
                  <c:v>362181082.83525163</c:v>
                </c:pt>
                <c:pt idx="48">
                  <c:v>354870745.47839665</c:v>
                </c:pt>
                <c:pt idx="49">
                  <c:v>347435623.14313358</c:v>
                </c:pt>
                <c:pt idx="50">
                  <c:v>339856816.14314151</c:v>
                </c:pt>
                <c:pt idx="51">
                  <c:v>332150914.91706556</c:v>
                </c:pt>
                <c:pt idx="52">
                  <c:v>324397807.3220681</c:v>
                </c:pt>
                <c:pt idx="53">
                  <c:v>316671034.09026563</c:v>
                </c:pt>
                <c:pt idx="54">
                  <c:v>309037800.41989428</c:v>
                </c:pt>
                <c:pt idx="55">
                  <c:v>301500293.09257978</c:v>
                </c:pt>
                <c:pt idx="56">
                  <c:v>294089244.14024562</c:v>
                </c:pt>
                <c:pt idx="57">
                  <c:v>286804412.07357675</c:v>
                </c:pt>
                <c:pt idx="58">
                  <c:v>279645487.59124094</c:v>
                </c:pt>
                <c:pt idx="59">
                  <c:v>272665257.01174039</c:v>
                </c:pt>
                <c:pt idx="60">
                  <c:v>265859259.9568451</c:v>
                </c:pt>
                <c:pt idx="61">
                  <c:v>259223147.38381931</c:v>
                </c:pt>
                <c:pt idx="62">
                  <c:v>252752678.80637607</c:v>
                </c:pt>
                <c:pt idx="63">
                  <c:v>246467751.15200004</c:v>
                </c:pt>
                <c:pt idx="64">
                  <c:v>240339104.00000003</c:v>
                </c:pt>
                <c:pt idx="65">
                  <c:v>234340000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8-45AB-9321-7AA9C2B14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299153"/>
        <c:axId val="773360096"/>
      </c:lineChart>
      <c:catAx>
        <c:axId val="981299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3360096"/>
        <c:crosses val="autoZero"/>
        <c:auto val="1"/>
        <c:lblAlgn val="ctr"/>
        <c:lblOffset val="100"/>
        <c:noMultiLvlLbl val="1"/>
      </c:catAx>
      <c:valAx>
        <c:axId val="773360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12991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Ashain!$D$1:$D$67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3.0999999999999999E-3</c:v>
                </c:pt>
                <c:pt idx="2">
                  <c:v>3.5999999999999999E-3</c:v>
                </c:pt>
                <c:pt idx="3">
                  <c:v>4.1000000000000003E-3</c:v>
                </c:pt>
                <c:pt idx="4">
                  <c:v>4.3E-3</c:v>
                </c:pt>
                <c:pt idx="5">
                  <c:v>4.3E-3</c:v>
                </c:pt>
                <c:pt idx="6">
                  <c:v>4.1999999999999997E-3</c:v>
                </c:pt>
                <c:pt idx="7">
                  <c:v>4.1999999999999997E-3</c:v>
                </c:pt>
                <c:pt idx="8">
                  <c:v>4.4000000000000003E-3</c:v>
                </c:pt>
                <c:pt idx="9">
                  <c:v>4.7000000000000002E-3</c:v>
                </c:pt>
                <c:pt idx="10">
                  <c:v>5.1999999999999998E-3</c:v>
                </c:pt>
                <c:pt idx="11">
                  <c:v>5.4999999999999997E-3</c:v>
                </c:pt>
                <c:pt idx="12">
                  <c:v>5.8999999999999999E-3</c:v>
                </c:pt>
                <c:pt idx="13">
                  <c:v>6.1000000000000004E-3</c:v>
                </c:pt>
                <c:pt idx="14">
                  <c:v>6.1000000000000004E-3</c:v>
                </c:pt>
                <c:pt idx="15">
                  <c:v>6.3E-3</c:v>
                </c:pt>
                <c:pt idx="16">
                  <c:v>6.8999999999999999E-3</c:v>
                </c:pt>
                <c:pt idx="17">
                  <c:v>7.7999999999999996E-3</c:v>
                </c:pt>
                <c:pt idx="18">
                  <c:v>8.6E-3</c:v>
                </c:pt>
                <c:pt idx="19">
                  <c:v>9.1999999999999998E-3</c:v>
                </c:pt>
                <c:pt idx="20">
                  <c:v>9.7000000000000003E-3</c:v>
                </c:pt>
                <c:pt idx="21">
                  <c:v>0.01</c:v>
                </c:pt>
                <c:pt idx="22">
                  <c:v>1.03E-2</c:v>
                </c:pt>
                <c:pt idx="23">
                  <c:v>1.03E-2</c:v>
                </c:pt>
                <c:pt idx="24">
                  <c:v>9.9000000000000008E-3</c:v>
                </c:pt>
                <c:pt idx="25">
                  <c:v>8.8000000000000005E-3</c:v>
                </c:pt>
                <c:pt idx="26">
                  <c:v>7.6E-3</c:v>
                </c:pt>
                <c:pt idx="27">
                  <c:v>6.8999999999999999E-3</c:v>
                </c:pt>
                <c:pt idx="28">
                  <c:v>6.7999999999999996E-3</c:v>
                </c:pt>
                <c:pt idx="29">
                  <c:v>7.6E-3</c:v>
                </c:pt>
                <c:pt idx="30">
                  <c:v>9.2999999999999992E-3</c:v>
                </c:pt>
                <c:pt idx="31">
                  <c:v>1.15E-2</c:v>
                </c:pt>
                <c:pt idx="32">
                  <c:v>1.32E-2</c:v>
                </c:pt>
                <c:pt idx="33">
                  <c:v>1.3899999999999999E-2</c:v>
                </c:pt>
                <c:pt idx="34">
                  <c:v>1.37E-2</c:v>
                </c:pt>
                <c:pt idx="35">
                  <c:v>1.2999999999999999E-2</c:v>
                </c:pt>
                <c:pt idx="36">
                  <c:v>1.23E-2</c:v>
                </c:pt>
                <c:pt idx="37">
                  <c:v>1.17E-2</c:v>
                </c:pt>
                <c:pt idx="38">
                  <c:v>1.1599999999999999E-2</c:v>
                </c:pt>
                <c:pt idx="39">
                  <c:v>1.2200000000000001E-2</c:v>
                </c:pt>
                <c:pt idx="40">
                  <c:v>1.3100000000000001E-2</c:v>
                </c:pt>
                <c:pt idx="41">
                  <c:v>1.4E-2</c:v>
                </c:pt>
                <c:pt idx="42">
                  <c:v>1.4999999999999999E-2</c:v>
                </c:pt>
                <c:pt idx="43">
                  <c:v>1.52E-2</c:v>
                </c:pt>
                <c:pt idx="44">
                  <c:v>1.4500000000000001E-2</c:v>
                </c:pt>
                <c:pt idx="45">
                  <c:v>1.35E-2</c:v>
                </c:pt>
                <c:pt idx="46">
                  <c:v>1.24E-2</c:v>
                </c:pt>
                <c:pt idx="47">
                  <c:v>1.1599999999999999E-2</c:v>
                </c:pt>
                <c:pt idx="48">
                  <c:v>1.15E-2</c:v>
                </c:pt>
                <c:pt idx="49">
                  <c:v>1.1900000000000001E-2</c:v>
                </c:pt>
                <c:pt idx="50">
                  <c:v>1.2500000000000001E-2</c:v>
                </c:pt>
                <c:pt idx="51">
                  <c:v>1.34E-2</c:v>
                </c:pt>
                <c:pt idx="52">
                  <c:v>1.41E-2</c:v>
                </c:pt>
                <c:pt idx="53">
                  <c:v>1.41E-2</c:v>
                </c:pt>
                <c:pt idx="54">
                  <c:v>1.4E-2</c:v>
                </c:pt>
                <c:pt idx="55">
                  <c:v>1.4E-2</c:v>
                </c:pt>
                <c:pt idx="56">
                  <c:v>1.4E-2</c:v>
                </c:pt>
                <c:pt idx="57">
                  <c:v>1.2999999999999999E-2</c:v>
                </c:pt>
                <c:pt idx="58">
                  <c:v>1.2999999999999999E-2</c:v>
                </c:pt>
                <c:pt idx="59">
                  <c:v>1.4E-2</c:v>
                </c:pt>
                <c:pt idx="60">
                  <c:v>1.4999999999999999E-2</c:v>
                </c:pt>
                <c:pt idx="61">
                  <c:v>1.7000000000000001E-2</c:v>
                </c:pt>
                <c:pt idx="62">
                  <c:v>1.7999999999999999E-2</c:v>
                </c:pt>
                <c:pt idx="63">
                  <c:v>1.8499999999999999E-2</c:v>
                </c:pt>
                <c:pt idx="64">
                  <c:v>1.8499999999999999E-2</c:v>
                </c:pt>
                <c:pt idx="65">
                  <c:v>1.8499999999999999E-2</c:v>
                </c:pt>
                <c:pt idx="66">
                  <c:v>1.7999999999999999E-2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66-45F9-AE5A-9386671FA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99707"/>
        <c:axId val="1399831761"/>
      </c:lineChart>
      <c:catAx>
        <c:axId val="306099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9831761"/>
        <c:crosses val="autoZero"/>
        <c:auto val="1"/>
        <c:lblAlgn val="ctr"/>
        <c:lblOffset val="100"/>
        <c:noMultiLvlLbl val="1"/>
      </c:catAx>
      <c:valAx>
        <c:axId val="1399831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60997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Ashain!$C$1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Ashain!$C$2:$C$67</c:f>
              <c:numCache>
                <c:formatCode>#,##0</c:formatCode>
                <c:ptCount val="66"/>
                <c:pt idx="0">
                  <c:v>62285576.664969265</c:v>
                </c:pt>
                <c:pt idx="1">
                  <c:v>62093088.091884419</c:v>
                </c:pt>
                <c:pt idx="2">
                  <c:v>61870354.814552031</c:v>
                </c:pt>
                <c:pt idx="3">
                  <c:v>61617722.153721772</c:v>
                </c:pt>
                <c:pt idx="4">
                  <c:v>61353900.382078834</c:v>
                </c:pt>
                <c:pt idx="5">
                  <c:v>61091208.186875269</c:v>
                </c:pt>
                <c:pt idx="6">
                  <c:v>60835698.254207596</c:v>
                </c:pt>
                <c:pt idx="7">
                  <c:v>60581256.974912964</c:v>
                </c:pt>
                <c:pt idx="8">
                  <c:v>60315867.159411557</c:v>
                </c:pt>
                <c:pt idx="9">
                  <c:v>60033708.728388138</c:v>
                </c:pt>
                <c:pt idx="10">
                  <c:v>59723148.356932089</c:v>
                </c:pt>
                <c:pt idx="11">
                  <c:v>59396467.784119427</c:v>
                </c:pt>
                <c:pt idx="12">
                  <c:v>59048084.088000223</c:v>
                </c:pt>
                <c:pt idx="13">
                  <c:v>58690074.632740505</c:v>
                </c:pt>
                <c:pt idx="14">
                  <c:v>58334235.794394694</c:v>
                </c:pt>
                <c:pt idx="15">
                  <c:v>57969030.899726421</c:v>
                </c:pt>
                <c:pt idx="16">
                  <c:v>57571785.579229742</c:v>
                </c:pt>
                <c:pt idx="17">
                  <c:v>57126201.209793352</c:v>
                </c:pt>
                <c:pt idx="18">
                  <c:v>56639104.907588094</c:v>
                </c:pt>
                <c:pt idx="19">
                  <c:v>56122775.374145947</c:v>
                </c:pt>
                <c:pt idx="20">
                  <c:v>55583614.315287657</c:v>
                </c:pt>
                <c:pt idx="21">
                  <c:v>55033281.500284806</c:v>
                </c:pt>
                <c:pt idx="22">
                  <c:v>54472217.658403255</c:v>
                </c:pt>
                <c:pt idx="23">
                  <c:v>53916873.857669264</c:v>
                </c:pt>
                <c:pt idx="24">
                  <c:v>53388329.396642499</c:v>
                </c:pt>
                <c:pt idx="25">
                  <c:v>52922610.424903356</c:v>
                </c:pt>
                <c:pt idx="26">
                  <c:v>52523432.339125998</c:v>
                </c:pt>
                <c:pt idx="27">
                  <c:v>52163504.160419114</c:v>
                </c:pt>
                <c:pt idx="28">
                  <c:v>51811188.081465155</c:v>
                </c:pt>
                <c:pt idx="29">
                  <c:v>51420393.093951121</c:v>
                </c:pt>
                <c:pt idx="30">
                  <c:v>50946589.808729932</c:v>
                </c:pt>
                <c:pt idx="31">
                  <c:v>50367365.109965324</c:v>
                </c:pt>
                <c:pt idx="32">
                  <c:v>49711177.566092893</c:v>
                </c:pt>
                <c:pt idx="33">
                  <c:v>49029665.219541267</c:v>
                </c:pt>
                <c:pt idx="34">
                  <c:v>48367036.815173388</c:v>
                </c:pt>
                <c:pt idx="35">
                  <c:v>47746334.467101075</c:v>
                </c:pt>
                <c:pt idx="36">
                  <c:v>47166190.326090164</c:v>
                </c:pt>
                <c:pt idx="37">
                  <c:v>46620727.810704917</c:v>
                </c:pt>
                <c:pt idx="38">
                  <c:v>46086128.717580974</c:v>
                </c:pt>
                <c:pt idx="39">
                  <c:v>45530654.729876481</c:v>
                </c:pt>
                <c:pt idx="40">
                  <c:v>44941915.635057226</c:v>
                </c:pt>
                <c:pt idx="41">
                  <c:v>44321415.813665904</c:v>
                </c:pt>
                <c:pt idx="42">
                  <c:v>43666419.52085311</c:v>
                </c:pt>
                <c:pt idx="43">
                  <c:v>43012627.581612594</c:v>
                </c:pt>
                <c:pt idx="44">
                  <c:v>42397858.631456479</c:v>
                </c:pt>
                <c:pt idx="45">
                  <c:v>41833111.624525383</c:v>
                </c:pt>
                <c:pt idx="46">
                  <c:v>41320734.51652053</c:v>
                </c:pt>
                <c:pt idx="47">
                  <c:v>40846910.356386445</c:v>
                </c:pt>
                <c:pt idx="48">
                  <c:v>40382511.474430494</c:v>
                </c:pt>
                <c:pt idx="49">
                  <c:v>39907610.904664978</c:v>
                </c:pt>
                <c:pt idx="50">
                  <c:v>39414924.350286402</c:v>
                </c:pt>
                <c:pt idx="51">
                  <c:v>38893748.12540596</c:v>
                </c:pt>
                <c:pt idx="52">
                  <c:v>38352971.231048182</c:v>
                </c:pt>
                <c:pt idx="53">
                  <c:v>37819713.273886383</c:v>
                </c:pt>
                <c:pt idx="54">
                  <c:v>37297547.60738302</c:v>
                </c:pt>
                <c:pt idx="55">
                  <c:v>36782591.3287801</c:v>
                </c:pt>
                <c:pt idx="56">
                  <c:v>36274744.900177613</c:v>
                </c:pt>
                <c:pt idx="57">
                  <c:v>35809224.975496165</c:v>
                </c:pt>
                <c:pt idx="58">
                  <c:v>35349679.146590494</c:v>
                </c:pt>
                <c:pt idx="59">
                  <c:v>34861616.515375242</c:v>
                </c:pt>
                <c:pt idx="60">
                  <c:v>34346420.212192357</c:v>
                </c:pt>
                <c:pt idx="61">
                  <c:v>33772291.26075945</c:v>
                </c:pt>
                <c:pt idx="62">
                  <c:v>33175138.763024997</c:v>
                </c:pt>
                <c:pt idx="63">
                  <c:v>32572546.649999999</c:v>
                </c:pt>
                <c:pt idx="64">
                  <c:v>31980900</c:v>
                </c:pt>
                <c:pt idx="65">
                  <c:v>31400000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7-4331-8892-F470C7F41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976384"/>
        <c:axId val="2055561614"/>
      </c:lineChart>
      <c:catAx>
        <c:axId val="17799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5561614"/>
        <c:crosses val="autoZero"/>
        <c:auto val="1"/>
        <c:lblAlgn val="ctr"/>
        <c:lblOffset val="100"/>
        <c:noMultiLvlLbl val="1"/>
      </c:catAx>
      <c:valAx>
        <c:axId val="2055561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99763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Astye!$D$1:$D$67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1.09E-2</c:v>
                </c:pt>
                <c:pt idx="2">
                  <c:v>1.0999999999999999E-2</c:v>
                </c:pt>
                <c:pt idx="3">
                  <c:v>9.5999999999999992E-3</c:v>
                </c:pt>
                <c:pt idx="4">
                  <c:v>9.5999999999999992E-3</c:v>
                </c:pt>
                <c:pt idx="5">
                  <c:v>1.1900000000000001E-2</c:v>
                </c:pt>
                <c:pt idx="6">
                  <c:v>1.7100000000000001E-2</c:v>
                </c:pt>
                <c:pt idx="7">
                  <c:v>1.8100000000000002E-2</c:v>
                </c:pt>
                <c:pt idx="8">
                  <c:v>1.47E-2</c:v>
                </c:pt>
                <c:pt idx="9">
                  <c:v>1.3299999999999999E-2</c:v>
                </c:pt>
                <c:pt idx="10">
                  <c:v>1.1299999999999999E-2</c:v>
                </c:pt>
                <c:pt idx="11">
                  <c:v>9.9000000000000008E-3</c:v>
                </c:pt>
                <c:pt idx="12">
                  <c:v>8.9999999999999993E-3</c:v>
                </c:pt>
                <c:pt idx="13">
                  <c:v>8.3999999999999995E-3</c:v>
                </c:pt>
                <c:pt idx="14">
                  <c:v>7.4999999999999997E-3</c:v>
                </c:pt>
                <c:pt idx="15">
                  <c:v>6.4999999999999997E-3</c:v>
                </c:pt>
                <c:pt idx="16">
                  <c:v>6.1999999999999998E-3</c:v>
                </c:pt>
                <c:pt idx="17">
                  <c:v>6.6E-3</c:v>
                </c:pt>
                <c:pt idx="18">
                  <c:v>7.3000000000000001E-3</c:v>
                </c:pt>
                <c:pt idx="19">
                  <c:v>7.9000000000000008E-3</c:v>
                </c:pt>
                <c:pt idx="20">
                  <c:v>8.8999999999999999E-3</c:v>
                </c:pt>
                <c:pt idx="21">
                  <c:v>9.7999999999999997E-3</c:v>
                </c:pt>
                <c:pt idx="22">
                  <c:v>1.0699999999999999E-2</c:v>
                </c:pt>
                <c:pt idx="23">
                  <c:v>1.1900000000000001E-2</c:v>
                </c:pt>
                <c:pt idx="24">
                  <c:v>1.37E-2</c:v>
                </c:pt>
                <c:pt idx="25">
                  <c:v>1.5599999999999999E-2</c:v>
                </c:pt>
                <c:pt idx="26">
                  <c:v>1.7299999999999999E-2</c:v>
                </c:pt>
                <c:pt idx="27">
                  <c:v>1.8200000000000001E-2</c:v>
                </c:pt>
                <c:pt idx="28">
                  <c:v>1.8499999999999999E-2</c:v>
                </c:pt>
                <c:pt idx="29">
                  <c:v>1.8800000000000001E-2</c:v>
                </c:pt>
                <c:pt idx="30">
                  <c:v>1.9400000000000001E-2</c:v>
                </c:pt>
                <c:pt idx="31">
                  <c:v>1.9800000000000002E-2</c:v>
                </c:pt>
                <c:pt idx="32">
                  <c:v>2.0199999999999999E-2</c:v>
                </c:pt>
                <c:pt idx="33">
                  <c:v>2.0400000000000001E-2</c:v>
                </c:pt>
                <c:pt idx="34">
                  <c:v>2.1100000000000001E-2</c:v>
                </c:pt>
                <c:pt idx="35">
                  <c:v>2.2100000000000002E-2</c:v>
                </c:pt>
                <c:pt idx="36">
                  <c:v>2.24E-2</c:v>
                </c:pt>
                <c:pt idx="37">
                  <c:v>2.2700000000000001E-2</c:v>
                </c:pt>
                <c:pt idx="38">
                  <c:v>2.29E-2</c:v>
                </c:pt>
                <c:pt idx="39">
                  <c:v>2.3599999999999999E-2</c:v>
                </c:pt>
                <c:pt idx="40">
                  <c:v>2.4400000000000002E-2</c:v>
                </c:pt>
                <c:pt idx="41">
                  <c:v>2.4799999999999999E-2</c:v>
                </c:pt>
                <c:pt idx="42">
                  <c:v>2.4899999999999999E-2</c:v>
                </c:pt>
                <c:pt idx="43">
                  <c:v>2.4799999999999999E-2</c:v>
                </c:pt>
                <c:pt idx="44">
                  <c:v>2.4899999999999999E-2</c:v>
                </c:pt>
                <c:pt idx="45">
                  <c:v>2.5000000000000001E-2</c:v>
                </c:pt>
                <c:pt idx="46">
                  <c:v>2.4899999999999999E-2</c:v>
                </c:pt>
                <c:pt idx="47">
                  <c:v>2.4899999999999999E-2</c:v>
                </c:pt>
                <c:pt idx="48">
                  <c:v>2.47E-2</c:v>
                </c:pt>
                <c:pt idx="49">
                  <c:v>2.47E-2</c:v>
                </c:pt>
                <c:pt idx="50">
                  <c:v>2.4899999999999999E-2</c:v>
                </c:pt>
                <c:pt idx="51">
                  <c:v>2.53E-2</c:v>
                </c:pt>
                <c:pt idx="52">
                  <c:v>2.5899999999999999E-2</c:v>
                </c:pt>
                <c:pt idx="53">
                  <c:v>2.6499999999999999E-2</c:v>
                </c:pt>
                <c:pt idx="54">
                  <c:v>2.46E-2</c:v>
                </c:pt>
                <c:pt idx="55">
                  <c:v>2.5100000000000001E-2</c:v>
                </c:pt>
                <c:pt idx="56">
                  <c:v>2.7900000000000001E-2</c:v>
                </c:pt>
                <c:pt idx="57">
                  <c:v>2.81E-2</c:v>
                </c:pt>
                <c:pt idx="58">
                  <c:v>2.8299999999999999E-2</c:v>
                </c:pt>
                <c:pt idx="59">
                  <c:v>2.8500000000000001E-2</c:v>
                </c:pt>
                <c:pt idx="60">
                  <c:v>2.87E-2</c:v>
                </c:pt>
                <c:pt idx="61">
                  <c:v>2.8899999999999999E-2</c:v>
                </c:pt>
                <c:pt idx="62">
                  <c:v>2.9000000000000001E-2</c:v>
                </c:pt>
                <c:pt idx="63">
                  <c:v>2.9100000000000001E-2</c:v>
                </c:pt>
                <c:pt idx="64">
                  <c:v>2.92E-2</c:v>
                </c:pt>
                <c:pt idx="65">
                  <c:v>2.9414285714285698E-2</c:v>
                </c:pt>
                <c:pt idx="66">
                  <c:v>2.9564285714285699E-2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4C-44AB-8456-74D226C15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286671"/>
        <c:axId val="667178633"/>
      </c:lineChart>
      <c:catAx>
        <c:axId val="153228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7178633"/>
        <c:crosses val="autoZero"/>
        <c:auto val="1"/>
        <c:lblAlgn val="ctr"/>
        <c:lblOffset val="100"/>
        <c:noMultiLvlLbl val="1"/>
      </c:catAx>
      <c:valAx>
        <c:axId val="667178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22866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Astye!$C$1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Astye!$C$2:$C$67</c:f>
              <c:numCache>
                <c:formatCode>#,##0</c:formatCode>
                <c:ptCount val="66"/>
                <c:pt idx="0">
                  <c:v>44284291.401775993</c:v>
                </c:pt>
                <c:pt idx="1">
                  <c:v>43806797.311085172</c:v>
                </c:pt>
                <c:pt idx="2">
                  <c:v>43330165.490687616</c:v>
                </c:pt>
                <c:pt idx="3">
                  <c:v>42918151.238795184</c:v>
                </c:pt>
                <c:pt idx="4">
                  <c:v>42510054.713545151</c:v>
                </c:pt>
                <c:pt idx="5">
                  <c:v>42010134.11754635</c:v>
                </c:pt>
                <c:pt idx="6">
                  <c:v>41303838.479546115</c:v>
                </c:pt>
                <c:pt idx="7">
                  <c:v>40569529.9867853</c:v>
                </c:pt>
                <c:pt idx="8">
                  <c:v>39981797.562614866</c:v>
                </c:pt>
                <c:pt idx="9">
                  <c:v>39457019.207159638</c:v>
                </c:pt>
                <c:pt idx="10">
                  <c:v>39016136.860634468</c:v>
                </c:pt>
                <c:pt idx="11">
                  <c:v>38633663.591082752</c:v>
                </c:pt>
                <c:pt idx="12">
                  <c:v>38289062.032787666</c:v>
                </c:pt>
                <c:pt idx="13">
                  <c:v>37970113.082891382</c:v>
                </c:pt>
                <c:pt idx="14">
                  <c:v>37687457.154234618</c:v>
                </c:pt>
                <c:pt idx="15">
                  <c:v>37444070.694718949</c:v>
                </c:pt>
                <c:pt idx="16">
                  <c:v>37213347.937506407</c:v>
                </c:pt>
                <c:pt idx="17">
                  <c:v>36969350.226014711</c:v>
                </c:pt>
                <c:pt idx="18">
                  <c:v>36701429.78855823</c:v>
                </c:pt>
                <c:pt idx="19">
                  <c:v>36413761.076057374</c:v>
                </c:pt>
                <c:pt idx="20">
                  <c:v>36092537.49237524</c:v>
                </c:pt>
                <c:pt idx="21">
                  <c:v>35742263.311918437</c:v>
                </c:pt>
                <c:pt idx="22">
                  <c:v>35363869.903946213</c:v>
                </c:pt>
                <c:pt idx="23">
                  <c:v>34947988.836788431</c:v>
                </c:pt>
                <c:pt idx="24">
                  <c:v>34475672.12862625</c:v>
                </c:pt>
                <c:pt idx="25">
                  <c:v>33946112.769423246</c:v>
                </c:pt>
                <c:pt idx="26">
                  <c:v>33368831.976234388</c:v>
                </c:pt>
                <c:pt idx="27">
                  <c:v>32772374.755680993</c:v>
                </c:pt>
                <c:pt idx="28">
                  <c:v>32177098.434640151</c:v>
                </c:pt>
                <c:pt idx="29">
                  <c:v>31583331.796859201</c:v>
                </c:pt>
                <c:pt idx="30">
                  <c:v>30982275.649263486</c:v>
                </c:pt>
                <c:pt idx="31">
                  <c:v>30380737.055563331</c:v>
                </c:pt>
                <c:pt idx="32">
                  <c:v>29779197.270695288</c:v>
                </c:pt>
                <c:pt idx="33">
                  <c:v>29183846.796055753</c:v>
                </c:pt>
                <c:pt idx="34">
                  <c:v>28580792.083102297</c:v>
                </c:pt>
                <c:pt idx="35">
                  <c:v>27962813.896000683</c:v>
                </c:pt>
                <c:pt idx="36">
                  <c:v>27350170.086072657</c:v>
                </c:pt>
                <c:pt idx="37">
                  <c:v>26743101.677982457</c:v>
                </c:pt>
                <c:pt idx="38">
                  <c:v>26144395.031755265</c:v>
                </c:pt>
                <c:pt idx="39">
                  <c:v>25541612.965763252</c:v>
                </c:pt>
                <c:pt idx="40">
                  <c:v>24933241.864274945</c:v>
                </c:pt>
                <c:pt idx="41">
                  <c:v>24329861.303937301</c:v>
                </c:pt>
                <c:pt idx="42">
                  <c:v>23738766.029795397</c:v>
                </c:pt>
                <c:pt idx="43">
                  <c:v>23164291.598161004</c:v>
                </c:pt>
                <c:pt idx="44">
                  <c:v>22601513.902001176</c:v>
                </c:pt>
                <c:pt idx="45">
                  <c:v>22050257.465367004</c:v>
                </c:pt>
                <c:pt idx="46">
                  <c:v>21514545.287703197</c:v>
                </c:pt>
                <c:pt idx="47">
                  <c:v>20991848.265882719</c:v>
                </c:pt>
                <c:pt idx="48">
                  <c:v>20485847.824614737</c:v>
                </c:pt>
                <c:pt idx="49">
                  <c:v>19992044.329671845</c:v>
                </c:pt>
                <c:pt idx="50">
                  <c:v>19506336.549587127</c:v>
                </c:pt>
                <c:pt idx="51">
                  <c:v>19025003.949660707</c:v>
                </c:pt>
                <c:pt idx="52">
                  <c:v>18544696.315099627</c:v>
                </c:pt>
                <c:pt idx="53">
                  <c:v>18065948.67520665</c:v>
                </c:pt>
                <c:pt idx="54">
                  <c:v>17632196.637913968</c:v>
                </c:pt>
                <c:pt idx="55">
                  <c:v>17200464.967236336</c:v>
                </c:pt>
                <c:pt idx="56">
                  <c:v>16733597.594353862</c:v>
                </c:pt>
                <c:pt idx="57">
                  <c:v>16276235.380171055</c:v>
                </c:pt>
                <c:pt idx="58">
                  <c:v>15828294.641807891</c:v>
                </c:pt>
                <c:pt idx="59">
                  <c:v>15389688.519015938</c:v>
                </c:pt>
                <c:pt idx="60">
                  <c:v>14960327.130374199</c:v>
                </c:pt>
                <c:pt idx="61">
                  <c:v>14540117.728034018</c:v>
                </c:pt>
                <c:pt idx="62">
                  <c:v>14130337.928118579</c:v>
                </c:pt>
                <c:pt idx="63">
                  <c:v>13730772.449828569</c:v>
                </c:pt>
                <c:pt idx="64">
                  <c:v>13341209.142857142</c:v>
                </c:pt>
                <c:pt idx="65">
                  <c:v>12960000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6-406A-AF5D-3B45BC4C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846996"/>
        <c:axId val="635059357"/>
      </c:lineChart>
      <c:catAx>
        <c:axId val="664846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5059357"/>
        <c:crosses val="autoZero"/>
        <c:auto val="1"/>
        <c:lblAlgn val="ctr"/>
        <c:lblOffset val="100"/>
        <c:noMultiLvlLbl val="1"/>
      </c:catAx>
      <c:valAx>
        <c:axId val="635059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48469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Baluyde!$D$1:$D$67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3.1199999999999999E-2</c:v>
                </c:pt>
                <c:pt idx="2">
                  <c:v>3.6299999999999999E-2</c:v>
                </c:pt>
                <c:pt idx="3">
                  <c:v>3.4200000000000001E-2</c:v>
                </c:pt>
                <c:pt idx="4">
                  <c:v>4.0500000000000001E-2</c:v>
                </c:pt>
                <c:pt idx="5">
                  <c:v>3.6900000000000002E-2</c:v>
                </c:pt>
                <c:pt idx="6">
                  <c:v>2.93E-2</c:v>
                </c:pt>
                <c:pt idx="7">
                  <c:v>3.6499999999999998E-2</c:v>
                </c:pt>
                <c:pt idx="8">
                  <c:v>2.1899999999999999E-2</c:v>
                </c:pt>
                <c:pt idx="9">
                  <c:v>1.89E-2</c:v>
                </c:pt>
                <c:pt idx="10">
                  <c:v>4.0899999999999999E-2</c:v>
                </c:pt>
                <c:pt idx="11">
                  <c:v>3.5200000000000002E-2</c:v>
                </c:pt>
                <c:pt idx="12">
                  <c:v>3.5799999999999998E-2</c:v>
                </c:pt>
                <c:pt idx="13">
                  <c:v>6.1499999999999999E-2</c:v>
                </c:pt>
                <c:pt idx="14">
                  <c:v>5.2499999999999998E-2</c:v>
                </c:pt>
                <c:pt idx="15">
                  <c:v>7.6E-3</c:v>
                </c:pt>
                <c:pt idx="16">
                  <c:v>1.21E-2</c:v>
                </c:pt>
                <c:pt idx="17">
                  <c:v>3.73E-2</c:v>
                </c:pt>
                <c:pt idx="18">
                  <c:v>3.7600000000000001E-2</c:v>
                </c:pt>
                <c:pt idx="19">
                  <c:v>3.7999999999999999E-2</c:v>
                </c:pt>
                <c:pt idx="20">
                  <c:v>4.0099999999999997E-2</c:v>
                </c:pt>
                <c:pt idx="21">
                  <c:v>4.8899999999999999E-2</c:v>
                </c:pt>
                <c:pt idx="22">
                  <c:v>8.3900000000000002E-2</c:v>
                </c:pt>
                <c:pt idx="23">
                  <c:v>0.1181</c:v>
                </c:pt>
                <c:pt idx="24">
                  <c:v>8.1600000000000006E-2</c:v>
                </c:pt>
                <c:pt idx="25">
                  <c:v>1.5900000000000001E-2</c:v>
                </c:pt>
                <c:pt idx="26">
                  <c:v>1.43E-2</c:v>
                </c:pt>
                <c:pt idx="27">
                  <c:v>0.03</c:v>
                </c:pt>
                <c:pt idx="28">
                  <c:v>1.18E-2</c:v>
                </c:pt>
                <c:pt idx="29">
                  <c:v>-2.8E-3</c:v>
                </c:pt>
                <c:pt idx="30">
                  <c:v>-5.9999999999999995E-4</c:v>
                </c:pt>
                <c:pt idx="31">
                  <c:v>2.0899999999999998E-2</c:v>
                </c:pt>
                <c:pt idx="32">
                  <c:v>2.46E-2</c:v>
                </c:pt>
                <c:pt idx="33">
                  <c:v>-6.7000000000000002E-3</c:v>
                </c:pt>
                <c:pt idx="34">
                  <c:v>-8.2600000000000007E-2</c:v>
                </c:pt>
                <c:pt idx="35">
                  <c:v>-9.8199999999999996E-2</c:v>
                </c:pt>
                <c:pt idx="36">
                  <c:v>-3.6299999999999999E-2</c:v>
                </c:pt>
                <c:pt idx="37">
                  <c:v>3.2000000000000002E-3</c:v>
                </c:pt>
                <c:pt idx="38">
                  <c:v>2.01E-2</c:v>
                </c:pt>
                <c:pt idx="39">
                  <c:v>2.1299999999999999E-2</c:v>
                </c:pt>
                <c:pt idx="40">
                  <c:v>2.2100000000000002E-2</c:v>
                </c:pt>
                <c:pt idx="41">
                  <c:v>2.4199999999999999E-2</c:v>
                </c:pt>
                <c:pt idx="42">
                  <c:v>2.53E-2</c:v>
                </c:pt>
                <c:pt idx="43">
                  <c:v>2.53E-2</c:v>
                </c:pt>
                <c:pt idx="44">
                  <c:v>2.4400000000000002E-2</c:v>
                </c:pt>
                <c:pt idx="45">
                  <c:v>2.4299999999999999E-2</c:v>
                </c:pt>
                <c:pt idx="46">
                  <c:v>2.4500000000000001E-2</c:v>
                </c:pt>
                <c:pt idx="47">
                  <c:v>2.3900000000000001E-2</c:v>
                </c:pt>
                <c:pt idx="48">
                  <c:v>2.3599999999999999E-2</c:v>
                </c:pt>
                <c:pt idx="49">
                  <c:v>2.3099999999999999E-2</c:v>
                </c:pt>
                <c:pt idx="50">
                  <c:v>2.2700000000000001E-2</c:v>
                </c:pt>
                <c:pt idx="51">
                  <c:v>2.23E-2</c:v>
                </c:pt>
                <c:pt idx="52">
                  <c:v>2.1600000000000001E-2</c:v>
                </c:pt>
                <c:pt idx="53">
                  <c:v>2.1100000000000001E-2</c:v>
                </c:pt>
                <c:pt idx="54">
                  <c:v>2.0400000000000001E-2</c:v>
                </c:pt>
                <c:pt idx="55">
                  <c:v>1.9599999999999999E-2</c:v>
                </c:pt>
                <c:pt idx="56">
                  <c:v>1.95E-2</c:v>
                </c:pt>
                <c:pt idx="57">
                  <c:v>1.9300000000000001E-2</c:v>
                </c:pt>
                <c:pt idx="58">
                  <c:v>1.9E-2</c:v>
                </c:pt>
                <c:pt idx="59">
                  <c:v>1.8499999999999999E-2</c:v>
                </c:pt>
                <c:pt idx="60">
                  <c:v>1.7999999999999999E-2</c:v>
                </c:pt>
                <c:pt idx="61">
                  <c:v>1.7500000000000002E-2</c:v>
                </c:pt>
                <c:pt idx="62">
                  <c:v>1.7000000000000001E-2</c:v>
                </c:pt>
                <c:pt idx="63">
                  <c:v>1.7000000000000001E-2</c:v>
                </c:pt>
                <c:pt idx="64">
                  <c:v>1.7000000000000001E-2</c:v>
                </c:pt>
                <c:pt idx="65">
                  <c:v>1.7000000000000001E-2</c:v>
                </c:pt>
                <c:pt idx="66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10-4A5F-9513-A9F7FED66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419213"/>
        <c:axId val="624891335"/>
      </c:lineChart>
      <c:catAx>
        <c:axId val="1206419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4891335"/>
        <c:crosses val="autoZero"/>
        <c:auto val="1"/>
        <c:lblAlgn val="ctr"/>
        <c:lblOffset val="100"/>
        <c:noMultiLvlLbl val="1"/>
      </c:catAx>
      <c:valAx>
        <c:axId val="624891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4192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Baluyde!$C$1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Baluyde!$C$2:$C$67</c:f>
              <c:numCache>
                <c:formatCode>#,##0</c:formatCode>
                <c:ptCount val="66"/>
                <c:pt idx="0">
                  <c:v>1638367.4844887413</c:v>
                </c:pt>
                <c:pt idx="1">
                  <c:v>1588797.0175414484</c:v>
                </c:pt>
                <c:pt idx="2">
                  <c:v>1533143.8941826192</c:v>
                </c:pt>
                <c:pt idx="3">
                  <c:v>1482444.2991516334</c:v>
                </c:pt>
                <c:pt idx="4">
                  <c:v>1424742.2384926798</c:v>
                </c:pt>
                <c:pt idx="5">
                  <c:v>1374040.156710078</c:v>
                </c:pt>
                <c:pt idx="6">
                  <c:v>1334926.8014282307</c:v>
                </c:pt>
                <c:pt idx="7">
                  <c:v>1287917.8016673718</c:v>
                </c:pt>
                <c:pt idx="8">
                  <c:v>1260316.8623812229</c:v>
                </c:pt>
                <c:pt idx="9">
                  <c:v>1236938.7205625901</c:v>
                </c:pt>
                <c:pt idx="10">
                  <c:v>1188335.7868792296</c:v>
                </c:pt>
                <c:pt idx="11">
                  <c:v>1147928.6967535063</c:v>
                </c:pt>
                <c:pt idx="12">
                  <c:v>1108253.2310808131</c:v>
                </c:pt>
                <c:pt idx="13">
                  <c:v>1044044.4946592679</c:v>
                </c:pt>
                <c:pt idx="14">
                  <c:v>991966.26570951822</c:v>
                </c:pt>
                <c:pt idx="15">
                  <c:v>984484.18589670327</c:v>
                </c:pt>
                <c:pt idx="16">
                  <c:v>972714.34235421719</c:v>
                </c:pt>
                <c:pt idx="17">
                  <c:v>937736.76116284309</c:v>
                </c:pt>
                <c:pt idx="18">
                  <c:v>903755.55239287112</c:v>
                </c:pt>
                <c:pt idx="19">
                  <c:v>870670.08901047311</c:v>
                </c:pt>
                <c:pt idx="20">
                  <c:v>837102.28729013854</c:v>
                </c:pt>
                <c:pt idx="21">
                  <c:v>798076.35359914065</c:v>
                </c:pt>
                <c:pt idx="22">
                  <c:v>736300.72294412821</c:v>
                </c:pt>
                <c:pt idx="23">
                  <c:v>658528.50634480652</c:v>
                </c:pt>
                <c:pt idx="24">
                  <c:v>608846.6219903907</c:v>
                </c:pt>
                <c:pt idx="25">
                  <c:v>599317.47415138374</c:v>
                </c:pt>
                <c:pt idx="26">
                  <c:v>590868.06088078849</c:v>
                </c:pt>
                <c:pt idx="27">
                  <c:v>573658.31153474608</c:v>
                </c:pt>
                <c:pt idx="28">
                  <c:v>566968.08809522248</c:v>
                </c:pt>
                <c:pt idx="29">
                  <c:v>568560.0562527302</c:v>
                </c:pt>
                <c:pt idx="30">
                  <c:v>568901.39709098486</c:v>
                </c:pt>
                <c:pt idx="31">
                  <c:v>557254.77234889299</c:v>
                </c:pt>
                <c:pt idx="32">
                  <c:v>543875.43660832813</c:v>
                </c:pt>
                <c:pt idx="33">
                  <c:v>547543.98128292372</c:v>
                </c:pt>
                <c:pt idx="34">
                  <c:v>596843.23226828396</c:v>
                </c:pt>
                <c:pt idx="35">
                  <c:v>661835.47601273446</c:v>
                </c:pt>
                <c:pt idx="36">
                  <c:v>686765.04722707742</c:v>
                </c:pt>
                <c:pt idx="37">
                  <c:v>684574.40911790007</c:v>
                </c:pt>
                <c:pt idx="38">
                  <c:v>671085.58878335461</c:v>
                </c:pt>
                <c:pt idx="39">
                  <c:v>657089.58071414335</c:v>
                </c:pt>
                <c:pt idx="40">
                  <c:v>642881.89092470729</c:v>
                </c:pt>
                <c:pt idx="41">
                  <c:v>627691.75056112802</c:v>
                </c:pt>
                <c:pt idx="42">
                  <c:v>612203.01429935428</c:v>
                </c:pt>
                <c:pt idx="43">
                  <c:v>597096.47351931559</c:v>
                </c:pt>
                <c:pt idx="44">
                  <c:v>582874.33963228774</c:v>
                </c:pt>
                <c:pt idx="45">
                  <c:v>569046.50945258979</c:v>
                </c:pt>
                <c:pt idx="46">
                  <c:v>555438.27179364546</c:v>
                </c:pt>
                <c:pt idx="47">
                  <c:v>542473.16319332493</c:v>
                </c:pt>
                <c:pt idx="48">
                  <c:v>529965.9663866011</c:v>
                </c:pt>
                <c:pt idx="49">
                  <c:v>518000.16262985155</c:v>
                </c:pt>
                <c:pt idx="50">
                  <c:v>506502.55463953415</c:v>
                </c:pt>
                <c:pt idx="51">
                  <c:v>495453.93195689539</c:v>
                </c:pt>
                <c:pt idx="52">
                  <c:v>484978.39854825311</c:v>
                </c:pt>
                <c:pt idx="53">
                  <c:v>474956.80986020289</c:v>
                </c:pt>
                <c:pt idx="54">
                  <c:v>465461.39735417766</c:v>
                </c:pt>
                <c:pt idx="55">
                  <c:v>456513.72827989177</c:v>
                </c:pt>
                <c:pt idx="56">
                  <c:v>447781.97967620572</c:v>
                </c:pt>
                <c:pt idx="57">
                  <c:v>439303.42360071192</c:v>
                </c:pt>
                <c:pt idx="58">
                  <c:v>431112.29008902056</c:v>
                </c:pt>
                <c:pt idx="59">
                  <c:v>423281.58084341738</c:v>
                </c:pt>
                <c:pt idx="60">
                  <c:v>415797.23069097975</c:v>
                </c:pt>
                <c:pt idx="61">
                  <c:v>408645.92696902185</c:v>
                </c:pt>
                <c:pt idx="62">
                  <c:v>401815.0707659999</c:v>
                </c:pt>
                <c:pt idx="63">
                  <c:v>395098.39799999993</c:v>
                </c:pt>
                <c:pt idx="64">
                  <c:v>388493.99999999994</c:v>
                </c:pt>
                <c:pt idx="65">
                  <c:v>382000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0-4749-875E-6E1D75CA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322476"/>
        <c:axId val="1226867499"/>
      </c:lineChart>
      <c:catAx>
        <c:axId val="1682322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6867499"/>
        <c:crosses val="autoZero"/>
        <c:auto val="1"/>
        <c:lblAlgn val="ctr"/>
        <c:lblOffset val="100"/>
        <c:noMultiLvlLbl val="1"/>
      </c:catAx>
      <c:valAx>
        <c:axId val="1226867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3224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Byllu!$D$1:$D$67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1.3299999999999999E-2</c:v>
                </c:pt>
                <c:pt idx="2">
                  <c:v>1.35E-2</c:v>
                </c:pt>
                <c:pt idx="3">
                  <c:v>1.2800000000000001E-2</c:v>
                </c:pt>
                <c:pt idx="4">
                  <c:v>1.2699999999999999E-2</c:v>
                </c:pt>
                <c:pt idx="5">
                  <c:v>1.47E-2</c:v>
                </c:pt>
                <c:pt idx="6">
                  <c:v>1.52E-2</c:v>
                </c:pt>
                <c:pt idx="7">
                  <c:v>1.38E-2</c:v>
                </c:pt>
                <c:pt idx="8">
                  <c:v>1.2699999999999999E-2</c:v>
                </c:pt>
                <c:pt idx="9">
                  <c:v>1.6000000000000001E-3</c:v>
                </c:pt>
                <c:pt idx="10">
                  <c:v>1.03E-2</c:v>
                </c:pt>
                <c:pt idx="11">
                  <c:v>1.0699999999999999E-2</c:v>
                </c:pt>
                <c:pt idx="12">
                  <c:v>1.12E-2</c:v>
                </c:pt>
                <c:pt idx="13">
                  <c:v>1.1599999999999999E-2</c:v>
                </c:pt>
                <c:pt idx="14">
                  <c:v>1.21E-2</c:v>
                </c:pt>
                <c:pt idx="15">
                  <c:v>1.24E-2</c:v>
                </c:pt>
                <c:pt idx="16">
                  <c:v>1.2800000000000001E-2</c:v>
                </c:pt>
                <c:pt idx="17">
                  <c:v>1.34E-2</c:v>
                </c:pt>
                <c:pt idx="18">
                  <c:v>1.3899999999999999E-2</c:v>
                </c:pt>
                <c:pt idx="19">
                  <c:v>1.4500000000000001E-2</c:v>
                </c:pt>
                <c:pt idx="20">
                  <c:v>1.5100000000000001E-2</c:v>
                </c:pt>
                <c:pt idx="21">
                  <c:v>1.6400000000000001E-2</c:v>
                </c:pt>
                <c:pt idx="22">
                  <c:v>1.7399999999999999E-2</c:v>
                </c:pt>
                <c:pt idx="23">
                  <c:v>1.7299999999999999E-2</c:v>
                </c:pt>
                <c:pt idx="24">
                  <c:v>1.7000000000000001E-2</c:v>
                </c:pt>
                <c:pt idx="25">
                  <c:v>1.7600000000000001E-2</c:v>
                </c:pt>
                <c:pt idx="26">
                  <c:v>1.8700000000000001E-2</c:v>
                </c:pt>
                <c:pt idx="27">
                  <c:v>1.9599999999999999E-2</c:v>
                </c:pt>
                <c:pt idx="28">
                  <c:v>0.02</c:v>
                </c:pt>
                <c:pt idx="29">
                  <c:v>2.0400000000000001E-2</c:v>
                </c:pt>
                <c:pt idx="30">
                  <c:v>2.1299999999999999E-2</c:v>
                </c:pt>
                <c:pt idx="31">
                  <c:v>2.2200000000000001E-2</c:v>
                </c:pt>
                <c:pt idx="32">
                  <c:v>2.3E-2</c:v>
                </c:pt>
                <c:pt idx="33">
                  <c:v>2.35E-2</c:v>
                </c:pt>
                <c:pt idx="34">
                  <c:v>2.1399999999999999E-2</c:v>
                </c:pt>
                <c:pt idx="35">
                  <c:v>1.9900000000000001E-2</c:v>
                </c:pt>
                <c:pt idx="36">
                  <c:v>0.02</c:v>
                </c:pt>
                <c:pt idx="37">
                  <c:v>1.9599999999999999E-2</c:v>
                </c:pt>
                <c:pt idx="38">
                  <c:v>2.0199999999999999E-2</c:v>
                </c:pt>
                <c:pt idx="39">
                  <c:v>2.06E-2</c:v>
                </c:pt>
                <c:pt idx="40">
                  <c:v>2.0400000000000001E-2</c:v>
                </c:pt>
                <c:pt idx="41">
                  <c:v>2.07E-2</c:v>
                </c:pt>
                <c:pt idx="42">
                  <c:v>2.2100000000000002E-2</c:v>
                </c:pt>
                <c:pt idx="43">
                  <c:v>2.3099999999999999E-2</c:v>
                </c:pt>
                <c:pt idx="44">
                  <c:v>2.4E-2</c:v>
                </c:pt>
                <c:pt idx="45">
                  <c:v>2.3699999999999999E-2</c:v>
                </c:pt>
                <c:pt idx="46">
                  <c:v>2.35E-2</c:v>
                </c:pt>
                <c:pt idx="47">
                  <c:v>2.4500000000000001E-2</c:v>
                </c:pt>
                <c:pt idx="48">
                  <c:v>2.53E-2</c:v>
                </c:pt>
                <c:pt idx="49">
                  <c:v>2.5999999999999999E-2</c:v>
                </c:pt>
                <c:pt idx="50">
                  <c:v>2.5399999999999999E-2</c:v>
                </c:pt>
                <c:pt idx="51">
                  <c:v>2.5100000000000001E-2</c:v>
                </c:pt>
                <c:pt idx="52">
                  <c:v>2.6200000000000001E-2</c:v>
                </c:pt>
                <c:pt idx="53">
                  <c:v>2.6700000000000002E-2</c:v>
                </c:pt>
                <c:pt idx="54">
                  <c:v>2.7E-2</c:v>
                </c:pt>
                <c:pt idx="55">
                  <c:v>2.75E-2</c:v>
                </c:pt>
                <c:pt idx="56">
                  <c:v>2.8000000000000001E-2</c:v>
                </c:pt>
                <c:pt idx="57">
                  <c:v>2.8500000000000001E-2</c:v>
                </c:pt>
                <c:pt idx="58">
                  <c:v>2.8500000000000001E-2</c:v>
                </c:pt>
                <c:pt idx="59">
                  <c:v>2.8500000000000001E-2</c:v>
                </c:pt>
                <c:pt idx="60">
                  <c:v>2.8500000000000001E-2</c:v>
                </c:pt>
                <c:pt idx="61">
                  <c:v>2.8500000000000001E-2</c:v>
                </c:pt>
                <c:pt idx="62">
                  <c:v>2.8500000000000001E-2</c:v>
                </c:pt>
                <c:pt idx="63">
                  <c:v>2.8500000000000001E-2</c:v>
                </c:pt>
                <c:pt idx="64">
                  <c:v>2.8000000000000001E-2</c:v>
                </c:pt>
                <c:pt idx="65">
                  <c:v>2.75E-2</c:v>
                </c:pt>
                <c:pt idx="66">
                  <c:v>2.7E-2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323-A646-F983EA34B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502704"/>
        <c:axId val="2042085642"/>
      </c:lineChart>
      <c:catAx>
        <c:axId val="141050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085642"/>
        <c:crosses val="autoZero"/>
        <c:auto val="1"/>
        <c:lblAlgn val="ctr"/>
        <c:lblOffset val="100"/>
        <c:noMultiLvlLbl val="1"/>
      </c:catAx>
      <c:valAx>
        <c:axId val="2042085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05027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Byllu!$C$1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Byllu!$C$2:$C$67</c:f>
              <c:numCache>
                <c:formatCode>#,##0</c:formatCode>
                <c:ptCount val="66"/>
                <c:pt idx="0">
                  <c:v>9105457.7760035135</c:v>
                </c:pt>
                <c:pt idx="1">
                  <c:v>8985944.7113426551</c:v>
                </c:pt>
                <c:pt idx="2">
                  <c:v>8866250.3318625111</c:v>
                </c:pt>
                <c:pt idx="3">
                  <c:v>8754196.6151881032</c:v>
                </c:pt>
                <c:pt idx="4">
                  <c:v>8644412.575479513</c:v>
                </c:pt>
                <c:pt idx="5">
                  <c:v>8519180.620360218</c:v>
                </c:pt>
                <c:pt idx="6">
                  <c:v>8391627.8766353596</c:v>
                </c:pt>
                <c:pt idx="7">
                  <c:v>8277399.7599480757</c:v>
                </c:pt>
                <c:pt idx="8">
                  <c:v>8173595.1021507615</c:v>
                </c:pt>
                <c:pt idx="9">
                  <c:v>8160538.2409652164</c:v>
                </c:pt>
                <c:pt idx="10">
                  <c:v>8077341.62225598</c:v>
                </c:pt>
                <c:pt idx="11">
                  <c:v>7991829.0514059374</c:v>
                </c:pt>
                <c:pt idx="12">
                  <c:v>7903311.9574821368</c:v>
                </c:pt>
                <c:pt idx="13">
                  <c:v>7812684.8136438671</c:v>
                </c:pt>
                <c:pt idx="14">
                  <c:v>7719281.5074042752</c:v>
                </c:pt>
                <c:pt idx="15">
                  <c:v>7624734.7959346855</c:v>
                </c:pt>
                <c:pt idx="16">
                  <c:v>7528371.6389560485</c:v>
                </c:pt>
                <c:pt idx="17">
                  <c:v>7428825.3788790684</c:v>
                </c:pt>
                <c:pt idx="18">
                  <c:v>7326980.3519864567</c:v>
                </c:pt>
                <c:pt idx="19">
                  <c:v>7222257.6165465321</c:v>
                </c:pt>
                <c:pt idx="20">
                  <c:v>7114823.7775061894</c:v>
                </c:pt>
                <c:pt idx="21">
                  <c:v>7000023.3938470976</c:v>
                </c:pt>
                <c:pt idx="22">
                  <c:v>6880306.0682593836</c:v>
                </c:pt>
                <c:pt idx="23">
                  <c:v>6763300.9616232999</c:v>
                </c:pt>
                <c:pt idx="24">
                  <c:v>6650246.766591249</c:v>
                </c:pt>
                <c:pt idx="25">
                  <c:v>6535226.7753451737</c:v>
                </c:pt>
                <c:pt idx="26">
                  <c:v>6415261.3874007799</c:v>
                </c:pt>
                <c:pt idx="27">
                  <c:v>6291939.3756382698</c:v>
                </c:pt>
                <c:pt idx="28">
                  <c:v>6168568.0153316371</c:v>
                </c:pt>
                <c:pt idx="29">
                  <c:v>6045245.0169851407</c:v>
                </c:pt>
                <c:pt idx="30">
                  <c:v>5919166.7648929209</c:v>
                </c:pt>
                <c:pt idx="31">
                  <c:v>5790615.1094628461</c:v>
                </c:pt>
                <c:pt idx="32">
                  <c:v>5660425.3269431544</c:v>
                </c:pt>
                <c:pt idx="33">
                  <c:v>5530459.5280343471</c:v>
                </c:pt>
                <c:pt idx="34">
                  <c:v>5414587.3585611386</c:v>
                </c:pt>
                <c:pt idx="35">
                  <c:v>5308939.4632426109</c:v>
                </c:pt>
                <c:pt idx="36">
                  <c:v>5204842.6110221678</c:v>
                </c:pt>
                <c:pt idx="37">
                  <c:v>5104788.7514929064</c:v>
                </c:pt>
                <c:pt idx="38">
                  <c:v>5003713.7340647979</c:v>
                </c:pt>
                <c:pt idx="39">
                  <c:v>4902717.7484467942</c:v>
                </c:pt>
                <c:pt idx="40">
                  <c:v>4804701.8310925076</c:v>
                </c:pt>
                <c:pt idx="41">
                  <c:v>4707261.5176766021</c:v>
                </c:pt>
                <c:pt idx="42">
                  <c:v>4605480.4008185128</c:v>
                </c:pt>
                <c:pt idx="43">
                  <c:v>4501495.8467583945</c:v>
                </c:pt>
                <c:pt idx="44">
                  <c:v>4395992.0378499944</c:v>
                </c:pt>
                <c:pt idx="45">
                  <c:v>4294219.046449149</c:v>
                </c:pt>
                <c:pt idx="46">
                  <c:v>4195621.9310690267</c:v>
                </c:pt>
                <c:pt idx="47">
                  <c:v>4095287.3900136915</c:v>
                </c:pt>
                <c:pt idx="48">
                  <c:v>3994233.2878315528</c:v>
                </c:pt>
                <c:pt idx="49">
                  <c:v>3893014.9004206168</c:v>
                </c:pt>
                <c:pt idx="50">
                  <c:v>3796581.7246153858</c:v>
                </c:pt>
                <c:pt idx="51">
                  <c:v>3703620.8414938897</c:v>
                </c:pt>
                <c:pt idx="52">
                  <c:v>3609063.3809139444</c:v>
                </c:pt>
                <c:pt idx="53">
                  <c:v>3515207.344807582</c:v>
                </c:pt>
                <c:pt idx="54">
                  <c:v>3422791.9618379576</c:v>
                </c:pt>
                <c:pt idx="55">
                  <c:v>3331184.3910831702</c:v>
                </c:pt>
                <c:pt idx="56">
                  <c:v>3240451.7422988038</c:v>
                </c:pt>
                <c:pt idx="57">
                  <c:v>3150657.9895953368</c:v>
                </c:pt>
                <c:pt idx="58">
                  <c:v>3063352.4449152523</c:v>
                </c:pt>
                <c:pt idx="59">
                  <c:v>2978466.1593731185</c:v>
                </c:pt>
                <c:pt idx="60">
                  <c:v>2895932.0946748843</c:v>
                </c:pt>
                <c:pt idx="61">
                  <c:v>2815685.0701748999</c:v>
                </c:pt>
                <c:pt idx="62">
                  <c:v>2737661.7113999999</c:v>
                </c:pt>
                <c:pt idx="63">
                  <c:v>2661800.4</c:v>
                </c:pt>
                <c:pt idx="64">
                  <c:v>2589300</c:v>
                </c:pt>
                <c:pt idx="65">
                  <c:v>2520000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6-47B7-8D53-00E871B26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282568"/>
        <c:axId val="977582252"/>
      </c:lineChart>
      <c:catAx>
        <c:axId val="49928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7582252"/>
        <c:crosses val="autoZero"/>
        <c:auto val="1"/>
        <c:lblAlgn val="ctr"/>
        <c:lblOffset val="100"/>
        <c:noMultiLvlLbl val="1"/>
      </c:catAx>
      <c:valAx>
        <c:axId val="977582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92825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'Candenat'!$D$1:$D$67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3.61E-2</c:v>
                </c:pt>
                <c:pt idx="2">
                  <c:v>3.73E-2</c:v>
                </c:pt>
                <c:pt idx="3">
                  <c:v>3.85E-2</c:v>
                </c:pt>
                <c:pt idx="4">
                  <c:v>3.8800000000000001E-2</c:v>
                </c:pt>
                <c:pt idx="5">
                  <c:v>3.8899999999999997E-2</c:v>
                </c:pt>
                <c:pt idx="6">
                  <c:v>3.85E-2</c:v>
                </c:pt>
                <c:pt idx="7">
                  <c:v>3.7999999999999999E-2</c:v>
                </c:pt>
                <c:pt idx="8">
                  <c:v>3.78E-2</c:v>
                </c:pt>
                <c:pt idx="9">
                  <c:v>3.7400000000000003E-2</c:v>
                </c:pt>
                <c:pt idx="10">
                  <c:v>3.6799999999999999E-2</c:v>
                </c:pt>
                <c:pt idx="11">
                  <c:v>3.6499999999999998E-2</c:v>
                </c:pt>
                <c:pt idx="12">
                  <c:v>3.5900000000000001E-2</c:v>
                </c:pt>
                <c:pt idx="13">
                  <c:v>3.49E-2</c:v>
                </c:pt>
                <c:pt idx="14">
                  <c:v>3.4099999999999998E-2</c:v>
                </c:pt>
                <c:pt idx="15">
                  <c:v>3.3500000000000002E-2</c:v>
                </c:pt>
                <c:pt idx="16">
                  <c:v>3.3099999999999997E-2</c:v>
                </c:pt>
                <c:pt idx="17">
                  <c:v>3.3000000000000002E-2</c:v>
                </c:pt>
                <c:pt idx="18">
                  <c:v>3.3500000000000002E-2</c:v>
                </c:pt>
                <c:pt idx="19">
                  <c:v>3.4000000000000002E-2</c:v>
                </c:pt>
                <c:pt idx="20">
                  <c:v>3.3799999999999997E-2</c:v>
                </c:pt>
                <c:pt idx="21">
                  <c:v>3.3399999999999999E-2</c:v>
                </c:pt>
                <c:pt idx="22">
                  <c:v>3.2399999999999998E-2</c:v>
                </c:pt>
                <c:pt idx="23">
                  <c:v>3.2000000000000001E-2</c:v>
                </c:pt>
                <c:pt idx="24">
                  <c:v>3.27E-2</c:v>
                </c:pt>
                <c:pt idx="25">
                  <c:v>3.3599999999999998E-2</c:v>
                </c:pt>
                <c:pt idx="26">
                  <c:v>3.39E-2</c:v>
                </c:pt>
                <c:pt idx="27">
                  <c:v>3.4099999999999998E-2</c:v>
                </c:pt>
                <c:pt idx="28">
                  <c:v>3.4000000000000002E-2</c:v>
                </c:pt>
                <c:pt idx="29">
                  <c:v>3.4700000000000002E-2</c:v>
                </c:pt>
                <c:pt idx="30">
                  <c:v>3.6200000000000003E-2</c:v>
                </c:pt>
                <c:pt idx="31">
                  <c:v>3.6799999999999999E-2</c:v>
                </c:pt>
                <c:pt idx="32">
                  <c:v>3.7100000000000001E-2</c:v>
                </c:pt>
                <c:pt idx="33">
                  <c:v>3.7199999999999997E-2</c:v>
                </c:pt>
                <c:pt idx="34">
                  <c:v>3.6799999999999999E-2</c:v>
                </c:pt>
                <c:pt idx="35">
                  <c:v>3.6400000000000002E-2</c:v>
                </c:pt>
                <c:pt idx="36">
                  <c:v>3.5900000000000001E-2</c:v>
                </c:pt>
                <c:pt idx="37">
                  <c:v>3.5099999999999999E-2</c:v>
                </c:pt>
                <c:pt idx="38">
                  <c:v>3.4799999999999998E-2</c:v>
                </c:pt>
                <c:pt idx="39">
                  <c:v>3.3799999999999997E-2</c:v>
                </c:pt>
                <c:pt idx="40">
                  <c:v>3.3300000000000003E-2</c:v>
                </c:pt>
                <c:pt idx="41">
                  <c:v>3.4099999999999998E-2</c:v>
                </c:pt>
                <c:pt idx="42">
                  <c:v>3.4599999999999999E-2</c:v>
                </c:pt>
                <c:pt idx="43">
                  <c:v>3.4099999999999998E-2</c:v>
                </c:pt>
                <c:pt idx="44">
                  <c:v>3.0099999999999998E-2</c:v>
                </c:pt>
                <c:pt idx="45">
                  <c:v>2.3400000000000001E-2</c:v>
                </c:pt>
                <c:pt idx="46">
                  <c:v>1.5299999999999999E-2</c:v>
                </c:pt>
                <c:pt idx="47">
                  <c:v>1.06E-2</c:v>
                </c:pt>
                <c:pt idx="48">
                  <c:v>1.0699999999999999E-2</c:v>
                </c:pt>
                <c:pt idx="49">
                  <c:v>1.0800000000000001E-2</c:v>
                </c:pt>
                <c:pt idx="50">
                  <c:v>1.0699999999999999E-2</c:v>
                </c:pt>
                <c:pt idx="51">
                  <c:v>1.0500000000000001E-2</c:v>
                </c:pt>
                <c:pt idx="52">
                  <c:v>1.03E-2</c:v>
                </c:pt>
                <c:pt idx="53">
                  <c:v>0.01</c:v>
                </c:pt>
                <c:pt idx="54">
                  <c:v>9.9000000000000008E-3</c:v>
                </c:pt>
                <c:pt idx="55">
                  <c:v>1.3299999999999999E-2</c:v>
                </c:pt>
                <c:pt idx="56">
                  <c:v>1.4500000000000001E-2</c:v>
                </c:pt>
                <c:pt idx="57">
                  <c:v>1.55E-2</c:v>
                </c:pt>
                <c:pt idx="58">
                  <c:v>1.6500000000000001E-2</c:v>
                </c:pt>
                <c:pt idx="59">
                  <c:v>1.7000000000000001E-2</c:v>
                </c:pt>
                <c:pt idx="60">
                  <c:v>1.7000000000000001E-2</c:v>
                </c:pt>
                <c:pt idx="61">
                  <c:v>1.7000000000000001E-2</c:v>
                </c:pt>
                <c:pt idx="62">
                  <c:v>1.7000000000000001E-2</c:v>
                </c:pt>
                <c:pt idx="63">
                  <c:v>1.7000000000000001E-2</c:v>
                </c:pt>
                <c:pt idx="64">
                  <c:v>1.7000000000000001E-2</c:v>
                </c:pt>
                <c:pt idx="65">
                  <c:v>1.7000000000000001E-2</c:v>
                </c:pt>
                <c:pt idx="66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1F-4821-BBEC-257D93EF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84002"/>
        <c:axId val="1765877784"/>
      </c:lineChart>
      <c:catAx>
        <c:axId val="76284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5877784"/>
        <c:crosses val="autoZero"/>
        <c:auto val="1"/>
        <c:lblAlgn val="ctr"/>
        <c:lblOffset val="100"/>
        <c:noMultiLvlLbl val="1"/>
      </c:catAx>
      <c:valAx>
        <c:axId val="1765877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2840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'Candenat'!$C$1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'Candenat'!$C$2:$C$67</c:f>
              <c:numCache>
                <c:formatCode>#,##0</c:formatCode>
                <c:ptCount val="66"/>
                <c:pt idx="0">
                  <c:v>27332501.14654782</c:v>
                </c:pt>
                <c:pt idx="1">
                  <c:v>26380176.765319776</c:v>
                </c:pt>
                <c:pt idx="2">
                  <c:v>25431578.873344041</c:v>
                </c:pt>
                <c:pt idx="3">
                  <c:v>24488761.553533021</c:v>
                </c:pt>
                <c:pt idx="4">
                  <c:v>23574086.97875724</c:v>
                </c:pt>
                <c:pt idx="5">
                  <c:v>22691391.83632423</c:v>
                </c:pt>
                <c:pt idx="6">
                  <c:v>21850160.651251063</c:v>
                </c:pt>
                <c:pt idx="7">
                  <c:v>21050251.109105069</c:v>
                </c:pt>
                <c:pt idx="8">
                  <c:v>20283533.541245971</c:v>
                </c:pt>
                <c:pt idx="9">
                  <c:v>19552278.331642538</c:v>
                </c:pt>
                <c:pt idx="10">
                  <c:v>18858293.143945351</c:v>
                </c:pt>
                <c:pt idx="11">
                  <c:v>18194204.673367441</c:v>
                </c:pt>
                <c:pt idx="12">
                  <c:v>17563668.957783028</c:v>
                </c:pt>
                <c:pt idx="13">
                  <c:v>16971368.207346633</c:v>
                </c:pt>
                <c:pt idx="14">
                  <c:v>16411728.273229508</c:v>
                </c:pt>
                <c:pt idx="15">
                  <c:v>15879756.432732953</c:v>
                </c:pt>
                <c:pt idx="16">
                  <c:v>15370977.091020186</c:v>
                </c:pt>
                <c:pt idx="17">
                  <c:v>14879939.10069718</c:v>
                </c:pt>
                <c:pt idx="18">
                  <c:v>14397618.868599109</c:v>
                </c:pt>
                <c:pt idx="19">
                  <c:v>13924196.197871478</c:v>
                </c:pt>
                <c:pt idx="20">
                  <c:v>13468945.82885614</c:v>
                </c:pt>
                <c:pt idx="21">
                  <c:v>13033622.826452622</c:v>
                </c:pt>
                <c:pt idx="22">
                  <c:v>12624586.232519006</c:v>
                </c:pt>
                <c:pt idx="23">
                  <c:v>12233126.194301363</c:v>
                </c:pt>
                <c:pt idx="24">
                  <c:v>11845769.530649137</c:v>
                </c:pt>
                <c:pt idx="25">
                  <c:v>11460690.335380357</c:v>
                </c:pt>
                <c:pt idx="26">
                  <c:v>11084911.824528828</c:v>
                </c:pt>
                <c:pt idx="27">
                  <c:v>10719380.934657024</c:v>
                </c:pt>
                <c:pt idx="28">
                  <c:v>10366906.126360757</c:v>
                </c:pt>
                <c:pt idx="29">
                  <c:v>10019238.548720168</c:v>
                </c:pt>
                <c:pt idx="30">
                  <c:v>9669213.0367884263</c:v>
                </c:pt>
                <c:pt idx="31">
                  <c:v>9326015.6604826655</c:v>
                </c:pt>
                <c:pt idx="32">
                  <c:v>8992397.7056047302</c:v>
                </c:pt>
                <c:pt idx="33">
                  <c:v>8669878.235253308</c:v>
                </c:pt>
                <c:pt idx="34">
                  <c:v>8362151.075668701</c:v>
                </c:pt>
                <c:pt idx="35">
                  <c:v>8068459.1621658634</c:v>
                </c:pt>
                <c:pt idx="36">
                  <c:v>7788839.812883351</c:v>
                </c:pt>
                <c:pt idx="37">
                  <c:v>7524722.0682864953</c:v>
                </c:pt>
                <c:pt idx="38">
                  <c:v>7271668.0211504595</c:v>
                </c:pt>
                <c:pt idx="39">
                  <c:v>7033921.4752857992</c:v>
                </c:pt>
                <c:pt idx="40">
                  <c:v>6807240.3709337059</c:v>
                </c:pt>
                <c:pt idx="41">
                  <c:v>6582767.9827228561</c:v>
                </c:pt>
                <c:pt idx="42">
                  <c:v>6362621.2862196565</c:v>
                </c:pt>
                <c:pt idx="43">
                  <c:v>6152810.4498787895</c:v>
                </c:pt>
                <c:pt idx="44">
                  <c:v>5973022.4734285893</c:v>
                </c:pt>
                <c:pt idx="45">
                  <c:v>5836449.5538680758</c:v>
                </c:pt>
                <c:pt idx="46">
                  <c:v>5748497.5414833799</c:v>
                </c:pt>
                <c:pt idx="47">
                  <c:v>5688202.5939871166</c:v>
                </c:pt>
                <c:pt idx="48">
                  <c:v>5627983.1740250485</c:v>
                </c:pt>
                <c:pt idx="49">
                  <c:v>5567850.3898150465</c:v>
                </c:pt>
                <c:pt idx="50">
                  <c:v>5508905.105189519</c:v>
                </c:pt>
                <c:pt idx="51">
                  <c:v>5451662.6473919041</c:v>
                </c:pt>
                <c:pt idx="52">
                  <c:v>5396082.9925684491</c:v>
                </c:pt>
                <c:pt idx="53">
                  <c:v>5342656.4282855932</c:v>
                </c:pt>
                <c:pt idx="54">
                  <c:v>5290282.6302461559</c:v>
                </c:pt>
                <c:pt idx="55">
                  <c:v>5220845.3866043184</c:v>
                </c:pt>
                <c:pt idx="56">
                  <c:v>5146225.1223305259</c:v>
                </c:pt>
                <c:pt idx="57">
                  <c:v>5067676.1421275483</c:v>
                </c:pt>
                <c:pt idx="58">
                  <c:v>4985416.7654968509</c:v>
                </c:pt>
                <c:pt idx="59">
                  <c:v>4902081.3820028035</c:v>
                </c:pt>
                <c:pt idx="60">
                  <c:v>4820139.0186851565</c:v>
                </c:pt>
                <c:pt idx="61">
                  <c:v>4739566.3900542352</c:v>
                </c:pt>
                <c:pt idx="62">
                  <c:v>4660340.5998566719</c:v>
                </c:pt>
                <c:pt idx="63">
                  <c:v>4582439.1345689995</c:v>
                </c:pt>
                <c:pt idx="64">
                  <c:v>4505839.8569999998</c:v>
                </c:pt>
                <c:pt idx="65" formatCode="#,###">
                  <c:v>4430521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2-4363-BAE4-A33A0C238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65839"/>
        <c:axId val="1550457183"/>
      </c:lineChart>
      <c:catAx>
        <c:axId val="2476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0457183"/>
        <c:crosses val="autoZero"/>
        <c:auto val="1"/>
        <c:lblAlgn val="ctr"/>
        <c:lblOffset val="100"/>
        <c:noMultiLvlLbl val="1"/>
      </c:catAx>
      <c:valAx>
        <c:axId val="155045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7658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'Canldives'!$D$1:$D$67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4.1500000000000002E-2</c:v>
                </c:pt>
                <c:pt idx="2">
                  <c:v>4.7800000000000002E-2</c:v>
                </c:pt>
                <c:pt idx="3">
                  <c:v>3.5900000000000001E-2</c:v>
                </c:pt>
                <c:pt idx="4">
                  <c:v>1.1599999999999999E-2</c:v>
                </c:pt>
                <c:pt idx="5">
                  <c:v>-2.7699999999999999E-2</c:v>
                </c:pt>
                <c:pt idx="6">
                  <c:v>4.1700000000000001E-2</c:v>
                </c:pt>
                <c:pt idx="7">
                  <c:v>6.5699999999999995E-2</c:v>
                </c:pt>
                <c:pt idx="8">
                  <c:v>5.9900000000000002E-2</c:v>
                </c:pt>
                <c:pt idx="9">
                  <c:v>7.8899999999999998E-2</c:v>
                </c:pt>
                <c:pt idx="10">
                  <c:v>7.7499999999999999E-2</c:v>
                </c:pt>
                <c:pt idx="11">
                  <c:v>7.5999999999999998E-2</c:v>
                </c:pt>
                <c:pt idx="12">
                  <c:v>7.46E-2</c:v>
                </c:pt>
                <c:pt idx="13">
                  <c:v>7.3200000000000001E-2</c:v>
                </c:pt>
                <c:pt idx="14">
                  <c:v>7.1800000000000003E-2</c:v>
                </c:pt>
                <c:pt idx="15">
                  <c:v>3.6499999999999998E-2</c:v>
                </c:pt>
                <c:pt idx="16">
                  <c:v>2.64E-2</c:v>
                </c:pt>
                <c:pt idx="17">
                  <c:v>2.63E-2</c:v>
                </c:pt>
                <c:pt idx="18">
                  <c:v>2.63E-2</c:v>
                </c:pt>
                <c:pt idx="19">
                  <c:v>2.64E-2</c:v>
                </c:pt>
                <c:pt idx="20">
                  <c:v>2.63E-2</c:v>
                </c:pt>
                <c:pt idx="21">
                  <c:v>2.63E-2</c:v>
                </c:pt>
                <c:pt idx="22">
                  <c:v>2.63E-2</c:v>
                </c:pt>
                <c:pt idx="23">
                  <c:v>2.63E-2</c:v>
                </c:pt>
                <c:pt idx="24">
                  <c:v>2.63E-2</c:v>
                </c:pt>
                <c:pt idx="25">
                  <c:v>-2.3099999999999999E-2</c:v>
                </c:pt>
                <c:pt idx="26">
                  <c:v>3.4500000000000003E-2</c:v>
                </c:pt>
                <c:pt idx="27">
                  <c:v>3.56E-2</c:v>
                </c:pt>
                <c:pt idx="28">
                  <c:v>3.6200000000000003E-2</c:v>
                </c:pt>
                <c:pt idx="29">
                  <c:v>3.6499999999999998E-2</c:v>
                </c:pt>
                <c:pt idx="30">
                  <c:v>3.6299999999999999E-2</c:v>
                </c:pt>
                <c:pt idx="31">
                  <c:v>3.5999999999999997E-2</c:v>
                </c:pt>
                <c:pt idx="32">
                  <c:v>3.5400000000000001E-2</c:v>
                </c:pt>
                <c:pt idx="33">
                  <c:v>3.4799999999999998E-2</c:v>
                </c:pt>
                <c:pt idx="34">
                  <c:v>3.5400000000000001E-2</c:v>
                </c:pt>
                <c:pt idx="35">
                  <c:v>3.9699999999999999E-2</c:v>
                </c:pt>
                <c:pt idx="36">
                  <c:v>4.4200000000000003E-2</c:v>
                </c:pt>
                <c:pt idx="37">
                  <c:v>4.5900000000000003E-2</c:v>
                </c:pt>
                <c:pt idx="38">
                  <c:v>4.7500000000000001E-2</c:v>
                </c:pt>
                <c:pt idx="39">
                  <c:v>4.9000000000000002E-2</c:v>
                </c:pt>
                <c:pt idx="40">
                  <c:v>5.0299999999999997E-2</c:v>
                </c:pt>
                <c:pt idx="41">
                  <c:v>5.1499999999999997E-2</c:v>
                </c:pt>
                <c:pt idx="42">
                  <c:v>5.2299999999999999E-2</c:v>
                </c:pt>
                <c:pt idx="43">
                  <c:v>5.3100000000000001E-2</c:v>
                </c:pt>
                <c:pt idx="44">
                  <c:v>4.8099999999999997E-2</c:v>
                </c:pt>
                <c:pt idx="45">
                  <c:v>2.5999999999999999E-2</c:v>
                </c:pt>
                <c:pt idx="46">
                  <c:v>1.0500000000000001E-2</c:v>
                </c:pt>
                <c:pt idx="47">
                  <c:v>1.4200000000000001E-2</c:v>
                </c:pt>
                <c:pt idx="48">
                  <c:v>2.3800000000000002E-2</c:v>
                </c:pt>
                <c:pt idx="49">
                  <c:v>3.15E-2</c:v>
                </c:pt>
                <c:pt idx="50">
                  <c:v>3.27E-2</c:v>
                </c:pt>
                <c:pt idx="51">
                  <c:v>3.5700000000000003E-2</c:v>
                </c:pt>
                <c:pt idx="52">
                  <c:v>3.85E-2</c:v>
                </c:pt>
                <c:pt idx="53">
                  <c:v>3.9100000000000003E-2</c:v>
                </c:pt>
                <c:pt idx="54">
                  <c:v>3.9800000000000002E-2</c:v>
                </c:pt>
                <c:pt idx="55">
                  <c:v>4.07E-2</c:v>
                </c:pt>
                <c:pt idx="56">
                  <c:v>4.07E-2</c:v>
                </c:pt>
                <c:pt idx="57">
                  <c:v>4.0500000000000001E-2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3.9E-2</c:v>
                </c:pt>
                <c:pt idx="64">
                  <c:v>3.7999999999999999E-2</c:v>
                </c:pt>
                <c:pt idx="65">
                  <c:v>3.6999999999999998E-2</c:v>
                </c:pt>
                <c:pt idx="66">
                  <c:v>3.5000000000000003E-2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60-4763-8D65-1E27C3CFC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668777"/>
        <c:axId val="734304747"/>
      </c:lineChart>
      <c:catAx>
        <c:axId val="437668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4304747"/>
        <c:crosses val="autoZero"/>
        <c:auto val="1"/>
        <c:lblAlgn val="ctr"/>
        <c:lblOffset val="100"/>
        <c:noMultiLvlLbl val="1"/>
      </c:catAx>
      <c:valAx>
        <c:axId val="734304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76687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'Canldives'!$C$1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'Canldives'!$C$2:$C$67</c:f>
              <c:numCache>
                <c:formatCode>#,##0</c:formatCode>
                <c:ptCount val="66"/>
                <c:pt idx="0">
                  <c:v>759112.55201123783</c:v>
                </c:pt>
                <c:pt idx="1">
                  <c:v>728864.66827771266</c:v>
                </c:pt>
                <c:pt idx="2">
                  <c:v>695614.30452158104</c:v>
                </c:pt>
                <c:pt idx="3">
                  <c:v>671507.19617876341</c:v>
                </c:pt>
                <c:pt idx="4">
                  <c:v>663807.03457766247</c:v>
                </c:pt>
                <c:pt idx="5">
                  <c:v>682718.33238471916</c:v>
                </c:pt>
                <c:pt idx="6">
                  <c:v>655388.62665327743</c:v>
                </c:pt>
                <c:pt idx="7">
                  <c:v>614984.16688869044</c:v>
                </c:pt>
                <c:pt idx="8">
                  <c:v>580228.48088375351</c:v>
                </c:pt>
                <c:pt idx="9">
                  <c:v>537796.34895148163</c:v>
                </c:pt>
                <c:pt idx="10">
                  <c:v>499114.9410222568</c:v>
                </c:pt>
                <c:pt idx="11">
                  <c:v>463861.46935153974</c:v>
                </c:pt>
                <c:pt idx="12">
                  <c:v>431659.65880470851</c:v>
                </c:pt>
                <c:pt idx="13">
                  <c:v>402217.3488676002</c:v>
                </c:pt>
                <c:pt idx="14">
                  <c:v>375272.76438477344</c:v>
                </c:pt>
                <c:pt idx="15">
                  <c:v>362057.65980200045</c:v>
                </c:pt>
                <c:pt idx="16">
                  <c:v>352745.1868686676</c:v>
                </c:pt>
                <c:pt idx="17">
                  <c:v>343705.72626782383</c:v>
                </c:pt>
                <c:pt idx="18">
                  <c:v>334897.91120318021</c:v>
                </c:pt>
                <c:pt idx="19">
                  <c:v>326284.01325329329</c:v>
                </c:pt>
                <c:pt idx="20">
                  <c:v>317922.64762086456</c:v>
                </c:pt>
                <c:pt idx="21">
                  <c:v>309775.55063905736</c:v>
                </c:pt>
                <c:pt idx="22">
                  <c:v>301837.23145187309</c:v>
                </c:pt>
                <c:pt idx="23">
                  <c:v>294102.33991218271</c:v>
                </c:pt>
                <c:pt idx="24">
                  <c:v>286565.66297591612</c:v>
                </c:pt>
                <c:pt idx="25">
                  <c:v>293341.85994054266</c:v>
                </c:pt>
                <c:pt idx="26">
                  <c:v>283559.07195799192</c:v>
                </c:pt>
                <c:pt idx="27">
                  <c:v>273811.38659520267</c:v>
                </c:pt>
                <c:pt idx="28">
                  <c:v>264245.69252576982</c:v>
                </c:pt>
                <c:pt idx="29">
                  <c:v>254940.3690552531</c:v>
                </c:pt>
                <c:pt idx="30">
                  <c:v>246010.19883745353</c:v>
                </c:pt>
                <c:pt idx="31">
                  <c:v>237461.5818894339</c:v>
                </c:pt>
                <c:pt idx="32">
                  <c:v>229342.84517040165</c:v>
                </c:pt>
                <c:pt idx="33">
                  <c:v>221630.11709547898</c:v>
                </c:pt>
                <c:pt idx="34">
                  <c:v>214052.65317314948</c:v>
                </c:pt>
                <c:pt idx="35">
                  <c:v>205879.24706468161</c:v>
                </c:pt>
                <c:pt idx="36">
                  <c:v>197164.57294070255</c:v>
                </c:pt>
                <c:pt idx="37">
                  <c:v>188511.87775189074</c:v>
                </c:pt>
                <c:pt idx="38">
                  <c:v>179963.60644571908</c:v>
                </c:pt>
                <c:pt idx="39">
                  <c:v>171557.298804308</c:v>
                </c:pt>
                <c:pt idx="40">
                  <c:v>163341.23469895078</c:v>
                </c:pt>
                <c:pt idx="41">
                  <c:v>155341.16471607299</c:v>
                </c:pt>
                <c:pt idx="42">
                  <c:v>147620.60697146534</c:v>
                </c:pt>
                <c:pt idx="43">
                  <c:v>140177.19776988449</c:v>
                </c:pt>
                <c:pt idx="44">
                  <c:v>133744.10625883454</c:v>
                </c:pt>
                <c:pt idx="45">
                  <c:v>130354.87939457556</c:v>
                </c:pt>
                <c:pt idx="46">
                  <c:v>129000.37545232615</c:v>
                </c:pt>
                <c:pt idx="47">
                  <c:v>127194.21756293251</c:v>
                </c:pt>
                <c:pt idx="48">
                  <c:v>124237.36819977779</c:v>
                </c:pt>
                <c:pt idx="49">
                  <c:v>120443.4010661927</c:v>
                </c:pt>
                <c:pt idx="50">
                  <c:v>116629.61272992419</c:v>
                </c:pt>
                <c:pt idx="51">
                  <c:v>112609.45517999824</c:v>
                </c:pt>
                <c:pt idx="52">
                  <c:v>108434.71851709027</c:v>
                </c:pt>
                <c:pt idx="53">
                  <c:v>104354.45916378623</c:v>
                </c:pt>
                <c:pt idx="54">
                  <c:v>100360.12614328355</c:v>
                </c:pt>
                <c:pt idx="55">
                  <c:v>96435.212975193193</c:v>
                </c:pt>
                <c:pt idx="56">
                  <c:v>92663.796459299701</c:v>
                </c:pt>
                <c:pt idx="57">
                  <c:v>89056.988427967037</c:v>
                </c:pt>
                <c:pt idx="58">
                  <c:v>85631.719642275988</c:v>
                </c:pt>
                <c:pt idx="59">
                  <c:v>82338.191963726902</c:v>
                </c:pt>
                <c:pt idx="60">
                  <c:v>79171.338426660484</c:v>
                </c:pt>
                <c:pt idx="61">
                  <c:v>76126.286948712004</c:v>
                </c:pt>
                <c:pt idx="62">
                  <c:v>73198.3528353</c:v>
                </c:pt>
                <c:pt idx="63">
                  <c:v>70450.772700000001</c:v>
                </c:pt>
                <c:pt idx="64">
                  <c:v>67871.649999999994</c:v>
                </c:pt>
                <c:pt idx="65">
                  <c:v>65450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1-41B5-9F0D-CFE05B19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552760"/>
        <c:axId val="755263433"/>
      </c:lineChart>
      <c:catAx>
        <c:axId val="764552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5263433"/>
        <c:crosses val="autoZero"/>
        <c:auto val="1"/>
        <c:lblAlgn val="ctr"/>
        <c:lblOffset val="100"/>
        <c:noMultiLvlLbl val="1"/>
      </c:catAx>
      <c:valAx>
        <c:axId val="755263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5527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'Chaenia'!$D$1:$D$67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3.3999999999999998E-3</c:v>
                </c:pt>
                <c:pt idx="2">
                  <c:v>3.7000000000000002E-3</c:v>
                </c:pt>
                <c:pt idx="3">
                  <c:v>4.0000000000000001E-3</c:v>
                </c:pt>
                <c:pt idx="4">
                  <c:v>4.3E-3</c:v>
                </c:pt>
                <c:pt idx="5">
                  <c:v>4.4999999999999997E-3</c:v>
                </c:pt>
                <c:pt idx="6">
                  <c:v>4.7000000000000002E-3</c:v>
                </c:pt>
                <c:pt idx="7">
                  <c:v>4.7999999999999996E-3</c:v>
                </c:pt>
                <c:pt idx="8">
                  <c:v>4.8999999999999998E-3</c:v>
                </c:pt>
                <c:pt idx="9">
                  <c:v>5.0000000000000001E-3</c:v>
                </c:pt>
                <c:pt idx="10">
                  <c:v>5.3E-3</c:v>
                </c:pt>
                <c:pt idx="11">
                  <c:v>5.5999999999999999E-3</c:v>
                </c:pt>
                <c:pt idx="12">
                  <c:v>6.1000000000000004E-3</c:v>
                </c:pt>
                <c:pt idx="13">
                  <c:v>6.4999999999999997E-3</c:v>
                </c:pt>
                <c:pt idx="14">
                  <c:v>6.8999999999999999E-3</c:v>
                </c:pt>
                <c:pt idx="15">
                  <c:v>7.4999999999999997E-3</c:v>
                </c:pt>
                <c:pt idx="16">
                  <c:v>8.3000000000000001E-3</c:v>
                </c:pt>
                <c:pt idx="17">
                  <c:v>9.2999999999999992E-3</c:v>
                </c:pt>
                <c:pt idx="18">
                  <c:v>1.0500000000000001E-2</c:v>
                </c:pt>
                <c:pt idx="19">
                  <c:v>1.1599999999999999E-2</c:v>
                </c:pt>
                <c:pt idx="20">
                  <c:v>1.21E-2</c:v>
                </c:pt>
                <c:pt idx="21">
                  <c:v>1.1900000000000001E-2</c:v>
                </c:pt>
                <c:pt idx="22">
                  <c:v>1.11E-2</c:v>
                </c:pt>
                <c:pt idx="23">
                  <c:v>1.01E-2</c:v>
                </c:pt>
                <c:pt idx="24">
                  <c:v>9.1999999999999998E-3</c:v>
                </c:pt>
                <c:pt idx="25">
                  <c:v>9.1000000000000004E-3</c:v>
                </c:pt>
                <c:pt idx="26">
                  <c:v>1.01E-2</c:v>
                </c:pt>
                <c:pt idx="27">
                  <c:v>1.1900000000000001E-2</c:v>
                </c:pt>
                <c:pt idx="28">
                  <c:v>1.41E-2</c:v>
                </c:pt>
                <c:pt idx="29">
                  <c:v>1.6E-2</c:v>
                </c:pt>
                <c:pt idx="30">
                  <c:v>1.7500000000000002E-2</c:v>
                </c:pt>
                <c:pt idx="31">
                  <c:v>1.8200000000000001E-2</c:v>
                </c:pt>
                <c:pt idx="32">
                  <c:v>1.83E-2</c:v>
                </c:pt>
                <c:pt idx="33">
                  <c:v>1.8200000000000001E-2</c:v>
                </c:pt>
                <c:pt idx="34">
                  <c:v>1.84E-2</c:v>
                </c:pt>
                <c:pt idx="35">
                  <c:v>1.8599999999999998E-2</c:v>
                </c:pt>
                <c:pt idx="36">
                  <c:v>1.9199999999999998E-2</c:v>
                </c:pt>
                <c:pt idx="37">
                  <c:v>2.01E-2</c:v>
                </c:pt>
                <c:pt idx="38">
                  <c:v>2.1000000000000001E-2</c:v>
                </c:pt>
                <c:pt idx="39">
                  <c:v>2.18E-2</c:v>
                </c:pt>
                <c:pt idx="40">
                  <c:v>2.2700000000000001E-2</c:v>
                </c:pt>
                <c:pt idx="41">
                  <c:v>2.3699999999999999E-2</c:v>
                </c:pt>
                <c:pt idx="42">
                  <c:v>2.4799999999999999E-2</c:v>
                </c:pt>
                <c:pt idx="43">
                  <c:v>2.5999999999999999E-2</c:v>
                </c:pt>
                <c:pt idx="44">
                  <c:v>2.7199999999999998E-2</c:v>
                </c:pt>
                <c:pt idx="45">
                  <c:v>2.8199999999999999E-2</c:v>
                </c:pt>
                <c:pt idx="46">
                  <c:v>2.8899999999999999E-2</c:v>
                </c:pt>
                <c:pt idx="47">
                  <c:v>2.92E-2</c:v>
                </c:pt>
                <c:pt idx="48">
                  <c:v>2.9499999999999998E-2</c:v>
                </c:pt>
                <c:pt idx="49">
                  <c:v>2.98E-2</c:v>
                </c:pt>
                <c:pt idx="50">
                  <c:v>0.03</c:v>
                </c:pt>
                <c:pt idx="51">
                  <c:v>3.0200000000000001E-2</c:v>
                </c:pt>
                <c:pt idx="52">
                  <c:v>3.04E-2</c:v>
                </c:pt>
                <c:pt idx="53">
                  <c:v>3.0499999999999999E-2</c:v>
                </c:pt>
                <c:pt idx="54">
                  <c:v>3.0499999999999999E-2</c:v>
                </c:pt>
                <c:pt idx="55">
                  <c:v>3.0499999999999999E-2</c:v>
                </c:pt>
                <c:pt idx="56">
                  <c:v>3.0499999999999999E-2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0.03</c:v>
                </c:pt>
                <c:pt idx="63">
                  <c:v>2.9000000000000001E-2</c:v>
                </c:pt>
                <c:pt idx="64">
                  <c:v>2.8000000000000001E-2</c:v>
                </c:pt>
                <c:pt idx="65">
                  <c:v>2.7E-2</c:v>
                </c:pt>
                <c:pt idx="66">
                  <c:v>2.5000000000000001E-2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F1-45E1-A89C-E81CCDF2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604479"/>
        <c:axId val="1875108046"/>
      </c:lineChart>
      <c:catAx>
        <c:axId val="190660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5108046"/>
        <c:crosses val="autoZero"/>
        <c:auto val="1"/>
        <c:lblAlgn val="ctr"/>
        <c:lblOffset val="100"/>
        <c:noMultiLvlLbl val="1"/>
      </c:catAx>
      <c:valAx>
        <c:axId val="1875108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66044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'Chaenia'!$C$1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'Chaenia'!$C$2:$C$67</c:f>
              <c:numCache>
                <c:formatCode>#,##0</c:formatCode>
                <c:ptCount val="66"/>
                <c:pt idx="0">
                  <c:v>13814433.413694233</c:v>
                </c:pt>
                <c:pt idx="1">
                  <c:v>13767623.49381526</c:v>
                </c:pt>
                <c:pt idx="2">
                  <c:v>13716871.070853103</c:v>
                </c:pt>
                <c:pt idx="3">
                  <c:v>13662222.182124605</c:v>
                </c:pt>
                <c:pt idx="4">
                  <c:v>13603726.159638161</c:v>
                </c:pt>
                <c:pt idx="5">
                  <c:v>13542783.633288363</c:v>
                </c:pt>
                <c:pt idx="6">
                  <c:v>13479430.310827475</c:v>
                </c:pt>
                <c:pt idx="7">
                  <c:v>13415038.127813969</c:v>
                </c:pt>
                <c:pt idx="8">
                  <c:v>13349624.965483103</c:v>
                </c:pt>
                <c:pt idx="9">
                  <c:v>13283208.92087871</c:v>
                </c:pt>
                <c:pt idx="10">
                  <c:v>13213179.071798179</c:v>
                </c:pt>
                <c:pt idx="11">
                  <c:v>13139597.326768277</c:v>
                </c:pt>
                <c:pt idx="12">
                  <c:v>13059931.743135152</c:v>
                </c:pt>
                <c:pt idx="13">
                  <c:v>12975590.405499406</c:v>
                </c:pt>
                <c:pt idx="14">
                  <c:v>12886672.366172815</c:v>
                </c:pt>
                <c:pt idx="15">
                  <c:v>12790741.802652918</c:v>
                </c:pt>
                <c:pt idx="16">
                  <c:v>12685452.546516828</c:v>
                </c:pt>
                <c:pt idx="17">
                  <c:v>12568564.893011818</c:v>
                </c:pt>
                <c:pt idx="18">
                  <c:v>12437966.247413972</c:v>
                </c:pt>
                <c:pt idx="19">
                  <c:v>12295340.299934728</c:v>
                </c:pt>
                <c:pt idx="20">
                  <c:v>12148345.321544046</c:v>
                </c:pt>
                <c:pt idx="21">
                  <c:v>12005480.108255802</c:v>
                </c:pt>
                <c:pt idx="22">
                  <c:v>11873682.235442391</c:v>
                </c:pt>
                <c:pt idx="23">
                  <c:v>11754957.168045135</c:v>
                </c:pt>
                <c:pt idx="24">
                  <c:v>11647797.431673735</c:v>
                </c:pt>
                <c:pt idx="25">
                  <c:v>11542758.330862882</c:v>
                </c:pt>
                <c:pt idx="26">
                  <c:v>11427342.174896428</c:v>
                </c:pt>
                <c:pt idx="27">
                  <c:v>11292955.99851411</c:v>
                </c:pt>
                <c:pt idx="28">
                  <c:v>11135939.255018352</c:v>
                </c:pt>
                <c:pt idx="29">
                  <c:v>10960570.132892078</c:v>
                </c:pt>
                <c:pt idx="30">
                  <c:v>10772059.098665431</c:v>
                </c:pt>
                <c:pt idx="31">
                  <c:v>10579511.980618181</c:v>
                </c:pt>
                <c:pt idx="32">
                  <c:v>10389386.212921714</c:v>
                </c:pt>
                <c:pt idx="33">
                  <c:v>10203679.250561494</c:v>
                </c:pt>
                <c:pt idx="34">
                  <c:v>10019323.694581201</c:v>
                </c:pt>
                <c:pt idx="35">
                  <c:v>9836367.2634804659</c:v>
                </c:pt>
                <c:pt idx="36">
                  <c:v>9651066.7812798917</c:v>
                </c:pt>
                <c:pt idx="37">
                  <c:v>9460902.6382510457</c:v>
                </c:pt>
                <c:pt idx="38">
                  <c:v>9266310.1256131697</c:v>
                </c:pt>
                <c:pt idx="39">
                  <c:v>9068614.3331504893</c:v>
                </c:pt>
                <c:pt idx="40">
                  <c:v>8867326.0322191156</c:v>
                </c:pt>
                <c:pt idx="41">
                  <c:v>8662035.7841351125</c:v>
                </c:pt>
                <c:pt idx="42">
                  <c:v>8452415.8705455828</c:v>
                </c:pt>
                <c:pt idx="43">
                  <c:v>8238222.0960483253</c:v>
                </c:pt>
                <c:pt idx="44">
                  <c:v>8020076.0280844299</c:v>
                </c:pt>
                <c:pt idx="45">
                  <c:v>7800112.8458319688</c:v>
                </c:pt>
                <c:pt idx="46">
                  <c:v>7581021.3294119639</c:v>
                </c:pt>
                <c:pt idx="47">
                  <c:v>7365935.9982626941</c:v>
                </c:pt>
                <c:pt idx="48">
                  <c:v>7154867.4096772159</c:v>
                </c:pt>
                <c:pt idx="49">
                  <c:v>6947822.3049885565</c:v>
                </c:pt>
                <c:pt idx="50">
                  <c:v>6745458.5485325791</c:v>
                </c:pt>
                <c:pt idx="51">
                  <c:v>6547717.4806179181</c:v>
                </c:pt>
                <c:pt idx="52">
                  <c:v>6354539.4804133521</c:v>
                </c:pt>
                <c:pt idx="53">
                  <c:v>6166462.3778877752</c:v>
                </c:pt>
                <c:pt idx="54">
                  <c:v>5983951.8465674678</c:v>
                </c:pt>
                <c:pt idx="55">
                  <c:v>5806843.1310698381</c:v>
                </c:pt>
                <c:pt idx="56">
                  <c:v>5634976.3523239577</c:v>
                </c:pt>
                <c:pt idx="57">
                  <c:v>5470850.8274989882</c:v>
                </c:pt>
                <c:pt idx="58">
                  <c:v>5311505.6577660078</c:v>
                </c:pt>
                <c:pt idx="59">
                  <c:v>5156801.609481561</c:v>
                </c:pt>
                <c:pt idx="60">
                  <c:v>5006603.5043510301</c:v>
                </c:pt>
                <c:pt idx="61">
                  <c:v>4860780.1013116799</c:v>
                </c:pt>
                <c:pt idx="62">
                  <c:v>4719203.9818559997</c:v>
                </c:pt>
                <c:pt idx="63">
                  <c:v>4586204.0640000002</c:v>
                </c:pt>
                <c:pt idx="64">
                  <c:v>4461288</c:v>
                </c:pt>
                <c:pt idx="65">
                  <c:v>4344000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A-4955-8832-34DFA27C8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795392"/>
        <c:axId val="1370625471"/>
      </c:lineChart>
      <c:catAx>
        <c:axId val="9337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625471"/>
        <c:crosses val="autoZero"/>
        <c:auto val="1"/>
        <c:lblAlgn val="ctr"/>
        <c:lblOffset val="100"/>
        <c:noMultiLvlLbl val="1"/>
      </c:catAx>
      <c:valAx>
        <c:axId val="1370625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37953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'Cloja'!$D$1:$D$67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1.95E-2</c:v>
                </c:pt>
                <c:pt idx="2">
                  <c:v>1.9800000000000002E-2</c:v>
                </c:pt>
                <c:pt idx="3">
                  <c:v>2.0799999999999999E-2</c:v>
                </c:pt>
                <c:pt idx="4">
                  <c:v>2.1999999999999999E-2</c:v>
                </c:pt>
                <c:pt idx="5">
                  <c:v>2.3300000000000001E-2</c:v>
                </c:pt>
                <c:pt idx="6">
                  <c:v>2.4199999999999999E-2</c:v>
                </c:pt>
                <c:pt idx="7">
                  <c:v>2.52E-2</c:v>
                </c:pt>
                <c:pt idx="8">
                  <c:v>2.7E-2</c:v>
                </c:pt>
                <c:pt idx="9">
                  <c:v>2.86E-2</c:v>
                </c:pt>
                <c:pt idx="10">
                  <c:v>2.9399999999999999E-2</c:v>
                </c:pt>
                <c:pt idx="11">
                  <c:v>2.7300000000000001E-2</c:v>
                </c:pt>
                <c:pt idx="12">
                  <c:v>2.7300000000000001E-2</c:v>
                </c:pt>
                <c:pt idx="13">
                  <c:v>2.7300000000000001E-2</c:v>
                </c:pt>
                <c:pt idx="14">
                  <c:v>2.7300000000000001E-2</c:v>
                </c:pt>
                <c:pt idx="15">
                  <c:v>2.7300000000000001E-2</c:v>
                </c:pt>
                <c:pt idx="16">
                  <c:v>2.7300000000000001E-2</c:v>
                </c:pt>
                <c:pt idx="17">
                  <c:v>2.7300000000000001E-2</c:v>
                </c:pt>
                <c:pt idx="18">
                  <c:v>2.8299999999999999E-2</c:v>
                </c:pt>
                <c:pt idx="19">
                  <c:v>2.9499999999999998E-2</c:v>
                </c:pt>
                <c:pt idx="20">
                  <c:v>3.2399999999999998E-2</c:v>
                </c:pt>
                <c:pt idx="21">
                  <c:v>3.9600000000000003E-2</c:v>
                </c:pt>
                <c:pt idx="22">
                  <c:v>7.7700000000000005E-2</c:v>
                </c:pt>
                <c:pt idx="23">
                  <c:v>3.73E-2</c:v>
                </c:pt>
                <c:pt idx="24">
                  <c:v>2.6700000000000002E-2</c:v>
                </c:pt>
                <c:pt idx="25">
                  <c:v>2.3300000000000001E-2</c:v>
                </c:pt>
                <c:pt idx="26">
                  <c:v>2.06E-2</c:v>
                </c:pt>
                <c:pt idx="27">
                  <c:v>1.9099999999999999E-2</c:v>
                </c:pt>
                <c:pt idx="28">
                  <c:v>1.6899999999999998E-2</c:v>
                </c:pt>
                <c:pt idx="29">
                  <c:v>1.5800000000000002E-2</c:v>
                </c:pt>
                <c:pt idx="30">
                  <c:v>1.4999999999999999E-2</c:v>
                </c:pt>
                <c:pt idx="31">
                  <c:v>1.43E-2</c:v>
                </c:pt>
                <c:pt idx="32">
                  <c:v>1.3299999999999999E-2</c:v>
                </c:pt>
                <c:pt idx="33">
                  <c:v>1.2699999999999999E-2</c:v>
                </c:pt>
                <c:pt idx="34">
                  <c:v>1.2999999999999999E-2</c:v>
                </c:pt>
                <c:pt idx="35">
                  <c:v>1.6199999999999999E-2</c:v>
                </c:pt>
                <c:pt idx="36">
                  <c:v>1.7299999999999999E-2</c:v>
                </c:pt>
                <c:pt idx="37">
                  <c:v>1.5699999999999999E-2</c:v>
                </c:pt>
                <c:pt idx="38">
                  <c:v>1.6799999999999999E-2</c:v>
                </c:pt>
                <c:pt idx="39">
                  <c:v>1.7399999999999999E-2</c:v>
                </c:pt>
                <c:pt idx="40">
                  <c:v>1.5699999999999999E-2</c:v>
                </c:pt>
                <c:pt idx="41">
                  <c:v>1.23E-2</c:v>
                </c:pt>
                <c:pt idx="42">
                  <c:v>1.3599999999999999E-2</c:v>
                </c:pt>
                <c:pt idx="43">
                  <c:v>1.7100000000000001E-2</c:v>
                </c:pt>
                <c:pt idx="44">
                  <c:v>1.7600000000000001E-2</c:v>
                </c:pt>
                <c:pt idx="45">
                  <c:v>1.77E-2</c:v>
                </c:pt>
                <c:pt idx="46">
                  <c:v>2.0500000000000001E-2</c:v>
                </c:pt>
                <c:pt idx="47">
                  <c:v>3.32E-2</c:v>
                </c:pt>
                <c:pt idx="48">
                  <c:v>4.2000000000000003E-2</c:v>
                </c:pt>
                <c:pt idx="49">
                  <c:v>4.9200000000000001E-2</c:v>
                </c:pt>
                <c:pt idx="50">
                  <c:v>-5.6300000000000003E-2</c:v>
                </c:pt>
                <c:pt idx="51">
                  <c:v>-0.1736</c:v>
                </c:pt>
                <c:pt idx="52">
                  <c:v>-0.1215</c:v>
                </c:pt>
                <c:pt idx="53">
                  <c:v>1.4999999999999999E-2</c:v>
                </c:pt>
                <c:pt idx="54">
                  <c:v>1.4999999999999999E-2</c:v>
                </c:pt>
                <c:pt idx="55">
                  <c:v>1.4999999999999999E-2</c:v>
                </c:pt>
                <c:pt idx="56">
                  <c:v>1.4999999999999999E-2</c:v>
                </c:pt>
                <c:pt idx="57">
                  <c:v>1.4999999999999999E-2</c:v>
                </c:pt>
                <c:pt idx="58">
                  <c:v>1.4999999999999999E-2</c:v>
                </c:pt>
                <c:pt idx="59">
                  <c:v>1.4999999999999999E-2</c:v>
                </c:pt>
                <c:pt idx="60">
                  <c:v>1.4500000000000001E-2</c:v>
                </c:pt>
                <c:pt idx="61">
                  <c:v>1.4500000000000001E-2</c:v>
                </c:pt>
                <c:pt idx="62">
                  <c:v>1.4500000000000001E-2</c:v>
                </c:pt>
                <c:pt idx="63">
                  <c:v>1.4E-2</c:v>
                </c:pt>
                <c:pt idx="64">
                  <c:v>1.4E-2</c:v>
                </c:pt>
                <c:pt idx="65">
                  <c:v>1.35E-2</c:v>
                </c:pt>
                <c:pt idx="66">
                  <c:v>1.2999999999999999E-2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25-48FD-B3C5-FB8215177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541481"/>
        <c:axId val="1746891395"/>
      </c:lineChart>
      <c:catAx>
        <c:axId val="593541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6891395"/>
        <c:crosses val="autoZero"/>
        <c:auto val="1"/>
        <c:lblAlgn val="ctr"/>
        <c:lblOffset val="100"/>
        <c:noMultiLvlLbl val="1"/>
      </c:catAx>
      <c:valAx>
        <c:axId val="1746891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35414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'Cloja'!$C$1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'Cloja'!$C$2:$C$67</c:f>
              <c:numCache>
                <c:formatCode>#,##0</c:formatCode>
                <c:ptCount val="66"/>
                <c:pt idx="0">
                  <c:v>47883.335440057759</c:v>
                </c:pt>
                <c:pt idx="1">
                  <c:v>46967.469779360232</c:v>
                </c:pt>
                <c:pt idx="2">
                  <c:v>46055.56950319693</c:v>
                </c:pt>
                <c:pt idx="3">
                  <c:v>45117.133134009535</c:v>
                </c:pt>
                <c:pt idx="4">
                  <c:v>44145.922831711876</c:v>
                </c:pt>
                <c:pt idx="5">
                  <c:v>43140.743507976033</c:v>
                </c:pt>
                <c:pt idx="6">
                  <c:v>42121.405494997103</c:v>
                </c:pt>
                <c:pt idx="7">
                  <c:v>41086.037353684267</c:v>
                </c:pt>
                <c:pt idx="8">
                  <c:v>40005.878630656545</c:v>
                </c:pt>
                <c:pt idx="9">
                  <c:v>38893.523848586963</c:v>
                </c:pt>
                <c:pt idx="10">
                  <c:v>37782.712112480047</c:v>
                </c:pt>
                <c:pt idx="11">
                  <c:v>36778.654835471665</c:v>
                </c:pt>
                <c:pt idx="12">
                  <c:v>35801.27989435575</c:v>
                </c:pt>
                <c:pt idx="13">
                  <c:v>34849.878218977654</c:v>
                </c:pt>
                <c:pt idx="14">
                  <c:v>33923.759582378712</c:v>
                </c:pt>
                <c:pt idx="15">
                  <c:v>33022.252100047415</c:v>
                </c:pt>
                <c:pt idx="16">
                  <c:v>32144.70174247777</c:v>
                </c:pt>
                <c:pt idx="17">
                  <c:v>31290.471860681169</c:v>
                </c:pt>
                <c:pt idx="18">
                  <c:v>30429.322046757919</c:v>
                </c:pt>
                <c:pt idx="19">
                  <c:v>29557.379355762911</c:v>
                </c:pt>
                <c:pt idx="20">
                  <c:v>28629.774656879999</c:v>
                </c:pt>
                <c:pt idx="21">
                  <c:v>27539.221486033086</c:v>
                </c:pt>
                <c:pt idx="22">
                  <c:v>25553.699068417078</c:v>
                </c:pt>
                <c:pt idx="23">
                  <c:v>24634.820272261713</c:v>
                </c:pt>
                <c:pt idx="24">
                  <c:v>23994.175778963392</c:v>
                </c:pt>
                <c:pt idx="25">
                  <c:v>23447.841081758419</c:v>
                </c:pt>
                <c:pt idx="26">
                  <c:v>22974.565041895374</c:v>
                </c:pt>
                <c:pt idx="27">
                  <c:v>22543.975117157664</c:v>
                </c:pt>
                <c:pt idx="28">
                  <c:v>22169.313715367949</c:v>
                </c:pt>
                <c:pt idx="29">
                  <c:v>21824.486823555766</c:v>
                </c:pt>
                <c:pt idx="30">
                  <c:v>21501.9574616313</c:v>
                </c:pt>
                <c:pt idx="31">
                  <c:v>21198.814415489796</c:v>
                </c:pt>
                <c:pt idx="32">
                  <c:v>20920.570823536757</c:v>
                </c:pt>
                <c:pt idx="33">
                  <c:v>20658.211537016647</c:v>
                </c:pt>
                <c:pt idx="34">
                  <c:v>20393.101221141806</c:v>
                </c:pt>
                <c:pt idx="35">
                  <c:v>20067.999627181467</c:v>
                </c:pt>
                <c:pt idx="36">
                  <c:v>19726.727245828632</c:v>
                </c:pt>
                <c:pt idx="37">
                  <c:v>19421.804908761082</c:v>
                </c:pt>
                <c:pt idx="38">
                  <c:v>19100.909627027027</c:v>
                </c:pt>
                <c:pt idx="39">
                  <c:v>18774.237887779658</c:v>
                </c:pt>
                <c:pt idx="40">
                  <c:v>18484.038483587337</c:v>
                </c:pt>
                <c:pt idx="41">
                  <c:v>18259.447282018511</c:v>
                </c:pt>
                <c:pt idx="42">
                  <c:v>18014.450751794109</c:v>
                </c:pt>
                <c:pt idx="43">
                  <c:v>17711.582687832182</c:v>
                </c:pt>
                <c:pt idx="44">
                  <c:v>17405.250282853951</c:v>
                </c:pt>
                <c:pt idx="45">
                  <c:v>17102.535406164832</c:v>
                </c:pt>
                <c:pt idx="46">
                  <c:v>16758.976390166423</c:v>
                </c:pt>
                <c:pt idx="47">
                  <c:v>16220.457210768898</c:v>
                </c:pt>
                <c:pt idx="48">
                  <c:v>15566.657591908732</c:v>
                </c:pt>
                <c:pt idx="49">
                  <c:v>14836.692329306838</c:v>
                </c:pt>
                <c:pt idx="50">
                  <c:v>15721.83143934178</c:v>
                </c:pt>
                <c:pt idx="51">
                  <c:v>19024.481412562658</c:v>
                </c:pt>
                <c:pt idx="52">
                  <c:v>21655.64190388464</c:v>
                </c:pt>
                <c:pt idx="53">
                  <c:v>21335.607787078465</c:v>
                </c:pt>
                <c:pt idx="54">
                  <c:v>21020.303238500954</c:v>
                </c:pt>
                <c:pt idx="55">
                  <c:v>20709.658363055129</c:v>
                </c:pt>
                <c:pt idx="56">
                  <c:v>20403.604298576483</c:v>
                </c:pt>
                <c:pt idx="57">
                  <c:v>20102.073200567967</c:v>
                </c:pt>
                <c:pt idx="58">
                  <c:v>19804.998227160562</c:v>
                </c:pt>
                <c:pt idx="59">
                  <c:v>19512.313524296122</c:v>
                </c:pt>
                <c:pt idx="60">
                  <c:v>19233.428806600416</c:v>
                </c:pt>
                <c:pt idx="61">
                  <c:v>18958.530119862411</c:v>
                </c:pt>
                <c:pt idx="62">
                  <c:v>18687.560492717999</c:v>
                </c:pt>
                <c:pt idx="63">
                  <c:v>18429.546836999998</c:v>
                </c:pt>
                <c:pt idx="64">
                  <c:v>18175.095499999999</c:v>
                </c:pt>
                <c:pt idx="65">
                  <c:v>17933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0-435E-930B-777D4E641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435427"/>
        <c:axId val="208640111"/>
      </c:lineChart>
      <c:catAx>
        <c:axId val="2041435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640111"/>
        <c:crosses val="autoZero"/>
        <c:auto val="1"/>
        <c:lblAlgn val="ctr"/>
        <c:lblOffset val="100"/>
        <c:noMultiLvlLbl val="1"/>
      </c:catAx>
      <c:valAx>
        <c:axId val="208640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4354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'Crila Republic'!$D$1:$D$67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4.4600000000000001E-2</c:v>
                </c:pt>
                <c:pt idx="2">
                  <c:v>4.2999999999999997E-2</c:v>
                </c:pt>
                <c:pt idx="3">
                  <c:v>7.7799999999999994E-2</c:v>
                </c:pt>
                <c:pt idx="4">
                  <c:v>0.14230000000000001</c:v>
                </c:pt>
                <c:pt idx="5">
                  <c:v>0.1096</c:v>
                </c:pt>
                <c:pt idx="6">
                  <c:v>2.6800000000000001E-2</c:v>
                </c:pt>
                <c:pt idx="7">
                  <c:v>2.1899999999999999E-2</c:v>
                </c:pt>
                <c:pt idx="8">
                  <c:v>2.1700000000000001E-2</c:v>
                </c:pt>
                <c:pt idx="9">
                  <c:v>2.18E-2</c:v>
                </c:pt>
                <c:pt idx="10">
                  <c:v>2.2100000000000002E-2</c:v>
                </c:pt>
                <c:pt idx="11">
                  <c:v>2.2599999999999999E-2</c:v>
                </c:pt>
                <c:pt idx="12">
                  <c:v>1.72E-2</c:v>
                </c:pt>
                <c:pt idx="13">
                  <c:v>1.1299999999999999E-2</c:v>
                </c:pt>
                <c:pt idx="14">
                  <c:v>1.1599999999999999E-2</c:v>
                </c:pt>
                <c:pt idx="15">
                  <c:v>1.2200000000000001E-2</c:v>
                </c:pt>
                <c:pt idx="16">
                  <c:v>1.29E-2</c:v>
                </c:pt>
                <c:pt idx="17">
                  <c:v>1.3599999999999999E-2</c:v>
                </c:pt>
                <c:pt idx="18">
                  <c:v>1.44E-2</c:v>
                </c:pt>
                <c:pt idx="19">
                  <c:v>1.55E-2</c:v>
                </c:pt>
                <c:pt idx="20">
                  <c:v>1.7000000000000001E-2</c:v>
                </c:pt>
                <c:pt idx="21">
                  <c:v>1.84E-2</c:v>
                </c:pt>
                <c:pt idx="22">
                  <c:v>2.93E-2</c:v>
                </c:pt>
                <c:pt idx="23">
                  <c:v>4.2099999999999999E-2</c:v>
                </c:pt>
                <c:pt idx="24">
                  <c:v>4.58E-2</c:v>
                </c:pt>
                <c:pt idx="25">
                  <c:v>4.8399999999999999E-2</c:v>
                </c:pt>
                <c:pt idx="26">
                  <c:v>5.0999999999999997E-2</c:v>
                </c:pt>
                <c:pt idx="27">
                  <c:v>5.3699999999999998E-2</c:v>
                </c:pt>
                <c:pt idx="28">
                  <c:v>5.67E-2</c:v>
                </c:pt>
                <c:pt idx="29">
                  <c:v>6.0100000000000001E-2</c:v>
                </c:pt>
                <c:pt idx="30">
                  <c:v>6.4199999999999993E-2</c:v>
                </c:pt>
                <c:pt idx="31">
                  <c:v>6.0499999999999998E-2</c:v>
                </c:pt>
                <c:pt idx="32">
                  <c:v>5.4600000000000003E-2</c:v>
                </c:pt>
                <c:pt idx="33">
                  <c:v>5.5500000000000001E-2</c:v>
                </c:pt>
                <c:pt idx="34">
                  <c:v>5.5500000000000001E-2</c:v>
                </c:pt>
                <c:pt idx="35">
                  <c:v>5.45E-2</c:v>
                </c:pt>
                <c:pt idx="36">
                  <c:v>5.3499999999999999E-2</c:v>
                </c:pt>
                <c:pt idx="37">
                  <c:v>5.28E-2</c:v>
                </c:pt>
                <c:pt idx="38">
                  <c:v>5.1299999999999998E-2</c:v>
                </c:pt>
                <c:pt idx="39">
                  <c:v>4.8599999999999997E-2</c:v>
                </c:pt>
                <c:pt idx="40">
                  <c:v>4.4999999999999998E-2</c:v>
                </c:pt>
                <c:pt idx="41">
                  <c:v>4.1799999999999997E-2</c:v>
                </c:pt>
                <c:pt idx="42">
                  <c:v>3.5200000000000002E-2</c:v>
                </c:pt>
                <c:pt idx="43">
                  <c:v>2.9000000000000001E-2</c:v>
                </c:pt>
                <c:pt idx="44">
                  <c:v>2.8199999999999999E-2</c:v>
                </c:pt>
                <c:pt idx="45">
                  <c:v>2.7400000000000001E-2</c:v>
                </c:pt>
                <c:pt idx="46">
                  <c:v>2.6599999999999999E-2</c:v>
                </c:pt>
                <c:pt idx="47">
                  <c:v>2.58E-2</c:v>
                </c:pt>
                <c:pt idx="48">
                  <c:v>2.4899999999999999E-2</c:v>
                </c:pt>
                <c:pt idx="49">
                  <c:v>2.3900000000000001E-2</c:v>
                </c:pt>
                <c:pt idx="50">
                  <c:v>2.29E-2</c:v>
                </c:pt>
                <c:pt idx="51">
                  <c:v>2.1899999999999999E-2</c:v>
                </c:pt>
                <c:pt idx="52">
                  <c:v>2.07E-2</c:v>
                </c:pt>
                <c:pt idx="53">
                  <c:v>1.9599999999999999E-2</c:v>
                </c:pt>
                <c:pt idx="54">
                  <c:v>1.8499999999999999E-2</c:v>
                </c:pt>
                <c:pt idx="55">
                  <c:v>1.7500000000000002E-2</c:v>
                </c:pt>
                <c:pt idx="56">
                  <c:v>1.7000000000000001E-2</c:v>
                </c:pt>
                <c:pt idx="57">
                  <c:v>1.7000000000000001E-2</c:v>
                </c:pt>
                <c:pt idx="58">
                  <c:v>1.7000000000000001E-2</c:v>
                </c:pt>
                <c:pt idx="59">
                  <c:v>1.7000000000000001E-2</c:v>
                </c:pt>
                <c:pt idx="60">
                  <c:v>1.6500000000000001E-2</c:v>
                </c:pt>
                <c:pt idx="61">
                  <c:v>1.6500000000000001E-2</c:v>
                </c:pt>
                <c:pt idx="62">
                  <c:v>1.6500000000000001E-2</c:v>
                </c:pt>
                <c:pt idx="63">
                  <c:v>1.6E-2</c:v>
                </c:pt>
                <c:pt idx="64">
                  <c:v>1.6E-2</c:v>
                </c:pt>
                <c:pt idx="65">
                  <c:v>1.55E-2</c:v>
                </c:pt>
                <c:pt idx="66">
                  <c:v>1.4999999999999999E-2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1F-430B-8538-DD818D7BE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468310"/>
        <c:axId val="1824002169"/>
      </c:lineChart>
      <c:catAx>
        <c:axId val="969468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4002169"/>
        <c:crosses val="autoZero"/>
        <c:auto val="1"/>
        <c:lblAlgn val="ctr"/>
        <c:lblOffset val="100"/>
        <c:noMultiLvlLbl val="1"/>
      </c:catAx>
      <c:valAx>
        <c:axId val="1824002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94683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'Crila Republic'!$C$1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'Crila Republic'!$C$2:$C$67</c:f>
              <c:numCache>
                <c:formatCode>#,##0</c:formatCode>
                <c:ptCount val="66"/>
                <c:pt idx="0">
                  <c:v>945954.90446075809</c:v>
                </c:pt>
                <c:pt idx="1">
                  <c:v>905566.6326448</c:v>
                </c:pt>
                <c:pt idx="2">
                  <c:v>868232.62957315438</c:v>
                </c:pt>
                <c:pt idx="3">
                  <c:v>805560.05712855293</c:v>
                </c:pt>
                <c:pt idx="4">
                  <c:v>705208.83929664083</c:v>
                </c:pt>
                <c:pt idx="5">
                  <c:v>635552.30650382198</c:v>
                </c:pt>
                <c:pt idx="6">
                  <c:v>618964.06944275612</c:v>
                </c:pt>
                <c:pt idx="7">
                  <c:v>605699.25574200612</c:v>
                </c:pt>
                <c:pt idx="8">
                  <c:v>592834.74184399145</c:v>
                </c:pt>
                <c:pt idx="9">
                  <c:v>580186.67238597712</c:v>
                </c:pt>
                <c:pt idx="10">
                  <c:v>567641.78885234043</c:v>
                </c:pt>
                <c:pt idx="11">
                  <c:v>555096.60556653677</c:v>
                </c:pt>
                <c:pt idx="12">
                  <c:v>545710.38691165624</c:v>
                </c:pt>
                <c:pt idx="13">
                  <c:v>539612.76269322273</c:v>
                </c:pt>
                <c:pt idx="14">
                  <c:v>533425.03231833002</c:v>
                </c:pt>
                <c:pt idx="15">
                  <c:v>526995.68496179616</c:v>
                </c:pt>
                <c:pt idx="16">
                  <c:v>520284.02108973858</c:v>
                </c:pt>
                <c:pt idx="17">
                  <c:v>513303.09894409881</c:v>
                </c:pt>
                <c:pt idx="18">
                  <c:v>506016.46189284191</c:v>
                </c:pt>
                <c:pt idx="19">
                  <c:v>498292.92160791915</c:v>
                </c:pt>
                <c:pt idx="20">
                  <c:v>489963.54140405037</c:v>
                </c:pt>
                <c:pt idx="21">
                  <c:v>481111.09721528908</c:v>
                </c:pt>
                <c:pt idx="22">
                  <c:v>467415.8138689294</c:v>
                </c:pt>
                <c:pt idx="23">
                  <c:v>448532.5917560017</c:v>
                </c:pt>
                <c:pt idx="24">
                  <c:v>428889.45472939534</c:v>
                </c:pt>
                <c:pt idx="25">
                  <c:v>409089.52187084639</c:v>
                </c:pt>
                <c:pt idx="26">
                  <c:v>389238.36524343141</c:v>
                </c:pt>
                <c:pt idx="27">
                  <c:v>369401.50445423875</c:v>
                </c:pt>
                <c:pt idx="28">
                  <c:v>349580.30136674433</c:v>
                </c:pt>
                <c:pt idx="29">
                  <c:v>329761.62755093322</c:v>
                </c:pt>
                <c:pt idx="30">
                  <c:v>309868.09580053861</c:v>
                </c:pt>
                <c:pt idx="31">
                  <c:v>292190.56652573182</c:v>
                </c:pt>
                <c:pt idx="32">
                  <c:v>277062.93051937403</c:v>
                </c:pt>
                <c:pt idx="33">
                  <c:v>262494.48651764472</c:v>
                </c:pt>
                <c:pt idx="34">
                  <c:v>248692.07628388886</c:v>
                </c:pt>
                <c:pt idx="35">
                  <c:v>235838.85849586426</c:v>
                </c:pt>
                <c:pt idx="36">
                  <c:v>223862.22923195467</c:v>
                </c:pt>
                <c:pt idx="37">
                  <c:v>212635.09615497215</c:v>
                </c:pt>
                <c:pt idx="38">
                  <c:v>202259.19923425489</c:v>
                </c:pt>
                <c:pt idx="39">
                  <c:v>192884.98877956791</c:v>
                </c:pt>
                <c:pt idx="40">
                  <c:v>184578.93663116547</c:v>
                </c:pt>
                <c:pt idx="41">
                  <c:v>177173.1010089897</c:v>
                </c:pt>
                <c:pt idx="42">
                  <c:v>171148.66789894679</c:v>
                </c:pt>
                <c:pt idx="43">
                  <c:v>166325.23605339826</c:v>
                </c:pt>
                <c:pt idx="44">
                  <c:v>161763.50520657291</c:v>
                </c:pt>
                <c:pt idx="45">
                  <c:v>157449.39186935264</c:v>
                </c:pt>
                <c:pt idx="46">
                  <c:v>153369.75635043118</c:v>
                </c:pt>
                <c:pt idx="47">
                  <c:v>149512.33802927585</c:v>
                </c:pt>
                <c:pt idx="48">
                  <c:v>145879.92782639855</c:v>
                </c:pt>
                <c:pt idx="49">
                  <c:v>142474.78057075743</c:v>
                </c:pt>
                <c:pt idx="50">
                  <c:v>139285.15062152452</c:v>
                </c:pt>
                <c:pt idx="51">
                  <c:v>136300.17675068454</c:v>
                </c:pt>
                <c:pt idx="52">
                  <c:v>133535.98192484034</c:v>
                </c:pt>
                <c:pt idx="53">
                  <c:v>130968.98972620667</c:v>
                </c:pt>
                <c:pt idx="54">
                  <c:v>128590.07336888235</c:v>
                </c:pt>
                <c:pt idx="55">
                  <c:v>126378.45048538805</c:v>
                </c:pt>
                <c:pt idx="56">
                  <c:v>124265.92968081422</c:v>
                </c:pt>
                <c:pt idx="57">
                  <c:v>122188.72141672982</c:v>
                </c:pt>
                <c:pt idx="58">
                  <c:v>120146.23541468027</c:v>
                </c:pt>
                <c:pt idx="59">
                  <c:v>118137.89126320578</c:v>
                </c:pt>
                <c:pt idx="60">
                  <c:v>116220.25702233722</c:v>
                </c:pt>
                <c:pt idx="61">
                  <c:v>114333.75014494562</c:v>
                </c:pt>
                <c:pt idx="62">
                  <c:v>112477.86536640002</c:v>
                </c:pt>
                <c:pt idx="63">
                  <c:v>110706.56040000002</c:v>
                </c:pt>
                <c:pt idx="64">
                  <c:v>108963.15000000001</c:v>
                </c:pt>
                <c:pt idx="65">
                  <c:v>107300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E-4E4B-BE8E-B01818139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190624"/>
        <c:axId val="1869707448"/>
      </c:lineChart>
      <c:catAx>
        <c:axId val="210619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9707448"/>
        <c:crosses val="autoZero"/>
        <c:auto val="1"/>
        <c:lblAlgn val="ctr"/>
        <c:lblOffset val="100"/>
        <c:noMultiLvlLbl val="1"/>
      </c:catAx>
      <c:valAx>
        <c:axId val="1869707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6190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'Cruthi Anoso'!$D$1:$D$67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</c:v>
                </c:pt>
                <c:pt idx="2">
                  <c:v>4.0000000000000002E-4</c:v>
                </c:pt>
                <c:pt idx="3">
                  <c:v>8.0000000000000004E-4</c:v>
                </c:pt>
                <c:pt idx="4">
                  <c:v>3.0999999999999999E-3</c:v>
                </c:pt>
                <c:pt idx="5">
                  <c:v>8.9999999999999998E-4</c:v>
                </c:pt>
                <c:pt idx="6">
                  <c:v>-1.5E-3</c:v>
                </c:pt>
                <c:pt idx="7">
                  <c:v>1.6999999999999999E-3</c:v>
                </c:pt>
                <c:pt idx="8">
                  <c:v>2.8E-3</c:v>
                </c:pt>
                <c:pt idx="9">
                  <c:v>2.8999999999999998E-3</c:v>
                </c:pt>
                <c:pt idx="10">
                  <c:v>2.8E-3</c:v>
                </c:pt>
                <c:pt idx="11">
                  <c:v>2.5999999999999999E-3</c:v>
                </c:pt>
                <c:pt idx="12">
                  <c:v>3.0000000000000001E-3</c:v>
                </c:pt>
                <c:pt idx="13">
                  <c:v>3.3999999999999998E-3</c:v>
                </c:pt>
                <c:pt idx="14">
                  <c:v>5.5999999999999999E-3</c:v>
                </c:pt>
                <c:pt idx="15">
                  <c:v>1.1299999999999999E-2</c:v>
                </c:pt>
                <c:pt idx="16">
                  <c:v>1.44E-2</c:v>
                </c:pt>
                <c:pt idx="17">
                  <c:v>1.3599999999999999E-2</c:v>
                </c:pt>
                <c:pt idx="18">
                  <c:v>1.2999999999999999E-2</c:v>
                </c:pt>
                <c:pt idx="19">
                  <c:v>1.2800000000000001E-2</c:v>
                </c:pt>
                <c:pt idx="20">
                  <c:v>1.29E-2</c:v>
                </c:pt>
                <c:pt idx="21">
                  <c:v>1.3100000000000001E-2</c:v>
                </c:pt>
                <c:pt idx="22">
                  <c:v>1.29E-2</c:v>
                </c:pt>
                <c:pt idx="23">
                  <c:v>1.29E-2</c:v>
                </c:pt>
                <c:pt idx="24">
                  <c:v>8.8000000000000005E-3</c:v>
                </c:pt>
                <c:pt idx="25">
                  <c:v>-1.8E-3</c:v>
                </c:pt>
                <c:pt idx="26">
                  <c:v>-8.0000000000000002E-3</c:v>
                </c:pt>
                <c:pt idx="27">
                  <c:v>-7.4000000000000003E-3</c:v>
                </c:pt>
                <c:pt idx="28">
                  <c:v>-6.8999999999999999E-3</c:v>
                </c:pt>
                <c:pt idx="29">
                  <c:v>-6.4999999999999997E-3</c:v>
                </c:pt>
                <c:pt idx="30">
                  <c:v>-6.1000000000000004E-3</c:v>
                </c:pt>
                <c:pt idx="31">
                  <c:v>-5.7000000000000002E-3</c:v>
                </c:pt>
                <c:pt idx="32">
                  <c:v>-5.1999999999999998E-3</c:v>
                </c:pt>
                <c:pt idx="33">
                  <c:v>-4.7000000000000002E-3</c:v>
                </c:pt>
                <c:pt idx="34">
                  <c:v>-3.8999999999999998E-3</c:v>
                </c:pt>
                <c:pt idx="35">
                  <c:v>-3.5999999999999999E-3</c:v>
                </c:pt>
                <c:pt idx="36">
                  <c:v>-4.3E-3</c:v>
                </c:pt>
                <c:pt idx="37">
                  <c:v>-4.3E-3</c:v>
                </c:pt>
                <c:pt idx="38">
                  <c:v>-3.3E-3</c:v>
                </c:pt>
                <c:pt idx="39">
                  <c:v>-2.8999999999999998E-3</c:v>
                </c:pt>
                <c:pt idx="40">
                  <c:v>-2.8E-3</c:v>
                </c:pt>
                <c:pt idx="41">
                  <c:v>-3.0000000000000001E-3</c:v>
                </c:pt>
                <c:pt idx="42">
                  <c:v>-3.2000000000000002E-3</c:v>
                </c:pt>
                <c:pt idx="43">
                  <c:v>-3.5000000000000001E-3</c:v>
                </c:pt>
                <c:pt idx="44">
                  <c:v>-3.8999999999999998E-3</c:v>
                </c:pt>
                <c:pt idx="45">
                  <c:v>-8.9999999999999993E-3</c:v>
                </c:pt>
                <c:pt idx="46">
                  <c:v>-2.4899999999999999E-2</c:v>
                </c:pt>
                <c:pt idx="47">
                  <c:v>-3.2599999999999997E-2</c:v>
                </c:pt>
                <c:pt idx="48">
                  <c:v>-2.8400000000000002E-2</c:v>
                </c:pt>
                <c:pt idx="49">
                  <c:v>-2.63E-2</c:v>
                </c:pt>
                <c:pt idx="50">
                  <c:v>-2.46E-2</c:v>
                </c:pt>
                <c:pt idx="51">
                  <c:v>-2.29E-2</c:v>
                </c:pt>
                <c:pt idx="52">
                  <c:v>-2.1100000000000001E-2</c:v>
                </c:pt>
                <c:pt idx="53">
                  <c:v>-1.89E-2</c:v>
                </c:pt>
                <c:pt idx="54">
                  <c:v>-1.5900000000000001E-2</c:v>
                </c:pt>
                <c:pt idx="55">
                  <c:v>-8.6E-3</c:v>
                </c:pt>
                <c:pt idx="56">
                  <c:v>-7.0000000000000001E-3</c:v>
                </c:pt>
                <c:pt idx="57">
                  <c:v>-4.0000000000000001E-3</c:v>
                </c:pt>
                <c:pt idx="58">
                  <c:v>0</c:v>
                </c:pt>
                <c:pt idx="59">
                  <c:v>4.0000000000000001E-3</c:v>
                </c:pt>
                <c:pt idx="60">
                  <c:v>7.0000000000000001E-3</c:v>
                </c:pt>
                <c:pt idx="61">
                  <c:v>0.01</c:v>
                </c:pt>
                <c:pt idx="62">
                  <c:v>1.2E-2</c:v>
                </c:pt>
                <c:pt idx="63">
                  <c:v>1.2999999999999999E-2</c:v>
                </c:pt>
                <c:pt idx="64">
                  <c:v>1.4E-2</c:v>
                </c:pt>
                <c:pt idx="65">
                  <c:v>1.4999999999999999E-2</c:v>
                </c:pt>
                <c:pt idx="66">
                  <c:v>1.4999999999999999E-2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FE-44FA-8010-EA365A95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204963"/>
        <c:axId val="1500193847"/>
      </c:lineChart>
      <c:catAx>
        <c:axId val="108920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0193847"/>
        <c:crosses val="autoZero"/>
        <c:auto val="1"/>
        <c:lblAlgn val="ctr"/>
        <c:lblOffset val="100"/>
        <c:noMultiLvlLbl val="1"/>
      </c:catAx>
      <c:valAx>
        <c:axId val="1500193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92049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'Cruthi Anoso'!$C$1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'Cruthi Anoso'!$C$2:$C$67</c:f>
              <c:numCache>
                <c:formatCode>#,##0</c:formatCode>
                <c:ptCount val="66"/>
                <c:pt idx="0">
                  <c:v>3984.1109115687832</c:v>
                </c:pt>
                <c:pt idx="1">
                  <c:v>3984.1109115687832</c:v>
                </c:pt>
                <c:pt idx="2">
                  <c:v>3982.5179044070205</c:v>
                </c:pt>
                <c:pt idx="3">
                  <c:v>3979.3344368575349</c:v>
                </c:pt>
                <c:pt idx="4">
                  <c:v>3967.0366233252262</c:v>
                </c:pt>
                <c:pt idx="5">
                  <c:v>3963.4695007745295</c:v>
                </c:pt>
                <c:pt idx="6">
                  <c:v>3969.4236362288725</c:v>
                </c:pt>
                <c:pt idx="7">
                  <c:v>3962.6870682129106</c:v>
                </c:pt>
                <c:pt idx="8">
                  <c:v>3951.6225251425121</c:v>
                </c:pt>
                <c:pt idx="9">
                  <c:v>3940.1959568675966</c:v>
                </c:pt>
                <c:pt idx="10">
                  <c:v>3929.1942130709981</c:v>
                </c:pt>
                <c:pt idx="11">
                  <c:v>3919.004800589466</c:v>
                </c:pt>
                <c:pt idx="12">
                  <c:v>3907.2829517342634</c:v>
                </c:pt>
                <c:pt idx="13">
                  <c:v>3894.0432048378148</c:v>
                </c:pt>
                <c:pt idx="14">
                  <c:v>3872.3580000376041</c:v>
                </c:pt>
                <c:pt idx="15">
                  <c:v>3829.0892910487528</c:v>
                </c:pt>
                <c:pt idx="16">
                  <c:v>3774.7331339203006</c:v>
                </c:pt>
                <c:pt idx="17">
                  <c:v>3724.0855701660421</c:v>
                </c:pt>
                <c:pt idx="18">
                  <c:v>3676.29375139787</c:v>
                </c:pt>
                <c:pt idx="19">
                  <c:v>3629.8319030389716</c:v>
                </c:pt>
                <c:pt idx="20">
                  <c:v>3583.6034189347142</c:v>
                </c:pt>
                <c:pt idx="21">
                  <c:v>3537.2652442352323</c:v>
                </c:pt>
                <c:pt idx="22">
                  <c:v>3492.2156621929435</c:v>
                </c:pt>
                <c:pt idx="23">
                  <c:v>3447.739818533857</c:v>
                </c:pt>
                <c:pt idx="24">
                  <c:v>3417.6643720597317</c:v>
                </c:pt>
                <c:pt idx="25">
                  <c:v>3423.8272611297652</c:v>
                </c:pt>
                <c:pt idx="26">
                  <c:v>3451.4387713001665</c:v>
                </c:pt>
                <c:pt idx="27">
                  <c:v>3477.1698280275705</c:v>
                </c:pt>
                <c:pt idx="28">
                  <c:v>3501.3289981145608</c:v>
                </c:pt>
                <c:pt idx="29">
                  <c:v>3524.2365355959341</c:v>
                </c:pt>
                <c:pt idx="30">
                  <c:v>3545.8663201488421</c:v>
                </c:pt>
                <c:pt idx="31">
                  <c:v>3566.1936238045282</c:v>
                </c:pt>
                <c:pt idx="32">
                  <c:v>3584.834764580346</c:v>
                </c:pt>
                <c:pt idx="33">
                  <c:v>3601.7630509196688</c:v>
                </c:pt>
                <c:pt idx="34">
                  <c:v>3615.8649241237513</c:v>
                </c:pt>
                <c:pt idx="35">
                  <c:v>3628.9290687713283</c:v>
                </c:pt>
                <c:pt idx="36">
                  <c:v>3644.6008524368062</c:v>
                </c:pt>
                <c:pt idx="37">
                  <c:v>3660.3403157947237</c:v>
                </c:pt>
                <c:pt idx="38">
                  <c:v>3672.4594319200596</c:v>
                </c:pt>
                <c:pt idx="39">
                  <c:v>3683.1405394845651</c:v>
                </c:pt>
                <c:pt idx="40">
                  <c:v>3693.4822898962748</c:v>
                </c:pt>
                <c:pt idx="41">
                  <c:v>3704.5960781306667</c:v>
                </c:pt>
                <c:pt idx="42">
                  <c:v>3716.4888424264313</c:v>
                </c:pt>
                <c:pt idx="43">
                  <c:v>3729.5422402673671</c:v>
                </c:pt>
                <c:pt idx="44">
                  <c:v>3744.1444034407864</c:v>
                </c:pt>
                <c:pt idx="45">
                  <c:v>3778.1477330381294</c:v>
                </c:pt>
                <c:pt idx="46">
                  <c:v>3874.6259184064502</c:v>
                </c:pt>
                <c:pt idx="47">
                  <c:v>4005.1952846872546</c:v>
                </c:pt>
                <c:pt idx="48">
                  <c:v>4122.2676869979978</c:v>
                </c:pt>
                <c:pt idx="49">
                  <c:v>4233.6116740248517</c:v>
                </c:pt>
                <c:pt idx="50">
                  <c:v>4340.3851486824396</c:v>
                </c:pt>
                <c:pt idx="51">
                  <c:v>4442.1094552066725</c:v>
                </c:pt>
                <c:pt idx="52">
                  <c:v>4537.8582645895112</c:v>
                </c:pt>
                <c:pt idx="53">
                  <c:v>4625.2759806232916</c:v>
                </c:pt>
                <c:pt idx="54">
                  <c:v>4700.0060772515917</c:v>
                </c:pt>
                <c:pt idx="55">
                  <c:v>4740.7767573649307</c:v>
                </c:pt>
                <c:pt idx="56">
                  <c:v>4774.1961302768686</c:v>
                </c:pt>
                <c:pt idx="57">
                  <c:v>4793.369608711716</c:v>
                </c:pt>
                <c:pt idx="58">
                  <c:v>4793.369608711716</c:v>
                </c:pt>
                <c:pt idx="59">
                  <c:v>4774.2725186371672</c:v>
                </c:pt>
                <c:pt idx="60">
                  <c:v>4741.0849241679916</c:v>
                </c:pt>
                <c:pt idx="61">
                  <c:v>4694.1434892752395</c:v>
                </c:pt>
                <c:pt idx="62">
                  <c:v>4638.4817087699994</c:v>
                </c:pt>
                <c:pt idx="63">
                  <c:v>4578.9552899999999</c:v>
                </c:pt>
                <c:pt idx="64">
                  <c:v>4515.7349999999997</c:v>
                </c:pt>
                <c:pt idx="65">
                  <c:v>4449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8-4ACF-84EB-827FDDDA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318270"/>
        <c:axId val="657904171"/>
      </c:lineChart>
      <c:catAx>
        <c:axId val="825318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7904171"/>
        <c:crosses val="autoZero"/>
        <c:auto val="1"/>
        <c:lblAlgn val="ctr"/>
        <c:lblOffset val="100"/>
        <c:noMultiLvlLbl val="1"/>
      </c:catAx>
      <c:valAx>
        <c:axId val="657904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53182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'Curata'!$D$1:$D$67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1.3599999999999999E-2</c:v>
                </c:pt>
                <c:pt idx="2">
                  <c:v>1.37E-2</c:v>
                </c:pt>
                <c:pt idx="3">
                  <c:v>1.3899999999999999E-2</c:v>
                </c:pt>
                <c:pt idx="4">
                  <c:v>1.4E-2</c:v>
                </c:pt>
                <c:pt idx="5">
                  <c:v>1.41E-2</c:v>
                </c:pt>
                <c:pt idx="6">
                  <c:v>1.4200000000000001E-2</c:v>
                </c:pt>
                <c:pt idx="7">
                  <c:v>1.4200000000000001E-2</c:v>
                </c:pt>
                <c:pt idx="8">
                  <c:v>1.43E-2</c:v>
                </c:pt>
                <c:pt idx="9">
                  <c:v>1.44E-2</c:v>
                </c:pt>
                <c:pt idx="10">
                  <c:v>1.43E-2</c:v>
                </c:pt>
                <c:pt idx="11">
                  <c:v>1.2999999999999999E-2</c:v>
                </c:pt>
                <c:pt idx="12">
                  <c:v>1.18E-2</c:v>
                </c:pt>
                <c:pt idx="13">
                  <c:v>1.18E-2</c:v>
                </c:pt>
                <c:pt idx="14">
                  <c:v>1.21E-2</c:v>
                </c:pt>
                <c:pt idx="15">
                  <c:v>1.29E-2</c:v>
                </c:pt>
                <c:pt idx="16">
                  <c:v>1.38E-2</c:v>
                </c:pt>
                <c:pt idx="17">
                  <c:v>1.43E-2</c:v>
                </c:pt>
                <c:pt idx="18">
                  <c:v>1.5299999999999999E-2</c:v>
                </c:pt>
                <c:pt idx="19">
                  <c:v>1.67E-2</c:v>
                </c:pt>
                <c:pt idx="20">
                  <c:v>1.8599999999999998E-2</c:v>
                </c:pt>
                <c:pt idx="21">
                  <c:v>2.0400000000000001E-2</c:v>
                </c:pt>
                <c:pt idx="22">
                  <c:v>2.12E-2</c:v>
                </c:pt>
                <c:pt idx="23">
                  <c:v>2.1999999999999999E-2</c:v>
                </c:pt>
                <c:pt idx="24">
                  <c:v>2.2599999999999999E-2</c:v>
                </c:pt>
                <c:pt idx="25">
                  <c:v>2.3099999999999999E-2</c:v>
                </c:pt>
                <c:pt idx="26">
                  <c:v>2.3400000000000001E-2</c:v>
                </c:pt>
                <c:pt idx="27">
                  <c:v>2.3400000000000001E-2</c:v>
                </c:pt>
                <c:pt idx="28">
                  <c:v>2.29E-2</c:v>
                </c:pt>
                <c:pt idx="29">
                  <c:v>2.3400000000000001E-2</c:v>
                </c:pt>
                <c:pt idx="30">
                  <c:v>2.3900000000000001E-2</c:v>
                </c:pt>
                <c:pt idx="31">
                  <c:v>2.4799999999999999E-2</c:v>
                </c:pt>
                <c:pt idx="32">
                  <c:v>2.63E-2</c:v>
                </c:pt>
                <c:pt idx="33">
                  <c:v>2.7400000000000001E-2</c:v>
                </c:pt>
                <c:pt idx="34">
                  <c:v>2.8299999999999999E-2</c:v>
                </c:pt>
                <c:pt idx="35">
                  <c:v>2.7400000000000001E-2</c:v>
                </c:pt>
                <c:pt idx="36">
                  <c:v>2.7E-2</c:v>
                </c:pt>
                <c:pt idx="37">
                  <c:v>2.8899999999999999E-2</c:v>
                </c:pt>
                <c:pt idx="38">
                  <c:v>3.0099999999999998E-2</c:v>
                </c:pt>
                <c:pt idx="39">
                  <c:v>3.04E-2</c:v>
                </c:pt>
                <c:pt idx="40">
                  <c:v>3.0599999999999999E-2</c:v>
                </c:pt>
                <c:pt idx="41">
                  <c:v>3.0800000000000001E-2</c:v>
                </c:pt>
                <c:pt idx="42">
                  <c:v>2.9000000000000001E-2</c:v>
                </c:pt>
                <c:pt idx="43">
                  <c:v>2.9100000000000001E-2</c:v>
                </c:pt>
                <c:pt idx="44">
                  <c:v>3.1199999999999999E-2</c:v>
                </c:pt>
                <c:pt idx="45">
                  <c:v>3.1300000000000001E-2</c:v>
                </c:pt>
                <c:pt idx="46">
                  <c:v>3.1399999999999997E-2</c:v>
                </c:pt>
                <c:pt idx="47">
                  <c:v>3.1399999999999997E-2</c:v>
                </c:pt>
                <c:pt idx="48">
                  <c:v>3.1199999999999999E-2</c:v>
                </c:pt>
                <c:pt idx="49">
                  <c:v>3.09E-2</c:v>
                </c:pt>
                <c:pt idx="50">
                  <c:v>3.0599999999999999E-2</c:v>
                </c:pt>
                <c:pt idx="51">
                  <c:v>3.0300000000000001E-2</c:v>
                </c:pt>
                <c:pt idx="52">
                  <c:v>3.0099999999999998E-2</c:v>
                </c:pt>
                <c:pt idx="53">
                  <c:v>0.03</c:v>
                </c:pt>
                <c:pt idx="54">
                  <c:v>2.9899999999999999E-2</c:v>
                </c:pt>
                <c:pt idx="55">
                  <c:v>2.9899999999999999E-2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0.03</c:v>
                </c:pt>
                <c:pt idx="63">
                  <c:v>0.03</c:v>
                </c:pt>
                <c:pt idx="64">
                  <c:v>0.03</c:v>
                </c:pt>
                <c:pt idx="65">
                  <c:v>0.03</c:v>
                </c:pt>
                <c:pt idx="66">
                  <c:v>0.03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08-451C-89A5-200D93BF0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051607"/>
        <c:axId val="632639542"/>
      </c:lineChart>
      <c:catAx>
        <c:axId val="1198051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2639542"/>
        <c:crosses val="autoZero"/>
        <c:auto val="1"/>
        <c:lblAlgn val="ctr"/>
        <c:lblOffset val="100"/>
        <c:noMultiLvlLbl val="1"/>
      </c:catAx>
      <c:valAx>
        <c:axId val="632639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80516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'Curata'!$C$1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'Curata'!$C$2:$C$67</c:f>
              <c:numCache>
                <c:formatCode>#,##0</c:formatCode>
                <c:ptCount val="66"/>
                <c:pt idx="0">
                  <c:v>4523641.0223744391</c:v>
                </c:pt>
                <c:pt idx="1">
                  <c:v>4462944.9707719404</c:v>
                </c:pt>
                <c:pt idx="2">
                  <c:v>4402628.9541007597</c:v>
                </c:pt>
                <c:pt idx="3">
                  <c:v>4342271.3818924548</c:v>
                </c:pt>
                <c:pt idx="4">
                  <c:v>4282318.9170537032</c:v>
                </c:pt>
                <c:pt idx="5">
                  <c:v>4222777.7507678764</c:v>
                </c:pt>
                <c:pt idx="6">
                  <c:v>4163653.865872487</c:v>
                </c:pt>
                <c:pt idx="7">
                  <c:v>4105357.7853209297</c:v>
                </c:pt>
                <c:pt idx="8">
                  <c:v>4047478.8379384107</c:v>
                </c:pt>
                <c:pt idx="9">
                  <c:v>3990022.513740547</c:v>
                </c:pt>
                <c:pt idx="10">
                  <c:v>3933769.6083412669</c:v>
                </c:pt>
                <c:pt idx="11">
                  <c:v>3883286.8789153676</c:v>
                </c:pt>
                <c:pt idx="12">
                  <c:v>3837998.4966548402</c:v>
                </c:pt>
                <c:pt idx="13">
                  <c:v>3793238.2848931015</c:v>
                </c:pt>
                <c:pt idx="14">
                  <c:v>3747888.8300495027</c:v>
                </c:pt>
                <c:pt idx="15">
                  <c:v>3700156.8072361564</c:v>
                </c:pt>
                <c:pt idx="16">
                  <c:v>3649789.7092485265</c:v>
                </c:pt>
                <c:pt idx="17">
                  <c:v>3598333.5396317919</c:v>
                </c:pt>
                <c:pt idx="18">
                  <c:v>3544108.676875595</c:v>
                </c:pt>
                <c:pt idx="19">
                  <c:v>3485894.2430172078</c:v>
                </c:pt>
                <c:pt idx="20">
                  <c:v>3422240.5684441468</c:v>
                </c:pt>
                <c:pt idx="21">
                  <c:v>3353822.5876559652</c:v>
                </c:pt>
                <c:pt idx="22">
                  <c:v>3284197.598566358</c:v>
                </c:pt>
                <c:pt idx="23">
                  <c:v>3213500.5856813677</c:v>
                </c:pt>
                <c:pt idx="24">
                  <c:v>3142480.5257983254</c:v>
                </c:pt>
                <c:pt idx="25">
                  <c:v>3071528.2238279013</c:v>
                </c:pt>
                <c:pt idx="26">
                  <c:v>3001297.8540432882</c:v>
                </c:pt>
                <c:pt idx="27">
                  <c:v>2932673.2988501932</c:v>
                </c:pt>
                <c:pt idx="28">
                  <c:v>2867018.5735166618</c:v>
                </c:pt>
                <c:pt idx="29">
                  <c:v>2801464.3086932399</c:v>
                </c:pt>
                <c:pt idx="30">
                  <c:v>2736072.1835074127</c:v>
                </c:pt>
                <c:pt idx="31">
                  <c:v>2669859.6638440797</c:v>
                </c:pt>
                <c:pt idx="32">
                  <c:v>2601441.74592622</c:v>
                </c:pt>
                <c:pt idx="33">
                  <c:v>2532063.2138662837</c:v>
                </c:pt>
                <c:pt idx="34">
                  <c:v>2462377.9187652278</c:v>
                </c:pt>
                <c:pt idx="35">
                  <c:v>2396708.1163765113</c:v>
                </c:pt>
                <c:pt idx="36">
                  <c:v>2333698.2632682682</c:v>
                </c:pt>
                <c:pt idx="37">
                  <c:v>2268148.7639889866</c:v>
                </c:pt>
                <c:pt idx="38">
                  <c:v>2201872.4046102189</c:v>
                </c:pt>
                <c:pt idx="39">
                  <c:v>2136910.3305611596</c:v>
                </c:pt>
                <c:pt idx="40">
                  <c:v>2073462.3816816998</c:v>
                </c:pt>
                <c:pt idx="41">
                  <c:v>2011507.9372154637</c:v>
                </c:pt>
                <c:pt idx="42">
                  <c:v>1954818.2091501106</c:v>
                </c:pt>
                <c:pt idx="43">
                  <c:v>1899541.5500438351</c:v>
                </c:pt>
                <c:pt idx="44">
                  <c:v>1842068.9973272257</c:v>
                </c:pt>
                <c:pt idx="45">
                  <c:v>1786162.1228810488</c:v>
                </c:pt>
                <c:pt idx="46">
                  <c:v>1731784.1020758664</c:v>
                </c:pt>
                <c:pt idx="47">
                  <c:v>1679061.568815073</c:v>
                </c:pt>
                <c:pt idx="48">
                  <c:v>1628259.861147278</c:v>
                </c:pt>
                <c:pt idx="49">
                  <c:v>1579454.7105900457</c:v>
                </c:pt>
                <c:pt idx="50">
                  <c:v>1532558.4228508109</c:v>
                </c:pt>
                <c:pt idx="51">
                  <c:v>1487487.5500832873</c:v>
                </c:pt>
                <c:pt idx="52">
                  <c:v>1444022.4736271112</c:v>
                </c:pt>
                <c:pt idx="53">
                  <c:v>1401963.5666282633</c:v>
                </c:pt>
                <c:pt idx="54">
                  <c:v>1361261.8376815838</c:v>
                </c:pt>
                <c:pt idx="55">
                  <c:v>1321741.7590849439</c:v>
                </c:pt>
                <c:pt idx="56">
                  <c:v>1283244.4262960621</c:v>
                </c:pt>
                <c:pt idx="57">
                  <c:v>1245868.3750447205</c:v>
                </c:pt>
                <c:pt idx="58">
                  <c:v>1209580.9466453597</c:v>
                </c:pt>
                <c:pt idx="59">
                  <c:v>1174350.4336362716</c:v>
                </c:pt>
                <c:pt idx="60">
                  <c:v>1140146.0520740501</c:v>
                </c:pt>
                <c:pt idx="61">
                  <c:v>1106937.9146350001</c:v>
                </c:pt>
                <c:pt idx="62">
                  <c:v>1074697.0045</c:v>
                </c:pt>
                <c:pt idx="63">
                  <c:v>1043395.15</c:v>
                </c:pt>
                <c:pt idx="64">
                  <c:v>1013005</c:v>
                </c:pt>
                <c:pt idx="65">
                  <c:v>983500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9-4028-A84D-8EB746773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226815"/>
        <c:axId val="807187539"/>
      </c:lineChart>
      <c:catAx>
        <c:axId val="210022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7187539"/>
        <c:crosses val="autoZero"/>
        <c:auto val="1"/>
        <c:lblAlgn val="ctr"/>
        <c:lblOffset val="100"/>
        <c:noMultiLvlLbl val="1"/>
      </c:catAx>
      <c:valAx>
        <c:axId val="807187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02268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Dahe!$D$1:$D$67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1.1999999999999999E-3</c:v>
                </c:pt>
                <c:pt idx="2">
                  <c:v>1.1999999999999999E-3</c:v>
                </c:pt>
                <c:pt idx="3">
                  <c:v>1.2999999999999999E-3</c:v>
                </c:pt>
                <c:pt idx="4">
                  <c:v>1.4E-3</c:v>
                </c:pt>
                <c:pt idx="5">
                  <c:v>1.6000000000000001E-3</c:v>
                </c:pt>
                <c:pt idx="6">
                  <c:v>1.6999999999999999E-3</c:v>
                </c:pt>
                <c:pt idx="7">
                  <c:v>1.9E-3</c:v>
                </c:pt>
                <c:pt idx="8">
                  <c:v>2.0999999999999999E-3</c:v>
                </c:pt>
                <c:pt idx="9">
                  <c:v>2.5000000000000001E-3</c:v>
                </c:pt>
                <c:pt idx="10">
                  <c:v>2.5999999999999999E-3</c:v>
                </c:pt>
                <c:pt idx="11">
                  <c:v>2.8E-3</c:v>
                </c:pt>
                <c:pt idx="12">
                  <c:v>3.0999999999999999E-3</c:v>
                </c:pt>
                <c:pt idx="13">
                  <c:v>3.3E-3</c:v>
                </c:pt>
                <c:pt idx="14">
                  <c:v>3.5999999999999999E-3</c:v>
                </c:pt>
                <c:pt idx="15">
                  <c:v>3.8E-3</c:v>
                </c:pt>
                <c:pt idx="16">
                  <c:v>4.0000000000000001E-3</c:v>
                </c:pt>
                <c:pt idx="17">
                  <c:v>4.1999999999999997E-3</c:v>
                </c:pt>
                <c:pt idx="18">
                  <c:v>4.4999999999999997E-3</c:v>
                </c:pt>
                <c:pt idx="19">
                  <c:v>4.7999999999999996E-3</c:v>
                </c:pt>
                <c:pt idx="20">
                  <c:v>5.1999999999999998E-3</c:v>
                </c:pt>
                <c:pt idx="21">
                  <c:v>5.5999999999999999E-3</c:v>
                </c:pt>
                <c:pt idx="22">
                  <c:v>6.0000000000000001E-3</c:v>
                </c:pt>
                <c:pt idx="23">
                  <c:v>6.3E-3</c:v>
                </c:pt>
                <c:pt idx="24">
                  <c:v>6.6E-3</c:v>
                </c:pt>
                <c:pt idx="25">
                  <c:v>6.7999999999999996E-3</c:v>
                </c:pt>
                <c:pt idx="26">
                  <c:v>7.0000000000000001E-3</c:v>
                </c:pt>
                <c:pt idx="27">
                  <c:v>7.3000000000000001E-3</c:v>
                </c:pt>
                <c:pt idx="28">
                  <c:v>7.7000000000000002E-3</c:v>
                </c:pt>
                <c:pt idx="29">
                  <c:v>8.2000000000000007E-3</c:v>
                </c:pt>
                <c:pt idx="30">
                  <c:v>8.8000000000000005E-3</c:v>
                </c:pt>
                <c:pt idx="31">
                  <c:v>9.4000000000000004E-3</c:v>
                </c:pt>
                <c:pt idx="32">
                  <c:v>9.9000000000000008E-3</c:v>
                </c:pt>
                <c:pt idx="33">
                  <c:v>1.03E-2</c:v>
                </c:pt>
                <c:pt idx="34">
                  <c:v>1.06E-2</c:v>
                </c:pt>
                <c:pt idx="35">
                  <c:v>1.09E-2</c:v>
                </c:pt>
                <c:pt idx="36">
                  <c:v>1.12E-2</c:v>
                </c:pt>
                <c:pt idx="37">
                  <c:v>1.1299999999999999E-2</c:v>
                </c:pt>
                <c:pt idx="38">
                  <c:v>1.14E-2</c:v>
                </c:pt>
                <c:pt idx="39">
                  <c:v>1.1299999999999999E-2</c:v>
                </c:pt>
                <c:pt idx="40">
                  <c:v>1.12E-2</c:v>
                </c:pt>
                <c:pt idx="41">
                  <c:v>1.11E-2</c:v>
                </c:pt>
                <c:pt idx="42">
                  <c:v>1.0999999999999999E-2</c:v>
                </c:pt>
                <c:pt idx="43">
                  <c:v>1.0999999999999999E-2</c:v>
                </c:pt>
                <c:pt idx="44">
                  <c:v>1.0999999999999999E-2</c:v>
                </c:pt>
                <c:pt idx="45">
                  <c:v>1.0999999999999999E-2</c:v>
                </c:pt>
                <c:pt idx="46">
                  <c:v>1.0999999999999999E-2</c:v>
                </c:pt>
                <c:pt idx="47">
                  <c:v>1.0999999999999999E-2</c:v>
                </c:pt>
                <c:pt idx="48">
                  <c:v>1.11E-2</c:v>
                </c:pt>
                <c:pt idx="49">
                  <c:v>1.12E-2</c:v>
                </c:pt>
                <c:pt idx="50">
                  <c:v>1.14E-2</c:v>
                </c:pt>
                <c:pt idx="51">
                  <c:v>1.17E-2</c:v>
                </c:pt>
                <c:pt idx="52">
                  <c:v>1.2E-2</c:v>
                </c:pt>
                <c:pt idx="53">
                  <c:v>1.23E-2</c:v>
                </c:pt>
                <c:pt idx="54">
                  <c:v>1.26E-2</c:v>
                </c:pt>
                <c:pt idx="55">
                  <c:v>1.2800000000000001E-2</c:v>
                </c:pt>
                <c:pt idx="56">
                  <c:v>1.2999999999999999E-2</c:v>
                </c:pt>
                <c:pt idx="57">
                  <c:v>1.32E-2</c:v>
                </c:pt>
                <c:pt idx="58">
                  <c:v>1.34E-2</c:v>
                </c:pt>
                <c:pt idx="59">
                  <c:v>1.37E-2</c:v>
                </c:pt>
                <c:pt idx="60">
                  <c:v>1.4E-2</c:v>
                </c:pt>
                <c:pt idx="61">
                  <c:v>1.43E-2</c:v>
                </c:pt>
                <c:pt idx="62">
                  <c:v>1.4500000000000001E-2</c:v>
                </c:pt>
                <c:pt idx="63">
                  <c:v>1.47E-2</c:v>
                </c:pt>
                <c:pt idx="64">
                  <c:v>1.49E-2</c:v>
                </c:pt>
                <c:pt idx="65">
                  <c:v>1.5100000000000001E-2</c:v>
                </c:pt>
                <c:pt idx="66">
                  <c:v>1.55E-2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71-4E28-9941-B0C06CDAE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974103"/>
        <c:axId val="301011013"/>
      </c:lineChart>
      <c:catAx>
        <c:axId val="97797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1011013"/>
        <c:crosses val="autoZero"/>
        <c:auto val="1"/>
        <c:lblAlgn val="ctr"/>
        <c:lblOffset val="100"/>
        <c:noMultiLvlLbl val="1"/>
      </c:catAx>
      <c:valAx>
        <c:axId val="301011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79741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Dahe!$C$1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Dahe!$C$2:$C$67</c:f>
              <c:numCache>
                <c:formatCode>#,##0</c:formatCode>
                <c:ptCount val="66"/>
                <c:pt idx="0">
                  <c:v>890028339.57375264</c:v>
                </c:pt>
                <c:pt idx="1">
                  <c:v>888961585.67094743</c:v>
                </c:pt>
                <c:pt idx="2">
                  <c:v>887896110.33854115</c:v>
                </c:pt>
                <c:pt idx="3">
                  <c:v>886743343.99135232</c:v>
                </c:pt>
                <c:pt idx="4">
                  <c:v>885503638.8968966</c:v>
                </c:pt>
                <c:pt idx="5">
                  <c:v>884089096.34274817</c:v>
                </c:pt>
                <c:pt idx="6">
                  <c:v>882588695.56029558</c:v>
                </c:pt>
                <c:pt idx="7">
                  <c:v>880914957.14172626</c:v>
                </c:pt>
                <c:pt idx="8">
                  <c:v>879068912.42563248</c:v>
                </c:pt>
                <c:pt idx="9">
                  <c:v>876876720.62407231</c:v>
                </c:pt>
                <c:pt idx="10">
                  <c:v>874602753.46506321</c:v>
                </c:pt>
                <c:pt idx="11">
                  <c:v>872160703.49527657</c:v>
                </c:pt>
                <c:pt idx="12">
                  <c:v>869465360.87655914</c:v>
                </c:pt>
                <c:pt idx="13">
                  <c:v>866605562.52024221</c:v>
                </c:pt>
                <c:pt idx="14">
                  <c:v>863496973.41594481</c:v>
                </c:pt>
                <c:pt idx="15">
                  <c:v>860228106.61082363</c:v>
                </c:pt>
                <c:pt idx="16">
                  <c:v>856800902.99882829</c:v>
                </c:pt>
                <c:pt idx="17">
                  <c:v>853217389.9609921</c:v>
                </c:pt>
                <c:pt idx="18">
                  <c:v>849395111.95718479</c:v>
                </c:pt>
                <c:pt idx="19">
                  <c:v>845337491.99560595</c:v>
                </c:pt>
                <c:pt idx="20">
                  <c:v>840964476.7166791</c:v>
                </c:pt>
                <c:pt idx="21">
                  <c:v>836281301.42867851</c:v>
                </c:pt>
                <c:pt idx="22">
                  <c:v>831293540.18755317</c:v>
                </c:pt>
                <c:pt idx="23">
                  <c:v>826089178.36386085</c:v>
                </c:pt>
                <c:pt idx="24">
                  <c:v>820672738.29113936</c:v>
                </c:pt>
                <c:pt idx="25">
                  <c:v>815129855.2752676</c:v>
                </c:pt>
                <c:pt idx="26">
                  <c:v>809463610.00523102</c:v>
                </c:pt>
                <c:pt idx="27">
                  <c:v>803597349.35493994</c:v>
                </c:pt>
                <c:pt idx="28">
                  <c:v>797456930.98634505</c:v>
                </c:pt>
                <c:pt idx="29">
                  <c:v>790970969.04021525</c:v>
                </c:pt>
                <c:pt idx="30">
                  <c:v>784071142.98197401</c:v>
                </c:pt>
                <c:pt idx="31">
                  <c:v>776769509.59181094</c:v>
                </c:pt>
                <c:pt idx="32">
                  <c:v>769154876.31627977</c:v>
                </c:pt>
                <c:pt idx="33">
                  <c:v>761313348.82339883</c:v>
                </c:pt>
                <c:pt idx="34">
                  <c:v>753328071.26795852</c:v>
                </c:pt>
                <c:pt idx="35">
                  <c:v>745205333.13676786</c:v>
                </c:pt>
                <c:pt idx="36">
                  <c:v>736951476.5988605</c:v>
                </c:pt>
                <c:pt idx="37">
                  <c:v>728716974.78380346</c:v>
                </c:pt>
                <c:pt idx="38">
                  <c:v>720503237.87206185</c:v>
                </c:pt>
                <c:pt idx="39">
                  <c:v>712452524.34694135</c:v>
                </c:pt>
                <c:pt idx="40">
                  <c:v>704561436.26082015</c:v>
                </c:pt>
                <c:pt idx="41">
                  <c:v>696826660.33114433</c:v>
                </c:pt>
                <c:pt idx="42">
                  <c:v>689244965.70835257</c:v>
                </c:pt>
                <c:pt idx="43">
                  <c:v>681745762.32280183</c:v>
                </c:pt>
                <c:pt idx="44">
                  <c:v>674328152.64372098</c:v>
                </c:pt>
                <c:pt idx="45">
                  <c:v>666991248.90575767</c:v>
                </c:pt>
                <c:pt idx="46">
                  <c:v>659734173.00272775</c:v>
                </c:pt>
                <c:pt idx="47">
                  <c:v>652556056.38252008</c:v>
                </c:pt>
                <c:pt idx="48">
                  <c:v>645392202.92999709</c:v>
                </c:pt>
                <c:pt idx="49">
                  <c:v>638243871.56843054</c:v>
                </c:pt>
                <c:pt idx="50">
                  <c:v>631049902.67790246</c:v>
                </c:pt>
                <c:pt idx="51">
                  <c:v>623752004.22842979</c:v>
                </c:pt>
                <c:pt idx="52">
                  <c:v>616355735.40358675</c:v>
                </c:pt>
                <c:pt idx="53">
                  <c:v>608866675.29742837</c:v>
                </c:pt>
                <c:pt idx="54">
                  <c:v>601290416.0551337</c:v>
                </c:pt>
                <c:pt idx="55">
                  <c:v>593691169.09077191</c:v>
                </c:pt>
                <c:pt idx="56">
                  <c:v>586072230.09947872</c:v>
                </c:pt>
                <c:pt idx="57">
                  <c:v>578436863.50126195</c:v>
                </c:pt>
                <c:pt idx="58">
                  <c:v>570788300.27754283</c:v>
                </c:pt>
                <c:pt idx="59">
                  <c:v>563074183.95732737</c:v>
                </c:pt>
                <c:pt idx="60">
                  <c:v>555299984.17882383</c:v>
                </c:pt>
                <c:pt idx="61">
                  <c:v>547471146.7798717</c:v>
                </c:pt>
                <c:pt idx="62">
                  <c:v>539646275.78104651</c:v>
                </c:pt>
                <c:pt idx="63">
                  <c:v>531828398.32565939</c:v>
                </c:pt>
                <c:pt idx="64">
                  <c:v>524020492.98025364</c:v>
                </c:pt>
                <c:pt idx="65">
                  <c:v>516225488.10979575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5-4F98-832D-B79984429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822124"/>
        <c:axId val="1066356737"/>
      </c:lineChart>
      <c:catAx>
        <c:axId val="1786822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356737"/>
        <c:crosses val="autoZero"/>
        <c:auto val="1"/>
        <c:lblAlgn val="ctr"/>
        <c:lblOffset val="100"/>
        <c:noMultiLvlLbl val="1"/>
      </c:catAx>
      <c:valAx>
        <c:axId val="1066356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68221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Danocia!$D$1:$D$67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-2.8E-3</c:v>
                </c:pt>
                <c:pt idx="2">
                  <c:v>-3.0999999999999999E-3</c:v>
                </c:pt>
                <c:pt idx="3">
                  <c:v>-3.0000000000000001E-3</c:v>
                </c:pt>
                <c:pt idx="4">
                  <c:v>5.9999999999999995E-4</c:v>
                </c:pt>
                <c:pt idx="5">
                  <c:v>3.5999999999999999E-3</c:v>
                </c:pt>
                <c:pt idx="6">
                  <c:v>4.5999999999999999E-3</c:v>
                </c:pt>
                <c:pt idx="7">
                  <c:v>8.8999999999999999E-3</c:v>
                </c:pt>
                <c:pt idx="8">
                  <c:v>1.6E-2</c:v>
                </c:pt>
                <c:pt idx="9">
                  <c:v>1.8499999999999999E-2</c:v>
                </c:pt>
                <c:pt idx="10">
                  <c:v>1.6899999999999998E-2</c:v>
                </c:pt>
                <c:pt idx="11">
                  <c:v>1.6899999999999998E-2</c:v>
                </c:pt>
                <c:pt idx="12">
                  <c:v>1.7299999999999999E-2</c:v>
                </c:pt>
                <c:pt idx="13">
                  <c:v>1.8100000000000002E-2</c:v>
                </c:pt>
                <c:pt idx="14">
                  <c:v>1.41E-2</c:v>
                </c:pt>
                <c:pt idx="15">
                  <c:v>6.8999999999999999E-3</c:v>
                </c:pt>
                <c:pt idx="16">
                  <c:v>4.4999999999999997E-3</c:v>
                </c:pt>
                <c:pt idx="17">
                  <c:v>4.1000000000000003E-3</c:v>
                </c:pt>
                <c:pt idx="18">
                  <c:v>4.1000000000000003E-3</c:v>
                </c:pt>
                <c:pt idx="19">
                  <c:v>4.1999999999999997E-3</c:v>
                </c:pt>
                <c:pt idx="20">
                  <c:v>4.1999999999999997E-3</c:v>
                </c:pt>
                <c:pt idx="21">
                  <c:v>4.4000000000000003E-3</c:v>
                </c:pt>
                <c:pt idx="22">
                  <c:v>4.7999999999999996E-3</c:v>
                </c:pt>
                <c:pt idx="23">
                  <c:v>5.1999999999999998E-3</c:v>
                </c:pt>
                <c:pt idx="24">
                  <c:v>4.8999999999999998E-3</c:v>
                </c:pt>
                <c:pt idx="25">
                  <c:v>2.5000000000000001E-3</c:v>
                </c:pt>
                <c:pt idx="26">
                  <c:v>1E-3</c:v>
                </c:pt>
                <c:pt idx="27">
                  <c:v>1.6000000000000001E-3</c:v>
                </c:pt>
                <c:pt idx="28">
                  <c:v>2.0999999999999999E-3</c:v>
                </c:pt>
                <c:pt idx="29">
                  <c:v>2.5999999999999999E-3</c:v>
                </c:pt>
                <c:pt idx="30">
                  <c:v>3.0000000000000001E-3</c:v>
                </c:pt>
                <c:pt idx="31">
                  <c:v>3.5999999999999999E-3</c:v>
                </c:pt>
                <c:pt idx="32">
                  <c:v>4.1999999999999997E-3</c:v>
                </c:pt>
                <c:pt idx="33">
                  <c:v>4.8999999999999998E-3</c:v>
                </c:pt>
                <c:pt idx="34">
                  <c:v>6.0000000000000001E-3</c:v>
                </c:pt>
                <c:pt idx="35">
                  <c:v>7.1000000000000004E-3</c:v>
                </c:pt>
                <c:pt idx="36">
                  <c:v>8.0000000000000002E-3</c:v>
                </c:pt>
                <c:pt idx="37">
                  <c:v>8.8000000000000005E-3</c:v>
                </c:pt>
                <c:pt idx="38">
                  <c:v>9.5999999999999992E-3</c:v>
                </c:pt>
                <c:pt idx="39">
                  <c:v>1.03E-2</c:v>
                </c:pt>
                <c:pt idx="40">
                  <c:v>1.06E-2</c:v>
                </c:pt>
                <c:pt idx="41">
                  <c:v>1.0800000000000001E-2</c:v>
                </c:pt>
                <c:pt idx="42">
                  <c:v>1.09E-2</c:v>
                </c:pt>
                <c:pt idx="43">
                  <c:v>1.0999999999999999E-2</c:v>
                </c:pt>
                <c:pt idx="44">
                  <c:v>1.0999999999999999E-2</c:v>
                </c:pt>
                <c:pt idx="45">
                  <c:v>1.21E-2</c:v>
                </c:pt>
                <c:pt idx="46">
                  <c:v>1.11E-2</c:v>
                </c:pt>
                <c:pt idx="47">
                  <c:v>9.9000000000000008E-3</c:v>
                </c:pt>
                <c:pt idx="48">
                  <c:v>1.3100000000000001E-2</c:v>
                </c:pt>
                <c:pt idx="49">
                  <c:v>1.23E-2</c:v>
                </c:pt>
                <c:pt idx="50">
                  <c:v>1.0200000000000001E-2</c:v>
                </c:pt>
                <c:pt idx="51">
                  <c:v>1.09E-2</c:v>
                </c:pt>
                <c:pt idx="52">
                  <c:v>9.9000000000000008E-3</c:v>
                </c:pt>
                <c:pt idx="53">
                  <c:v>8.8000000000000005E-3</c:v>
                </c:pt>
                <c:pt idx="54">
                  <c:v>9.1999999999999998E-3</c:v>
                </c:pt>
                <c:pt idx="55">
                  <c:v>9.2999999999999992E-3</c:v>
                </c:pt>
                <c:pt idx="56">
                  <c:v>8.9999999999999993E-3</c:v>
                </c:pt>
                <c:pt idx="57">
                  <c:v>8.5000000000000006E-3</c:v>
                </c:pt>
                <c:pt idx="58">
                  <c:v>8.5000000000000006E-3</c:v>
                </c:pt>
                <c:pt idx="59">
                  <c:v>8.5000000000000006E-3</c:v>
                </c:pt>
                <c:pt idx="60">
                  <c:v>8.5000000000000006E-3</c:v>
                </c:pt>
                <c:pt idx="61">
                  <c:v>8.5000000000000006E-3</c:v>
                </c:pt>
                <c:pt idx="62">
                  <c:v>8.5000000000000006E-3</c:v>
                </c:pt>
                <c:pt idx="63">
                  <c:v>8.5000000000000006E-3</c:v>
                </c:pt>
                <c:pt idx="64">
                  <c:v>8.0000000000000002E-3</c:v>
                </c:pt>
                <c:pt idx="65">
                  <c:v>7.4999999999999997E-3</c:v>
                </c:pt>
                <c:pt idx="66">
                  <c:v>7.0000000000000001E-3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CD-411F-A0DD-CE93B1D18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955211"/>
        <c:axId val="157732734"/>
      </c:lineChart>
      <c:catAx>
        <c:axId val="1426955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732734"/>
        <c:crosses val="autoZero"/>
        <c:auto val="1"/>
        <c:lblAlgn val="ctr"/>
        <c:lblOffset val="100"/>
        <c:noMultiLvlLbl val="1"/>
      </c:catAx>
      <c:valAx>
        <c:axId val="157732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69552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Danocia!$C$1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Danocia!$C$2:$C$67</c:f>
              <c:numCache>
                <c:formatCode>#,##0</c:formatCode>
                <c:ptCount val="66"/>
                <c:pt idx="0">
                  <c:v>2020946.7840944673</c:v>
                </c:pt>
                <c:pt idx="1">
                  <c:v>2026621.3238011105</c:v>
                </c:pt>
                <c:pt idx="2">
                  <c:v>2032923.3862986362</c:v>
                </c:pt>
                <c:pt idx="3">
                  <c:v>2039040.5078221026</c:v>
                </c:pt>
                <c:pt idx="4">
                  <c:v>2037817.8171318236</c:v>
                </c:pt>
                <c:pt idx="5">
                  <c:v>2030507.9883736782</c:v>
                </c:pt>
                <c:pt idx="6">
                  <c:v>2021210.4204396559</c:v>
                </c:pt>
                <c:pt idx="7">
                  <c:v>2003380.3354541145</c:v>
                </c:pt>
                <c:pt idx="8">
                  <c:v>1971831.0388327898</c:v>
                </c:pt>
                <c:pt idx="9">
                  <c:v>1936014.765667933</c:v>
                </c:pt>
                <c:pt idx="10">
                  <c:v>1903839.8718339396</c:v>
                </c:pt>
                <c:pt idx="11">
                  <c:v>1872199.6969553935</c:v>
                </c:pt>
                <c:pt idx="12">
                  <c:v>1840361.4439746323</c:v>
                </c:pt>
                <c:pt idx="13">
                  <c:v>1807643.1037959261</c:v>
                </c:pt>
                <c:pt idx="14">
                  <c:v>1782509.7167891983</c:v>
                </c:pt>
                <c:pt idx="15">
                  <c:v>1770294.6834732331</c:v>
                </c:pt>
                <c:pt idx="16">
                  <c:v>1762364.0452695205</c:v>
                </c:pt>
                <c:pt idx="17">
                  <c:v>1755167.8570555926</c:v>
                </c:pt>
                <c:pt idx="18">
                  <c:v>1748001.0527393613</c:v>
                </c:pt>
                <c:pt idx="19">
                  <c:v>1740690.1540921743</c:v>
                </c:pt>
                <c:pt idx="20">
                  <c:v>1733409.8327944377</c:v>
                </c:pt>
                <c:pt idx="21">
                  <c:v>1725816.2413325743</c:v>
                </c:pt>
                <c:pt idx="22">
                  <c:v>1717571.8962306671</c:v>
                </c:pt>
                <c:pt idx="23">
                  <c:v>1708686.7252593185</c:v>
                </c:pt>
                <c:pt idx="24">
                  <c:v>1700354.9858287578</c:v>
                </c:pt>
                <c:pt idx="25">
                  <c:v>1696114.6990810551</c:v>
                </c:pt>
                <c:pt idx="26">
                  <c:v>1694420.2788022531</c:v>
                </c:pt>
                <c:pt idx="27">
                  <c:v>1691713.5371428244</c:v>
                </c:pt>
                <c:pt idx="28">
                  <c:v>1688168.3835373959</c:v>
                </c:pt>
                <c:pt idx="29">
                  <c:v>1683790.5281641691</c:v>
                </c:pt>
                <c:pt idx="30">
                  <c:v>1678754.2653680651</c:v>
                </c:pt>
                <c:pt idx="31">
                  <c:v>1672732.4286250151</c:v>
                </c:pt>
                <c:pt idx="32">
                  <c:v>1665736.3360137574</c:v>
                </c:pt>
                <c:pt idx="33">
                  <c:v>1657614.027280085</c:v>
                </c:pt>
                <c:pt idx="34">
                  <c:v>1647727.6613122118</c:v>
                </c:pt>
                <c:pt idx="35">
                  <c:v>1636111.2712860804</c:v>
                </c:pt>
                <c:pt idx="36">
                  <c:v>1623126.2611965083</c:v>
                </c:pt>
                <c:pt idx="37">
                  <c:v>1608967.3485294492</c:v>
                </c:pt>
                <c:pt idx="38">
                  <c:v>1593668.1344388362</c:v>
                </c:pt>
                <c:pt idx="39">
                  <c:v>1577420.7012163084</c:v>
                </c:pt>
                <c:pt idx="40">
                  <c:v>1560875.421745803</c:v>
                </c:pt>
                <c:pt idx="41">
                  <c:v>1544198.0824552861</c:v>
                </c:pt>
                <c:pt idx="42">
                  <c:v>1527547.8113119856</c:v>
                </c:pt>
                <c:pt idx="43">
                  <c:v>1510927.6076280768</c:v>
                </c:pt>
                <c:pt idx="44">
                  <c:v>1494488.2370208476</c:v>
                </c:pt>
                <c:pt idx="45">
                  <c:v>1476621.1214512871</c:v>
                </c:pt>
                <c:pt idx="46">
                  <c:v>1460410.5641887912</c:v>
                </c:pt>
                <c:pt idx="47">
                  <c:v>1446094.2312989316</c:v>
                </c:pt>
                <c:pt idx="48">
                  <c:v>1427395.352185304</c:v>
                </c:pt>
                <c:pt idx="49">
                  <c:v>1410051.7160775503</c:v>
                </c:pt>
                <c:pt idx="50">
                  <c:v>1395814.4091046825</c:v>
                </c:pt>
                <c:pt idx="51">
                  <c:v>1380764.0806258607</c:v>
                </c:pt>
                <c:pt idx="52">
                  <c:v>1367228.5182947428</c:v>
                </c:pt>
                <c:pt idx="53">
                  <c:v>1355301.8619099355</c:v>
                </c:pt>
                <c:pt idx="54">
                  <c:v>1342946.7517934358</c:v>
                </c:pt>
                <c:pt idx="55">
                  <c:v>1330572.4282110727</c:v>
                </c:pt>
                <c:pt idx="56">
                  <c:v>1318704.0913885757</c:v>
                </c:pt>
                <c:pt idx="57">
                  <c:v>1307589.579958925</c:v>
                </c:pt>
                <c:pt idx="58">
                  <c:v>1296568.7456211452</c:v>
                </c:pt>
                <c:pt idx="59">
                  <c:v>1285640.798831081</c:v>
                </c:pt>
                <c:pt idx="60">
                  <c:v>1274804.9566991385</c:v>
                </c:pt>
                <c:pt idx="61">
                  <c:v>1264060.4429341978</c:v>
                </c:pt>
                <c:pt idx="62">
                  <c:v>1253406.4877879999</c:v>
                </c:pt>
                <c:pt idx="63">
                  <c:v>1242842.328</c:v>
                </c:pt>
                <c:pt idx="64">
                  <c:v>1232978.5</c:v>
                </c:pt>
                <c:pt idx="65">
                  <c:v>1223800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F4-4364-AAAC-C8FCFE0CF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264628"/>
        <c:axId val="1420732789"/>
      </c:lineChart>
      <c:catAx>
        <c:axId val="1499264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0732789"/>
        <c:crosses val="autoZero"/>
        <c:auto val="1"/>
        <c:lblAlgn val="ctr"/>
        <c:lblOffset val="100"/>
        <c:noMultiLvlLbl val="1"/>
      </c:catAx>
      <c:valAx>
        <c:axId val="1420732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92646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Darewa!$D$1:$D$67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-3.5999999999999999E-3</c:v>
                </c:pt>
                <c:pt idx="2">
                  <c:v>-4.0000000000000001E-3</c:v>
                </c:pt>
                <c:pt idx="3">
                  <c:v>-4.7999999999999996E-3</c:v>
                </c:pt>
                <c:pt idx="4">
                  <c:v>-5.1999999999999998E-3</c:v>
                </c:pt>
                <c:pt idx="5">
                  <c:v>-2.8E-3</c:v>
                </c:pt>
                <c:pt idx="6">
                  <c:v>-2.3E-3</c:v>
                </c:pt>
                <c:pt idx="7">
                  <c:v>-1.5E-3</c:v>
                </c:pt>
                <c:pt idx="8">
                  <c:v>-1.8E-3</c:v>
                </c:pt>
                <c:pt idx="9">
                  <c:v>-1.5E-3</c:v>
                </c:pt>
                <c:pt idx="10">
                  <c:v>-1.6000000000000001E-3</c:v>
                </c:pt>
                <c:pt idx="11">
                  <c:v>-2E-3</c:v>
                </c:pt>
                <c:pt idx="12">
                  <c:v>-2.2000000000000001E-3</c:v>
                </c:pt>
                <c:pt idx="13">
                  <c:v>-2.8999999999999998E-3</c:v>
                </c:pt>
                <c:pt idx="14">
                  <c:v>-2.8E-3</c:v>
                </c:pt>
                <c:pt idx="15">
                  <c:v>-2.3E-3</c:v>
                </c:pt>
                <c:pt idx="16">
                  <c:v>-2.5999999999999999E-3</c:v>
                </c:pt>
                <c:pt idx="17">
                  <c:v>-2.8E-3</c:v>
                </c:pt>
                <c:pt idx="18">
                  <c:v>-2.3E-3</c:v>
                </c:pt>
                <c:pt idx="19">
                  <c:v>-2E-3</c:v>
                </c:pt>
                <c:pt idx="20">
                  <c:v>-1.6999999999999999E-3</c:v>
                </c:pt>
                <c:pt idx="21">
                  <c:v>-1.4E-3</c:v>
                </c:pt>
                <c:pt idx="22">
                  <c:v>-1.4E-3</c:v>
                </c:pt>
                <c:pt idx="23">
                  <c:v>-1.1000000000000001E-3</c:v>
                </c:pt>
                <c:pt idx="24">
                  <c:v>-4.0000000000000002E-4</c:v>
                </c:pt>
                <c:pt idx="25">
                  <c:v>-1E-4</c:v>
                </c:pt>
                <c:pt idx="26">
                  <c:v>-1.03E-2</c:v>
                </c:pt>
                <c:pt idx="27">
                  <c:v>-1.09E-2</c:v>
                </c:pt>
                <c:pt idx="28">
                  <c:v>-1.5E-3</c:v>
                </c:pt>
                <c:pt idx="29">
                  <c:v>-1.6999999999999999E-3</c:v>
                </c:pt>
                <c:pt idx="30">
                  <c:v>-1.6999999999999999E-3</c:v>
                </c:pt>
                <c:pt idx="31">
                  <c:v>-1.8E-3</c:v>
                </c:pt>
                <c:pt idx="32">
                  <c:v>-2E-3</c:v>
                </c:pt>
                <c:pt idx="33">
                  <c:v>-1.5E-3</c:v>
                </c:pt>
                <c:pt idx="34">
                  <c:v>-5.9999999999999995E-4</c:v>
                </c:pt>
                <c:pt idx="35">
                  <c:v>1E-4</c:v>
                </c:pt>
                <c:pt idx="36">
                  <c:v>6.9999999999999999E-4</c:v>
                </c:pt>
                <c:pt idx="37">
                  <c:v>1.8E-3</c:v>
                </c:pt>
                <c:pt idx="38">
                  <c:v>3.3999999999999998E-3</c:v>
                </c:pt>
                <c:pt idx="39">
                  <c:v>4.5999999999999999E-3</c:v>
                </c:pt>
                <c:pt idx="40">
                  <c:v>5.4999999999999997E-3</c:v>
                </c:pt>
                <c:pt idx="41">
                  <c:v>5.8999999999999999E-3</c:v>
                </c:pt>
                <c:pt idx="42">
                  <c:v>4.4999999999999997E-3</c:v>
                </c:pt>
                <c:pt idx="43">
                  <c:v>3.2000000000000002E-3</c:v>
                </c:pt>
                <c:pt idx="44">
                  <c:v>3.0000000000000001E-3</c:v>
                </c:pt>
                <c:pt idx="45">
                  <c:v>2.8999999999999998E-3</c:v>
                </c:pt>
                <c:pt idx="46">
                  <c:v>3.8E-3</c:v>
                </c:pt>
                <c:pt idx="47">
                  <c:v>4.1999999999999997E-3</c:v>
                </c:pt>
                <c:pt idx="48">
                  <c:v>3.8E-3</c:v>
                </c:pt>
                <c:pt idx="49">
                  <c:v>3.7000000000000002E-3</c:v>
                </c:pt>
                <c:pt idx="50">
                  <c:v>3.0000000000000001E-3</c:v>
                </c:pt>
                <c:pt idx="51">
                  <c:v>2.8E-3</c:v>
                </c:pt>
                <c:pt idx="52">
                  <c:v>3.2000000000000002E-3</c:v>
                </c:pt>
                <c:pt idx="53">
                  <c:v>2.7000000000000001E-3</c:v>
                </c:pt>
                <c:pt idx="54">
                  <c:v>3.3E-3</c:v>
                </c:pt>
                <c:pt idx="55">
                  <c:v>4.4000000000000003E-3</c:v>
                </c:pt>
                <c:pt idx="56">
                  <c:v>4.4999999999999997E-3</c:v>
                </c:pt>
                <c:pt idx="57">
                  <c:v>5.0000000000000001E-3</c:v>
                </c:pt>
                <c:pt idx="58">
                  <c:v>5.4999999999999997E-3</c:v>
                </c:pt>
                <c:pt idx="59">
                  <c:v>3.0000000000000001E-3</c:v>
                </c:pt>
                <c:pt idx="60">
                  <c:v>-1.4999999999999999E-2</c:v>
                </c:pt>
                <c:pt idx="61">
                  <c:v>1.2999999999999999E-2</c:v>
                </c:pt>
                <c:pt idx="62">
                  <c:v>1.4E-2</c:v>
                </c:pt>
                <c:pt idx="63">
                  <c:v>1.2E-2</c:v>
                </c:pt>
                <c:pt idx="64">
                  <c:v>1.0500000000000001E-2</c:v>
                </c:pt>
                <c:pt idx="65">
                  <c:v>0.01</c:v>
                </c:pt>
                <c:pt idx="66">
                  <c:v>9.4999999999999998E-3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9-45AC-9983-4C7B2C1B9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614740"/>
        <c:axId val="113092341"/>
      </c:lineChart>
      <c:catAx>
        <c:axId val="827614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092341"/>
        <c:crosses val="autoZero"/>
        <c:auto val="1"/>
        <c:lblAlgn val="ctr"/>
        <c:lblOffset val="100"/>
        <c:noMultiLvlLbl val="1"/>
      </c:catAx>
      <c:valAx>
        <c:axId val="113092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76147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Darewa!$C$1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Darewa!$C$2:$C$67</c:f>
              <c:numCache>
                <c:formatCode>#,##0</c:formatCode>
                <c:ptCount val="66"/>
                <c:pt idx="0">
                  <c:v>19679133.337576129</c:v>
                </c:pt>
                <c:pt idx="1">
                  <c:v>19750234.180626385</c:v>
                </c:pt>
                <c:pt idx="2">
                  <c:v>19829552.390187133</c:v>
                </c:pt>
                <c:pt idx="3">
                  <c:v>19925193.31811408</c:v>
                </c:pt>
                <c:pt idx="4">
                  <c:v>20029345.916881867</c:v>
                </c:pt>
                <c:pt idx="5">
                  <c:v>20085585.556439899</c:v>
                </c:pt>
                <c:pt idx="6">
                  <c:v>20131888.900911994</c:v>
                </c:pt>
                <c:pt idx="7">
                  <c:v>20162132.099060584</c:v>
                </c:pt>
                <c:pt idx="8">
                  <c:v>20198489.379944485</c:v>
                </c:pt>
                <c:pt idx="9">
                  <c:v>20228832.628887814</c:v>
                </c:pt>
                <c:pt idx="10">
                  <c:v>20261250.629895646</c:v>
                </c:pt>
                <c:pt idx="11">
                  <c:v>20301854.338572793</c:v>
                </c:pt>
                <c:pt idx="12">
                  <c:v>20346616.89574343</c:v>
                </c:pt>
                <c:pt idx="13">
                  <c:v>20405793.697466083</c:v>
                </c:pt>
                <c:pt idx="14">
                  <c:v>20463090.350447334</c:v>
                </c:pt>
                <c:pt idx="15">
                  <c:v>20510263.957549699</c:v>
                </c:pt>
                <c:pt idx="16">
                  <c:v>20563729.654651795</c:v>
                </c:pt>
                <c:pt idx="17">
                  <c:v>20621469.770007815</c:v>
                </c:pt>
                <c:pt idx="18">
                  <c:v>20669008.489533741</c:v>
                </c:pt>
                <c:pt idx="19">
                  <c:v>20710429.348230202</c:v>
                </c:pt>
                <c:pt idx="20">
                  <c:v>20745697.033186618</c:v>
                </c:pt>
                <c:pt idx="21">
                  <c:v>20774781.727605265</c:v>
                </c:pt>
                <c:pt idx="22">
                  <c:v>20803907.197682019</c:v>
                </c:pt>
                <c:pt idx="23">
                  <c:v>20826816.696047671</c:v>
                </c:pt>
                <c:pt idx="24">
                  <c:v>20835150.756350212</c:v>
                </c:pt>
                <c:pt idx="25">
                  <c:v>20837234.47979819</c:v>
                </c:pt>
                <c:pt idx="26">
                  <c:v>21054091.623520449</c:v>
                </c:pt>
                <c:pt idx="27">
                  <c:v>21286110.22497265</c:v>
                </c:pt>
                <c:pt idx="28">
                  <c:v>21318087.35600666</c:v>
                </c:pt>
                <c:pt idx="29">
                  <c:v>21354389.818698447</c:v>
                </c:pt>
                <c:pt idx="30">
                  <c:v>21390754.100669585</c:v>
                </c:pt>
                <c:pt idx="31">
                  <c:v>21429326.889069911</c:v>
                </c:pt>
                <c:pt idx="32">
                  <c:v>21472271.431933779</c:v>
                </c:pt>
                <c:pt idx="33">
                  <c:v>21504528.224270184</c:v>
                </c:pt>
                <c:pt idx="34">
                  <c:v>21517438.687482674</c:v>
                </c:pt>
                <c:pt idx="35">
                  <c:v>21515287.158766799</c:v>
                </c:pt>
                <c:pt idx="36">
                  <c:v>21500236.992871791</c:v>
                </c:pt>
                <c:pt idx="37">
                  <c:v>21461606.101888392</c:v>
                </c:pt>
                <c:pt idx="38">
                  <c:v>21388883.896639816</c:v>
                </c:pt>
                <c:pt idx="39">
                  <c:v>21290945.547123052</c:v>
                </c:pt>
                <c:pt idx="40">
                  <c:v>21174485.874811586</c:v>
                </c:pt>
                <c:pt idx="41">
                  <c:v>21050289.168716159</c:v>
                </c:pt>
                <c:pt idx="42">
                  <c:v>20955987.226198267</c:v>
                </c:pt>
                <c:pt idx="43">
                  <c:v>20889141.971888222</c:v>
                </c:pt>
                <c:pt idx="44">
                  <c:v>20826661.985930432</c:v>
                </c:pt>
                <c:pt idx="45">
                  <c:v>20766439.311925847</c:v>
                </c:pt>
                <c:pt idx="46">
                  <c:v>20687825.574741829</c:v>
                </c:pt>
                <c:pt idx="47">
                  <c:v>20601300.114261929</c:v>
                </c:pt>
                <c:pt idx="48">
                  <c:v>20523311.530446231</c:v>
                </c:pt>
                <c:pt idx="49">
                  <c:v>20447655.206183352</c:v>
                </c:pt>
                <c:pt idx="50">
                  <c:v>20386495.719026275</c:v>
                </c:pt>
                <c:pt idx="51">
                  <c:v>20329572.914864656</c:v>
                </c:pt>
                <c:pt idx="52">
                  <c:v>20264725.7923292</c:v>
                </c:pt>
                <c:pt idx="53">
                  <c:v>20210158.364744391</c:v>
                </c:pt>
                <c:pt idx="54">
                  <c:v>20143684.206861746</c:v>
                </c:pt>
                <c:pt idx="55">
                  <c:v>20055440.269675177</c:v>
                </c:pt>
                <c:pt idx="56">
                  <c:v>19965595.091762248</c:v>
                </c:pt>
                <c:pt idx="57">
                  <c:v>19866263.772897761</c:v>
                </c:pt>
                <c:pt idx="58">
                  <c:v>19757596.989455752</c:v>
                </c:pt>
                <c:pt idx="59">
                  <c:v>19698501.485000752</c:v>
                </c:pt>
                <c:pt idx="60">
                  <c:v>19998478.664975382</c:v>
                </c:pt>
                <c:pt idx="61">
                  <c:v>19741834.812414002</c:v>
                </c:pt>
                <c:pt idx="62">
                  <c:v>19469265.101</c:v>
                </c:pt>
                <c:pt idx="63">
                  <c:v>19238404.25</c:v>
                </c:pt>
                <c:pt idx="64">
                  <c:v>19038500</c:v>
                </c:pt>
                <c:pt idx="65">
                  <c:v>18850000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57-4096-89A4-65240E32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840938"/>
        <c:axId val="131472289"/>
      </c:lineChart>
      <c:catAx>
        <c:axId val="1914840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472289"/>
        <c:crosses val="autoZero"/>
        <c:auto val="1"/>
        <c:lblAlgn val="ctr"/>
        <c:lblOffset val="100"/>
        <c:noMultiLvlLbl val="1"/>
      </c:catAx>
      <c:valAx>
        <c:axId val="131472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48409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Desaki!$D$1:$D$67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2.06E-2</c:v>
                </c:pt>
                <c:pt idx="2">
                  <c:v>2.0400000000000001E-2</c:v>
                </c:pt>
                <c:pt idx="3">
                  <c:v>2.0199999999999999E-2</c:v>
                </c:pt>
                <c:pt idx="4">
                  <c:v>1.9900000000000001E-2</c:v>
                </c:pt>
                <c:pt idx="5">
                  <c:v>1.9599999999999999E-2</c:v>
                </c:pt>
                <c:pt idx="6">
                  <c:v>1.95E-2</c:v>
                </c:pt>
                <c:pt idx="7">
                  <c:v>1.9199999999999998E-2</c:v>
                </c:pt>
                <c:pt idx="8">
                  <c:v>1.8200000000000001E-2</c:v>
                </c:pt>
                <c:pt idx="9">
                  <c:v>1.67E-2</c:v>
                </c:pt>
                <c:pt idx="10">
                  <c:v>1.54E-2</c:v>
                </c:pt>
                <c:pt idx="11">
                  <c:v>1.46E-2</c:v>
                </c:pt>
                <c:pt idx="12">
                  <c:v>1.4E-2</c:v>
                </c:pt>
                <c:pt idx="13">
                  <c:v>1.3299999999999999E-2</c:v>
                </c:pt>
                <c:pt idx="14">
                  <c:v>1.3299999999999999E-2</c:v>
                </c:pt>
                <c:pt idx="15">
                  <c:v>1.37E-2</c:v>
                </c:pt>
                <c:pt idx="16">
                  <c:v>1.4E-2</c:v>
                </c:pt>
                <c:pt idx="17">
                  <c:v>1.3899999999999999E-2</c:v>
                </c:pt>
                <c:pt idx="18">
                  <c:v>1.5900000000000001E-2</c:v>
                </c:pt>
                <c:pt idx="19">
                  <c:v>1.8599999999999998E-2</c:v>
                </c:pt>
                <c:pt idx="20">
                  <c:v>1.9599999999999999E-2</c:v>
                </c:pt>
                <c:pt idx="21">
                  <c:v>2.07E-2</c:v>
                </c:pt>
                <c:pt idx="22">
                  <c:v>2.2100000000000002E-2</c:v>
                </c:pt>
                <c:pt idx="23">
                  <c:v>2.41E-2</c:v>
                </c:pt>
                <c:pt idx="24">
                  <c:v>2.4400000000000002E-2</c:v>
                </c:pt>
                <c:pt idx="25">
                  <c:v>2.3800000000000002E-2</c:v>
                </c:pt>
                <c:pt idx="26">
                  <c:v>2.4799999999999999E-2</c:v>
                </c:pt>
                <c:pt idx="27">
                  <c:v>2.64E-2</c:v>
                </c:pt>
                <c:pt idx="28">
                  <c:v>2.8000000000000001E-2</c:v>
                </c:pt>
                <c:pt idx="29">
                  <c:v>3.0200000000000001E-2</c:v>
                </c:pt>
                <c:pt idx="30">
                  <c:v>3.2899999999999999E-2</c:v>
                </c:pt>
                <c:pt idx="31">
                  <c:v>3.4000000000000002E-2</c:v>
                </c:pt>
                <c:pt idx="32">
                  <c:v>3.4099999999999998E-2</c:v>
                </c:pt>
                <c:pt idx="33">
                  <c:v>3.39E-2</c:v>
                </c:pt>
                <c:pt idx="34">
                  <c:v>3.3300000000000003E-2</c:v>
                </c:pt>
                <c:pt idx="35">
                  <c:v>3.2399999999999998E-2</c:v>
                </c:pt>
                <c:pt idx="36">
                  <c:v>3.1099999999999999E-2</c:v>
                </c:pt>
                <c:pt idx="37">
                  <c:v>2.98E-2</c:v>
                </c:pt>
                <c:pt idx="38">
                  <c:v>2.8400000000000002E-2</c:v>
                </c:pt>
                <c:pt idx="39">
                  <c:v>3.6299999999999999E-2</c:v>
                </c:pt>
                <c:pt idx="40">
                  <c:v>4.5499999999999999E-2</c:v>
                </c:pt>
                <c:pt idx="41">
                  <c:v>3.5400000000000001E-2</c:v>
                </c:pt>
                <c:pt idx="42">
                  <c:v>2.4199999999999999E-2</c:v>
                </c:pt>
                <c:pt idx="43">
                  <c:v>2.3599999999999999E-2</c:v>
                </c:pt>
                <c:pt idx="44">
                  <c:v>2.3E-2</c:v>
                </c:pt>
                <c:pt idx="45">
                  <c:v>2.2599999999999999E-2</c:v>
                </c:pt>
                <c:pt idx="46">
                  <c:v>2.2599999999999999E-2</c:v>
                </c:pt>
                <c:pt idx="47">
                  <c:v>2.2800000000000001E-2</c:v>
                </c:pt>
                <c:pt idx="48">
                  <c:v>2.2800000000000001E-2</c:v>
                </c:pt>
                <c:pt idx="49">
                  <c:v>2.2499999999999999E-2</c:v>
                </c:pt>
                <c:pt idx="50">
                  <c:v>1.7999999999999999E-2</c:v>
                </c:pt>
                <c:pt idx="51">
                  <c:v>1.52E-2</c:v>
                </c:pt>
                <c:pt idx="52">
                  <c:v>1.6400000000000001E-2</c:v>
                </c:pt>
                <c:pt idx="53">
                  <c:v>1.5299999999999999E-2</c:v>
                </c:pt>
                <c:pt idx="54">
                  <c:v>1.47E-2</c:v>
                </c:pt>
                <c:pt idx="55">
                  <c:v>1.77E-2</c:v>
                </c:pt>
                <c:pt idx="56">
                  <c:v>1.7000000000000001E-2</c:v>
                </c:pt>
                <c:pt idx="57">
                  <c:v>1.7000000000000001E-2</c:v>
                </c:pt>
                <c:pt idx="58">
                  <c:v>1.6E-2</c:v>
                </c:pt>
                <c:pt idx="59">
                  <c:v>1.7000000000000001E-2</c:v>
                </c:pt>
                <c:pt idx="60">
                  <c:v>1.7999999999999999E-2</c:v>
                </c:pt>
                <c:pt idx="61">
                  <c:v>1.9E-2</c:v>
                </c:pt>
                <c:pt idx="62">
                  <c:v>0.02</c:v>
                </c:pt>
                <c:pt idx="63">
                  <c:v>0.02</c:v>
                </c:pt>
                <c:pt idx="64">
                  <c:v>1.9E-2</c:v>
                </c:pt>
                <c:pt idx="65">
                  <c:v>1.7999999999999999E-2</c:v>
                </c:pt>
                <c:pt idx="66">
                  <c:v>1.7999999999999999E-2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44-4541-9DA2-D248CF37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088495"/>
        <c:axId val="897598776"/>
      </c:lineChart>
      <c:catAx>
        <c:axId val="38408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7598776"/>
        <c:crosses val="autoZero"/>
        <c:auto val="1"/>
        <c:lblAlgn val="ctr"/>
        <c:lblOffset val="100"/>
        <c:noMultiLvlLbl val="1"/>
      </c:catAx>
      <c:valAx>
        <c:axId val="897598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40884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Desaki!$C$1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Desaki!$C$2:$C$67</c:f>
              <c:numCache>
                <c:formatCode>#,##0</c:formatCode>
                <c:ptCount val="66"/>
                <c:pt idx="0">
                  <c:v>29181367.652544163</c:v>
                </c:pt>
                <c:pt idx="1">
                  <c:v>28592364.934885524</c:v>
                </c:pt>
                <c:pt idx="2">
                  <c:v>28020741.802122232</c:v>
                </c:pt>
                <c:pt idx="3">
                  <c:v>27465930.015803009</c:v>
                </c:pt>
                <c:pt idx="4">
                  <c:v>26930022.566725176</c:v>
                </c:pt>
                <c:pt idx="5">
                  <c:v>26412340.689216532</c:v>
                </c:pt>
                <c:pt idx="6">
                  <c:v>25907151.240035832</c:v>
                </c:pt>
                <c:pt idx="7">
                  <c:v>25419104.434886016</c:v>
                </c:pt>
                <c:pt idx="8">
                  <c:v>24964746.056654897</c:v>
                </c:pt>
                <c:pt idx="9">
                  <c:v>24554682.853009637</c:v>
                </c:pt>
                <c:pt idx="10">
                  <c:v>24182275.805603344</c:v>
                </c:pt>
                <c:pt idx="11">
                  <c:v>23834295.097184453</c:v>
                </c:pt>
                <c:pt idx="12">
                  <c:v>23505221.989333779</c:v>
                </c:pt>
                <c:pt idx="13">
                  <c:v>23196705.802164983</c:v>
                </c:pt>
                <c:pt idx="14">
                  <c:v>22892239.023156993</c:v>
                </c:pt>
                <c:pt idx="15">
                  <c:v>22582853.924392812</c:v>
                </c:pt>
                <c:pt idx="16">
                  <c:v>22271059.097034331</c:v>
                </c:pt>
                <c:pt idx="17">
                  <c:v>21965735.375317417</c:v>
                </c:pt>
                <c:pt idx="18">
                  <c:v>21621946.42712611</c:v>
                </c:pt>
                <c:pt idx="19">
                  <c:v>21227121.958694395</c:v>
                </c:pt>
                <c:pt idx="20">
                  <c:v>20819068.221551973</c:v>
                </c:pt>
                <c:pt idx="21">
                  <c:v>20396853.357060816</c:v>
                </c:pt>
                <c:pt idx="22">
                  <c:v>19955829.524567865</c:v>
                </c:pt>
                <c:pt idx="23">
                  <c:v>19486211.819712788</c:v>
                </c:pt>
                <c:pt idx="24">
                  <c:v>19022073.232831694</c:v>
                </c:pt>
                <c:pt idx="25">
                  <c:v>18579872.272740468</c:v>
                </c:pt>
                <c:pt idx="26">
                  <c:v>18130242.264578912</c:v>
                </c:pt>
                <c:pt idx="27">
                  <c:v>17663914.91093035</c:v>
                </c:pt>
                <c:pt idx="28">
                  <c:v>17182796.605963375</c:v>
                </c:pt>
                <c:pt idx="29">
                  <c:v>16679088.144014148</c:v>
                </c:pt>
                <c:pt idx="30">
                  <c:v>16147824.711021541</c:v>
                </c:pt>
                <c:pt idx="31">
                  <c:v>15616851.751471508</c:v>
                </c:pt>
                <c:pt idx="32">
                  <c:v>15101877.721179293</c:v>
                </c:pt>
                <c:pt idx="33">
                  <c:v>14606710.243910719</c:v>
                </c:pt>
                <c:pt idx="34">
                  <c:v>14135982.041914949</c:v>
                </c:pt>
                <c:pt idx="35">
                  <c:v>13692349.904993171</c:v>
                </c:pt>
                <c:pt idx="36">
                  <c:v>13279361.754430387</c:v>
                </c:pt>
                <c:pt idx="37">
                  <c:v>12895088.128209736</c:v>
                </c:pt>
                <c:pt idx="38">
                  <c:v>12538981.065937122</c:v>
                </c:pt>
                <c:pt idx="39">
                  <c:v>12099759.785715645</c:v>
                </c:pt>
                <c:pt idx="40">
                  <c:v>11573180.091550114</c:v>
                </c:pt>
                <c:pt idx="41">
                  <c:v>11177496.708083941</c:v>
                </c:pt>
                <c:pt idx="42">
                  <c:v>10913392.60699467</c:v>
                </c:pt>
                <c:pt idx="43">
                  <c:v>10661774.723519607</c:v>
                </c:pt>
                <c:pt idx="44">
                  <c:v>10422067.178416038</c:v>
                </c:pt>
                <c:pt idx="45">
                  <c:v>10191733.990236688</c:v>
                </c:pt>
                <c:pt idx="46">
                  <c:v>9966491.2871471625</c:v>
                </c:pt>
                <c:pt idx="47">
                  <c:v>9744320.7735111099</c:v>
                </c:pt>
                <c:pt idx="48">
                  <c:v>9527102.8290096894</c:v>
                </c:pt>
                <c:pt idx="49">
                  <c:v>9317459.9794715792</c:v>
                </c:pt>
                <c:pt idx="50">
                  <c:v>9152711.1782628484</c:v>
                </c:pt>
                <c:pt idx="51">
                  <c:v>9015672.9494314883</c:v>
                </c:pt>
                <c:pt idx="52">
                  <c:v>8870201.6424945779</c:v>
                </c:pt>
                <c:pt idx="53">
                  <c:v>8736532.6923023518</c:v>
                </c:pt>
                <c:pt idx="54">
                  <c:v>8609966.1893193573</c:v>
                </c:pt>
                <c:pt idx="55">
                  <c:v>8460220.2901831158</c:v>
                </c:pt>
                <c:pt idx="56">
                  <c:v>8318800.6786461314</c:v>
                </c:pt>
                <c:pt idx="57">
                  <c:v>8179745.0134180253</c:v>
                </c:pt>
                <c:pt idx="58">
                  <c:v>8050930.1313169543</c:v>
                </c:pt>
                <c:pt idx="59">
                  <c:v>7916352.1448544301</c:v>
                </c:pt>
                <c:pt idx="60">
                  <c:v>7776377.352509263</c:v>
                </c:pt>
                <c:pt idx="61">
                  <c:v>7631381.1113928007</c:v>
                </c:pt>
                <c:pt idx="62">
                  <c:v>7481746.1876400001</c:v>
                </c:pt>
                <c:pt idx="63">
                  <c:v>7335045.2819999997</c:v>
                </c:pt>
                <c:pt idx="64">
                  <c:v>7198278</c:v>
                </c:pt>
                <c:pt idx="65">
                  <c:v>7071000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D-43E6-9C5D-05409C043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291494"/>
        <c:axId val="794939083"/>
      </c:lineChart>
      <c:catAx>
        <c:axId val="428291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4939083"/>
        <c:crosses val="autoZero"/>
        <c:auto val="1"/>
        <c:lblAlgn val="ctr"/>
        <c:lblOffset val="100"/>
        <c:noMultiLvlLbl val="1"/>
      </c:catAx>
      <c:valAx>
        <c:axId val="794939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82914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Deschon!$D$1:$D$67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1.2200000000000001E-2</c:v>
                </c:pt>
                <c:pt idx="2">
                  <c:v>1.23E-2</c:v>
                </c:pt>
                <c:pt idx="3">
                  <c:v>1.2E-2</c:v>
                </c:pt>
                <c:pt idx="4">
                  <c:v>1.15E-2</c:v>
                </c:pt>
                <c:pt idx="5">
                  <c:v>1.3299999999999999E-2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1.7600000000000001E-2</c:v>
                </c:pt>
                <c:pt idx="9">
                  <c:v>1.77E-2</c:v>
                </c:pt>
                <c:pt idx="10">
                  <c:v>1.7299999999999999E-2</c:v>
                </c:pt>
                <c:pt idx="11">
                  <c:v>1.7100000000000001E-2</c:v>
                </c:pt>
                <c:pt idx="12">
                  <c:v>1.7100000000000001E-2</c:v>
                </c:pt>
                <c:pt idx="13">
                  <c:v>1.7000000000000001E-2</c:v>
                </c:pt>
                <c:pt idx="14">
                  <c:v>1.7500000000000002E-2</c:v>
                </c:pt>
                <c:pt idx="15">
                  <c:v>1.8700000000000001E-2</c:v>
                </c:pt>
                <c:pt idx="16">
                  <c:v>2.1700000000000001E-2</c:v>
                </c:pt>
                <c:pt idx="17">
                  <c:v>2.1000000000000001E-2</c:v>
                </c:pt>
                <c:pt idx="18">
                  <c:v>2.1700000000000001E-2</c:v>
                </c:pt>
                <c:pt idx="19">
                  <c:v>2.23E-2</c:v>
                </c:pt>
                <c:pt idx="20">
                  <c:v>2.2700000000000001E-2</c:v>
                </c:pt>
                <c:pt idx="21">
                  <c:v>2.3099999999999999E-2</c:v>
                </c:pt>
                <c:pt idx="22">
                  <c:v>2.3699999999999999E-2</c:v>
                </c:pt>
                <c:pt idx="23">
                  <c:v>2.4199999999999999E-2</c:v>
                </c:pt>
                <c:pt idx="24">
                  <c:v>2.4E-2</c:v>
                </c:pt>
                <c:pt idx="25">
                  <c:v>2.3400000000000001E-2</c:v>
                </c:pt>
                <c:pt idx="26">
                  <c:v>2.3900000000000001E-2</c:v>
                </c:pt>
                <c:pt idx="27">
                  <c:v>2.46E-2</c:v>
                </c:pt>
                <c:pt idx="28">
                  <c:v>2.4899999999999999E-2</c:v>
                </c:pt>
                <c:pt idx="29">
                  <c:v>2.52E-2</c:v>
                </c:pt>
                <c:pt idx="30">
                  <c:v>2.5399999999999999E-2</c:v>
                </c:pt>
                <c:pt idx="31">
                  <c:v>2.5399999999999999E-2</c:v>
                </c:pt>
                <c:pt idx="32">
                  <c:v>2.5600000000000001E-2</c:v>
                </c:pt>
                <c:pt idx="33">
                  <c:v>2.6499999999999999E-2</c:v>
                </c:pt>
                <c:pt idx="34">
                  <c:v>2.8199999999999999E-2</c:v>
                </c:pt>
                <c:pt idx="35">
                  <c:v>2.9499999999999998E-2</c:v>
                </c:pt>
                <c:pt idx="36">
                  <c:v>3.04E-2</c:v>
                </c:pt>
                <c:pt idx="37">
                  <c:v>3.1399999999999997E-2</c:v>
                </c:pt>
                <c:pt idx="38">
                  <c:v>3.2199999999999999E-2</c:v>
                </c:pt>
                <c:pt idx="39">
                  <c:v>3.2800000000000003E-2</c:v>
                </c:pt>
                <c:pt idx="40">
                  <c:v>3.2899999999999999E-2</c:v>
                </c:pt>
                <c:pt idx="41">
                  <c:v>3.2599999999999997E-2</c:v>
                </c:pt>
                <c:pt idx="42">
                  <c:v>3.2199999999999999E-2</c:v>
                </c:pt>
                <c:pt idx="43">
                  <c:v>3.1800000000000002E-2</c:v>
                </c:pt>
                <c:pt idx="44">
                  <c:v>3.15E-2</c:v>
                </c:pt>
                <c:pt idx="45">
                  <c:v>2.7799999999999998E-2</c:v>
                </c:pt>
                <c:pt idx="46">
                  <c:v>2.4E-2</c:v>
                </c:pt>
                <c:pt idx="47">
                  <c:v>2.4E-2</c:v>
                </c:pt>
                <c:pt idx="48">
                  <c:v>2.4E-2</c:v>
                </c:pt>
                <c:pt idx="49">
                  <c:v>2.4E-2</c:v>
                </c:pt>
                <c:pt idx="50">
                  <c:v>2.3900000000000001E-2</c:v>
                </c:pt>
                <c:pt idx="51">
                  <c:v>2.4E-2</c:v>
                </c:pt>
                <c:pt idx="52">
                  <c:v>2.3900000000000001E-2</c:v>
                </c:pt>
                <c:pt idx="53">
                  <c:v>2.4E-2</c:v>
                </c:pt>
                <c:pt idx="54">
                  <c:v>2.3800000000000002E-2</c:v>
                </c:pt>
                <c:pt idx="55">
                  <c:v>2.3E-2</c:v>
                </c:pt>
                <c:pt idx="56">
                  <c:v>2.2599999999999999E-2</c:v>
                </c:pt>
                <c:pt idx="57">
                  <c:v>2.2700000000000001E-2</c:v>
                </c:pt>
                <c:pt idx="58">
                  <c:v>2.3699999999999999E-2</c:v>
                </c:pt>
                <c:pt idx="59">
                  <c:v>2.4899999999999999E-2</c:v>
                </c:pt>
                <c:pt idx="60">
                  <c:v>2.5499999999999998E-2</c:v>
                </c:pt>
                <c:pt idx="61">
                  <c:v>2.5999999999999999E-2</c:v>
                </c:pt>
                <c:pt idx="62">
                  <c:v>2.6100000000000002E-2</c:v>
                </c:pt>
                <c:pt idx="63">
                  <c:v>2.6100000000000002E-2</c:v>
                </c:pt>
                <c:pt idx="64">
                  <c:v>2.6100000000000002E-2</c:v>
                </c:pt>
                <c:pt idx="65">
                  <c:v>2.6100000000000002E-2</c:v>
                </c:pt>
                <c:pt idx="66">
                  <c:v>2.58E-2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8E-4D40-BB1A-302B1AF81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82164"/>
        <c:axId val="672403372"/>
      </c:lineChart>
      <c:catAx>
        <c:axId val="366782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2403372"/>
        <c:crosses val="autoZero"/>
        <c:auto val="1"/>
        <c:lblAlgn val="ctr"/>
        <c:lblOffset val="100"/>
        <c:noMultiLvlLbl val="1"/>
      </c:catAx>
      <c:valAx>
        <c:axId val="672403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67821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Deschon!$C$1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Deschon!$C$2:$C$67</c:f>
              <c:numCache>
                <c:formatCode>#,##0</c:formatCode>
                <c:ptCount val="66"/>
                <c:pt idx="0">
                  <c:v>30642852.662169337</c:v>
                </c:pt>
                <c:pt idx="1">
                  <c:v>30273515.769778047</c:v>
                </c:pt>
                <c:pt idx="2">
                  <c:v>29905675.955525089</c:v>
                </c:pt>
                <c:pt idx="3">
                  <c:v>29551063.197159179</c:v>
                </c:pt>
                <c:pt idx="4">
                  <c:v>29215089.666000176</c:v>
                </c:pt>
                <c:pt idx="5">
                  <c:v>28831629.000296235</c:v>
                </c:pt>
                <c:pt idx="6">
                  <c:v>28377587.598716766</c:v>
                </c:pt>
                <c:pt idx="7">
                  <c:v>27903232.643772632</c:v>
                </c:pt>
                <c:pt idx="8">
                  <c:v>27420629.563455809</c:v>
                </c:pt>
                <c:pt idx="9">
                  <c:v>26943725.619982123</c:v>
                </c:pt>
                <c:pt idx="10">
                  <c:v>26485526.019838907</c:v>
                </c:pt>
                <c:pt idx="11">
                  <c:v>26040237.950878881</c:v>
                </c:pt>
                <c:pt idx="12">
                  <c:v>25602436.290314507</c:v>
                </c:pt>
                <c:pt idx="13">
                  <c:v>25174470.295294501</c:v>
                </c:pt>
                <c:pt idx="14">
                  <c:v>24741494.147709582</c:v>
                </c:pt>
                <c:pt idx="15">
                  <c:v>24287321.24051201</c:v>
                </c:pt>
                <c:pt idx="16">
                  <c:v>23771480.121867485</c:v>
                </c:pt>
                <c:pt idx="17">
                  <c:v>23282546.642377559</c:v>
                </c:pt>
                <c:pt idx="18">
                  <c:v>22788046.043239266</c:v>
                </c:pt>
                <c:pt idx="19">
                  <c:v>22290957.686823111</c:v>
                </c:pt>
                <c:pt idx="20">
                  <c:v>21796184.303141795</c:v>
                </c:pt>
                <c:pt idx="21">
                  <c:v>21304060.505465545</c:v>
                </c:pt>
                <c:pt idx="22">
                  <c:v>20810843.514179491</c:v>
                </c:pt>
                <c:pt idx="23">
                  <c:v>20319120.791036408</c:v>
                </c:pt>
                <c:pt idx="24">
                  <c:v>19842891.397496492</c:v>
                </c:pt>
                <c:pt idx="25">
                  <c:v>19389184.480649296</c:v>
                </c:pt>
                <c:pt idx="26">
                  <c:v>18936599.746703092</c:v>
                </c:pt>
                <c:pt idx="27">
                  <c:v>18481943.926120527</c:v>
                </c:pt>
                <c:pt idx="28">
                  <c:v>18032924.115641065</c:v>
                </c:pt>
                <c:pt idx="29">
                  <c:v>17589664.5685145</c:v>
                </c:pt>
                <c:pt idx="30">
                  <c:v>17153954.133523013</c:v>
                </c:pt>
                <c:pt idx="31">
                  <c:v>16729036.603786826</c:v>
                </c:pt>
                <c:pt idx="32">
                  <c:v>16311463.147218043</c:v>
                </c:pt>
                <c:pt idx="33">
                  <c:v>15890368.385015143</c:v>
                </c:pt>
                <c:pt idx="34">
                  <c:v>15454550.072957736</c:v>
                </c:pt>
                <c:pt idx="35">
                  <c:v>15011704.781891923</c:v>
                </c:pt>
                <c:pt idx="36">
                  <c:v>14568812.870624926</c:v>
                </c:pt>
                <c:pt idx="37">
                  <c:v>14125279.106675319</c:v>
                </c:pt>
                <c:pt idx="38">
                  <c:v>13684633.895248324</c:v>
                </c:pt>
                <c:pt idx="39">
                  <c:v>13250032.818791948</c:v>
                </c:pt>
                <c:pt idx="40">
                  <c:v>12827991.88575075</c:v>
                </c:pt>
                <c:pt idx="41">
                  <c:v>12423002.019901946</c:v>
                </c:pt>
                <c:pt idx="42">
                  <c:v>12035460.20141634</c:v>
                </c:pt>
                <c:pt idx="43">
                  <c:v>11664528.204512831</c:v>
                </c:pt>
                <c:pt idx="44">
                  <c:v>11308316.242862657</c:v>
                </c:pt>
                <c:pt idx="45">
                  <c:v>11002448.183365107</c:v>
                </c:pt>
                <c:pt idx="46">
                  <c:v>10744578.304067487</c:v>
                </c:pt>
                <c:pt idx="47">
                  <c:v>10492752.250065904</c:v>
                </c:pt>
                <c:pt idx="48">
                  <c:v>10246828.369204985</c:v>
                </c:pt>
                <c:pt idx="49">
                  <c:v>10006668.329301743</c:v>
                </c:pt>
                <c:pt idx="50">
                  <c:v>9773091.4437950402</c:v>
                </c:pt>
                <c:pt idx="51">
                  <c:v>9544034.6130810939</c:v>
                </c:pt>
                <c:pt idx="52">
                  <c:v>9321256.5807999745</c:v>
                </c:pt>
                <c:pt idx="53">
                  <c:v>9102789.629687475</c:v>
                </c:pt>
                <c:pt idx="54">
                  <c:v>8891179.5562487543</c:v>
                </c:pt>
                <c:pt idx="55">
                  <c:v>8691280.113635147</c:v>
                </c:pt>
                <c:pt idx="56">
                  <c:v>8499198.2335567642</c:v>
                </c:pt>
                <c:pt idx="57">
                  <c:v>8310548.776333984</c:v>
                </c:pt>
                <c:pt idx="58">
                  <c:v>8118148.6532519134</c:v>
                </c:pt>
                <c:pt idx="59">
                  <c:v>7920917.8000311386</c:v>
                </c:pt>
                <c:pt idx="60">
                  <c:v>7723956.8991039861</c:v>
                </c:pt>
                <c:pt idx="61">
                  <c:v>7528223.0985418968</c:v>
                </c:pt>
                <c:pt idx="62">
                  <c:v>7336734.3324645711</c:v>
                </c:pt>
                <c:pt idx="63">
                  <c:v>7150116.2971099997</c:v>
                </c:pt>
                <c:pt idx="64">
                  <c:v>6968245.0999999996</c:v>
                </c:pt>
                <c:pt idx="65">
                  <c:v>6791000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E-4172-939F-E6B27141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661576"/>
        <c:axId val="1968287181"/>
      </c:lineChart>
      <c:catAx>
        <c:axId val="1154661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8287181"/>
        <c:crosses val="autoZero"/>
        <c:auto val="1"/>
        <c:lblAlgn val="ctr"/>
        <c:lblOffset val="100"/>
        <c:noMultiLvlLbl val="1"/>
      </c:catAx>
      <c:valAx>
        <c:axId val="1968287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46615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'Disal Nila'!$D$1:$D$67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2.0400000000000001E-2</c:v>
                </c:pt>
                <c:pt idx="2">
                  <c:v>1.66E-2</c:v>
                </c:pt>
                <c:pt idx="3">
                  <c:v>7.7000000000000002E-3</c:v>
                </c:pt>
                <c:pt idx="4">
                  <c:v>5.4999999999999997E-3</c:v>
                </c:pt>
                <c:pt idx="5">
                  <c:v>7.6E-3</c:v>
                </c:pt>
                <c:pt idx="6">
                  <c:v>1.11E-2</c:v>
                </c:pt>
                <c:pt idx="7">
                  <c:v>0.01</c:v>
                </c:pt>
                <c:pt idx="8">
                  <c:v>8.5000000000000006E-3</c:v>
                </c:pt>
                <c:pt idx="9">
                  <c:v>9.2999999999999992E-3</c:v>
                </c:pt>
                <c:pt idx="10">
                  <c:v>1.2200000000000001E-2</c:v>
                </c:pt>
                <c:pt idx="11">
                  <c:v>1.1299999999999999E-2</c:v>
                </c:pt>
                <c:pt idx="12">
                  <c:v>1.49E-2</c:v>
                </c:pt>
                <c:pt idx="13">
                  <c:v>1.9699999999999999E-2</c:v>
                </c:pt>
                <c:pt idx="14">
                  <c:v>1.7399999999999999E-2</c:v>
                </c:pt>
                <c:pt idx="15">
                  <c:v>5.8999999999999999E-3</c:v>
                </c:pt>
                <c:pt idx="16">
                  <c:v>5.8999999999999999E-3</c:v>
                </c:pt>
                <c:pt idx="17">
                  <c:v>5.3E-3</c:v>
                </c:pt>
                <c:pt idx="18">
                  <c:v>8.8999999999999999E-3</c:v>
                </c:pt>
                <c:pt idx="19">
                  <c:v>1.3100000000000001E-2</c:v>
                </c:pt>
                <c:pt idx="20">
                  <c:v>1.5800000000000002E-2</c:v>
                </c:pt>
                <c:pt idx="21">
                  <c:v>1.46E-2</c:v>
                </c:pt>
                <c:pt idx="22">
                  <c:v>1.3299999999999999E-2</c:v>
                </c:pt>
                <c:pt idx="23">
                  <c:v>1.14E-2</c:v>
                </c:pt>
                <c:pt idx="24">
                  <c:v>1.04E-2</c:v>
                </c:pt>
                <c:pt idx="25">
                  <c:v>9.4999999999999998E-3</c:v>
                </c:pt>
                <c:pt idx="26">
                  <c:v>9.1999999999999998E-3</c:v>
                </c:pt>
                <c:pt idx="27">
                  <c:v>4.7999999999999996E-3</c:v>
                </c:pt>
                <c:pt idx="28">
                  <c:v>2.7000000000000001E-3</c:v>
                </c:pt>
                <c:pt idx="29">
                  <c:v>8.6E-3</c:v>
                </c:pt>
                <c:pt idx="30">
                  <c:v>-2.0000000000000001E-4</c:v>
                </c:pt>
                <c:pt idx="31">
                  <c:v>6.1999999999999998E-3</c:v>
                </c:pt>
                <c:pt idx="32">
                  <c:v>8.6999999999999994E-3</c:v>
                </c:pt>
                <c:pt idx="33">
                  <c:v>1.3599999999999999E-2</c:v>
                </c:pt>
                <c:pt idx="34">
                  <c:v>9.9000000000000008E-3</c:v>
                </c:pt>
                <c:pt idx="35">
                  <c:v>3.8E-3</c:v>
                </c:pt>
                <c:pt idx="36">
                  <c:v>1.2999999999999999E-3</c:v>
                </c:pt>
                <c:pt idx="37">
                  <c:v>-3.8999999999999998E-3</c:v>
                </c:pt>
                <c:pt idx="38">
                  <c:v>2.9999999999999997E-4</c:v>
                </c:pt>
                <c:pt idx="39">
                  <c:v>3.0999999999999999E-3</c:v>
                </c:pt>
                <c:pt idx="40">
                  <c:v>8.8000000000000005E-3</c:v>
                </c:pt>
                <c:pt idx="41">
                  <c:v>1.95E-2</c:v>
                </c:pt>
                <c:pt idx="42">
                  <c:v>2.0899999999999998E-2</c:v>
                </c:pt>
                <c:pt idx="43">
                  <c:v>1.9599999999999999E-2</c:v>
                </c:pt>
                <c:pt idx="44">
                  <c:v>1.77E-2</c:v>
                </c:pt>
                <c:pt idx="45">
                  <c:v>1.49E-2</c:v>
                </c:pt>
                <c:pt idx="46">
                  <c:v>1.3599999999999999E-2</c:v>
                </c:pt>
                <c:pt idx="47">
                  <c:v>8.8999999999999999E-3</c:v>
                </c:pt>
                <c:pt idx="48">
                  <c:v>8.8000000000000005E-3</c:v>
                </c:pt>
                <c:pt idx="49">
                  <c:v>1.7899999999999999E-2</c:v>
                </c:pt>
                <c:pt idx="50">
                  <c:v>1.7899999999999999E-2</c:v>
                </c:pt>
                <c:pt idx="51">
                  <c:v>1.6500000000000001E-2</c:v>
                </c:pt>
                <c:pt idx="52">
                  <c:v>2.0899999999999998E-2</c:v>
                </c:pt>
                <c:pt idx="53">
                  <c:v>1.9900000000000001E-2</c:v>
                </c:pt>
                <c:pt idx="54">
                  <c:v>2.5399999999999999E-2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2.1000000000000001E-2</c:v>
                </c:pt>
                <c:pt idx="59">
                  <c:v>2.1999999999999999E-2</c:v>
                </c:pt>
                <c:pt idx="60">
                  <c:v>2.1999999999999999E-2</c:v>
                </c:pt>
                <c:pt idx="61">
                  <c:v>2.1999999999999999E-2</c:v>
                </c:pt>
                <c:pt idx="62">
                  <c:v>2.1999999999999999E-2</c:v>
                </c:pt>
                <c:pt idx="63">
                  <c:v>2.1999999999999999E-2</c:v>
                </c:pt>
                <c:pt idx="64">
                  <c:v>2.1999999999999999E-2</c:v>
                </c:pt>
                <c:pt idx="65">
                  <c:v>2.1000000000000001E-2</c:v>
                </c:pt>
                <c:pt idx="66">
                  <c:v>0.02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86-4342-BDE8-EDE6BB309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349803"/>
        <c:axId val="2030932040"/>
      </c:lineChart>
      <c:catAx>
        <c:axId val="1154349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0932040"/>
        <c:crosses val="autoZero"/>
        <c:auto val="1"/>
        <c:lblAlgn val="ctr"/>
        <c:lblOffset val="100"/>
        <c:noMultiLvlLbl val="1"/>
      </c:catAx>
      <c:valAx>
        <c:axId val="2030932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4349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'Disal Nila'!$C$1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'Disal Nila'!$C$2:$C$67</c:f>
              <c:numCache>
                <c:formatCode>#,##0</c:formatCode>
                <c:ptCount val="66"/>
                <c:pt idx="0">
                  <c:v>7439240.1907887748</c:v>
                </c:pt>
                <c:pt idx="1">
                  <c:v>7290513.7110826885</c:v>
                </c:pt>
                <c:pt idx="2">
                  <c:v>7171467.3530225148</c:v>
                </c:pt>
                <c:pt idx="3">
                  <c:v>7116669.0017093522</c:v>
                </c:pt>
                <c:pt idx="4">
                  <c:v>7077741.4238780225</c:v>
                </c:pt>
                <c:pt idx="5">
                  <c:v>7024356.3158773538</c:v>
                </c:pt>
                <c:pt idx="6">
                  <c:v>6947241.9304493647</c:v>
                </c:pt>
                <c:pt idx="7">
                  <c:v>6878457.3568805587</c:v>
                </c:pt>
                <c:pt idx="8">
                  <c:v>6820483.2492618337</c:v>
                </c:pt>
                <c:pt idx="9">
                  <c:v>6757637.2230871227</c:v>
                </c:pt>
                <c:pt idx="10">
                  <c:v>6676187.7327476023</c:v>
                </c:pt>
                <c:pt idx="11">
                  <c:v>6601589.7683650767</c:v>
                </c:pt>
                <c:pt idx="12">
                  <c:v>6504670.1826436864</c:v>
                </c:pt>
                <c:pt idx="13">
                  <c:v>6379003.8076333096</c:v>
                </c:pt>
                <c:pt idx="14">
                  <c:v>6269907.4185505295</c:v>
                </c:pt>
                <c:pt idx="15">
                  <c:v>6233131.9401039165</c:v>
                </c:pt>
                <c:pt idx="16">
                  <c:v>6196572.1643343437</c:v>
                </c:pt>
                <c:pt idx="17">
                  <c:v>6163903.4759120094</c:v>
                </c:pt>
                <c:pt idx="18">
                  <c:v>6109528.6707424028</c:v>
                </c:pt>
                <c:pt idx="19">
                  <c:v>6030528.7441934673</c:v>
                </c:pt>
                <c:pt idx="20">
                  <c:v>5936728.4349217042</c:v>
                </c:pt>
                <c:pt idx="21">
                  <c:v>5851299.4627653304</c:v>
                </c:pt>
                <c:pt idx="22">
                  <c:v>5774498.6309733838</c:v>
                </c:pt>
                <c:pt idx="23">
                  <c:v>5709411.3416782515</c:v>
                </c:pt>
                <c:pt idx="24">
                  <c:v>5650644.637448784</c:v>
                </c:pt>
                <c:pt idx="25">
                  <c:v>5597468.6849418357</c:v>
                </c:pt>
                <c:pt idx="26">
                  <c:v>5546441.4238424841</c:v>
                </c:pt>
                <c:pt idx="27">
                  <c:v>5519945.6845566127</c:v>
                </c:pt>
                <c:pt idx="28">
                  <c:v>5505081.9632558227</c:v>
                </c:pt>
                <c:pt idx="29">
                  <c:v>5458141.9425498936</c:v>
                </c:pt>
                <c:pt idx="30">
                  <c:v>5459233.7893077554</c:v>
                </c:pt>
                <c:pt idx="31">
                  <c:v>5425595.0996896792</c:v>
                </c:pt>
                <c:pt idx="32">
                  <c:v>5378799.5436598388</c:v>
                </c:pt>
                <c:pt idx="33">
                  <c:v>5306629.3840369359</c:v>
                </c:pt>
                <c:pt idx="34">
                  <c:v>5254608.7573392773</c:v>
                </c:pt>
                <c:pt idx="35">
                  <c:v>5234716.8333724616</c:v>
                </c:pt>
                <c:pt idx="36">
                  <c:v>5227920.5366747836</c:v>
                </c:pt>
                <c:pt idx="37">
                  <c:v>5248389.25476838</c:v>
                </c:pt>
                <c:pt idx="38">
                  <c:v>5246815.2102053184</c:v>
                </c:pt>
                <c:pt idx="39">
                  <c:v>5230600.3491230365</c:v>
                </c:pt>
                <c:pt idx="40">
                  <c:v>5184972.5903281495</c:v>
                </c:pt>
                <c:pt idx="41">
                  <c:v>5085799.5000766544</c:v>
                </c:pt>
                <c:pt idx="42">
                  <c:v>4981682.3391876332</c:v>
                </c:pt>
                <c:pt idx="43">
                  <c:v>4885918.3397289459</c:v>
                </c:pt>
                <c:pt idx="44">
                  <c:v>4800941.6721322052</c:v>
                </c:pt>
                <c:pt idx="45">
                  <c:v>4730457.8501647506</c:v>
                </c:pt>
                <c:pt idx="46">
                  <c:v>4666986.8292864542</c:v>
                </c:pt>
                <c:pt idx="47">
                  <c:v>4625817.057474928</c:v>
                </c:pt>
                <c:pt idx="48">
                  <c:v>4585464.9657760989</c:v>
                </c:pt>
                <c:pt idx="49">
                  <c:v>4504828.5349996062</c:v>
                </c:pt>
                <c:pt idx="50">
                  <c:v>4425610.1139597269</c:v>
                </c:pt>
                <c:pt idx="51">
                  <c:v>4353772.8617410008</c:v>
                </c:pt>
                <c:pt idx="52">
                  <c:v>4264641.8471358614</c:v>
                </c:pt>
                <c:pt idx="53">
                  <c:v>4181431.3630119236</c:v>
                </c:pt>
                <c:pt idx="54">
                  <c:v>4077853.8745971555</c:v>
                </c:pt>
                <c:pt idx="55">
                  <c:v>3997895.9554874073</c:v>
                </c:pt>
                <c:pt idx="56">
                  <c:v>3919505.8387131444</c:v>
                </c:pt>
                <c:pt idx="57">
                  <c:v>3842652.7830521022</c:v>
                </c:pt>
                <c:pt idx="58">
                  <c:v>3763616.8296298753</c:v>
                </c:pt>
                <c:pt idx="59">
                  <c:v>3682599.6376026175</c:v>
                </c:pt>
                <c:pt idx="60">
                  <c:v>3603326.4555798606</c:v>
                </c:pt>
                <c:pt idx="61">
                  <c:v>3525759.7412718791</c:v>
                </c:pt>
                <c:pt idx="62">
                  <c:v>3449862.7605399992</c:v>
                </c:pt>
                <c:pt idx="63">
                  <c:v>3375599.5699999994</c:v>
                </c:pt>
                <c:pt idx="64">
                  <c:v>3302934.9999999995</c:v>
                </c:pt>
                <c:pt idx="65">
                  <c:v>3235000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B-452D-84AD-0A0B1E07D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92307"/>
        <c:axId val="486104721"/>
      </c:lineChart>
      <c:catAx>
        <c:axId val="26092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6104721"/>
        <c:crosses val="autoZero"/>
        <c:auto val="1"/>
        <c:lblAlgn val="ctr"/>
        <c:lblOffset val="100"/>
        <c:noMultiLvlLbl val="1"/>
      </c:catAx>
      <c:valAx>
        <c:axId val="486104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0923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'Dual Cenryia'!$D$1:$D$67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2.9000000000000001E-2</c:v>
                </c:pt>
                <c:pt idx="2">
                  <c:v>2.9000000000000001E-2</c:v>
                </c:pt>
                <c:pt idx="3">
                  <c:v>2.8899999999999999E-2</c:v>
                </c:pt>
                <c:pt idx="4">
                  <c:v>2.87E-2</c:v>
                </c:pt>
                <c:pt idx="5">
                  <c:v>2.7900000000000001E-2</c:v>
                </c:pt>
                <c:pt idx="6">
                  <c:v>2.6800000000000001E-2</c:v>
                </c:pt>
                <c:pt idx="7">
                  <c:v>2.5899999999999999E-2</c:v>
                </c:pt>
                <c:pt idx="8">
                  <c:v>2.47E-2</c:v>
                </c:pt>
                <c:pt idx="9">
                  <c:v>2.3800000000000002E-2</c:v>
                </c:pt>
                <c:pt idx="10">
                  <c:v>2.35E-2</c:v>
                </c:pt>
                <c:pt idx="11">
                  <c:v>2.3099999999999999E-2</c:v>
                </c:pt>
                <c:pt idx="12">
                  <c:v>2.2800000000000001E-2</c:v>
                </c:pt>
                <c:pt idx="13">
                  <c:v>2.2599999999999999E-2</c:v>
                </c:pt>
                <c:pt idx="14">
                  <c:v>2.24E-2</c:v>
                </c:pt>
                <c:pt idx="15">
                  <c:v>2.23E-2</c:v>
                </c:pt>
                <c:pt idx="16">
                  <c:v>2.1999999999999999E-2</c:v>
                </c:pt>
                <c:pt idx="17">
                  <c:v>2.2499999999999999E-2</c:v>
                </c:pt>
                <c:pt idx="18">
                  <c:v>2.2800000000000001E-2</c:v>
                </c:pt>
                <c:pt idx="19">
                  <c:v>2.7400000000000001E-2</c:v>
                </c:pt>
                <c:pt idx="20">
                  <c:v>3.2800000000000003E-2</c:v>
                </c:pt>
                <c:pt idx="21">
                  <c:v>5.9799999999999999E-2</c:v>
                </c:pt>
                <c:pt idx="22">
                  <c:v>6.7599999999999993E-2</c:v>
                </c:pt>
                <c:pt idx="23">
                  <c:v>3.1699999999999999E-2</c:v>
                </c:pt>
                <c:pt idx="24">
                  <c:v>1.9400000000000001E-2</c:v>
                </c:pt>
                <c:pt idx="25">
                  <c:v>1.95E-2</c:v>
                </c:pt>
                <c:pt idx="26">
                  <c:v>1.44E-2</c:v>
                </c:pt>
                <c:pt idx="27">
                  <c:v>1.6400000000000001E-2</c:v>
                </c:pt>
                <c:pt idx="28">
                  <c:v>1.77E-2</c:v>
                </c:pt>
                <c:pt idx="29">
                  <c:v>1.4E-2</c:v>
                </c:pt>
                <c:pt idx="30">
                  <c:v>1.7500000000000002E-2</c:v>
                </c:pt>
                <c:pt idx="31">
                  <c:v>1.8700000000000001E-2</c:v>
                </c:pt>
                <c:pt idx="32">
                  <c:v>1.9900000000000001E-2</c:v>
                </c:pt>
                <c:pt idx="33">
                  <c:v>2.0899999999999998E-2</c:v>
                </c:pt>
                <c:pt idx="34">
                  <c:v>2.1899999999999999E-2</c:v>
                </c:pt>
                <c:pt idx="35">
                  <c:v>2.0299999999999999E-2</c:v>
                </c:pt>
                <c:pt idx="36">
                  <c:v>2.75E-2</c:v>
                </c:pt>
                <c:pt idx="37">
                  <c:v>3.7900000000000003E-2</c:v>
                </c:pt>
                <c:pt idx="38">
                  <c:v>3.7699999999999997E-2</c:v>
                </c:pt>
                <c:pt idx="39">
                  <c:v>3.56E-2</c:v>
                </c:pt>
                <c:pt idx="40">
                  <c:v>3.3599999999999998E-2</c:v>
                </c:pt>
                <c:pt idx="41">
                  <c:v>3.2500000000000001E-2</c:v>
                </c:pt>
                <c:pt idx="42">
                  <c:v>3.1E-2</c:v>
                </c:pt>
                <c:pt idx="43">
                  <c:v>2.9600000000000001E-2</c:v>
                </c:pt>
                <c:pt idx="44">
                  <c:v>2.76E-2</c:v>
                </c:pt>
                <c:pt idx="45">
                  <c:v>2.46E-2</c:v>
                </c:pt>
                <c:pt idx="46">
                  <c:v>2.2499999999999999E-2</c:v>
                </c:pt>
                <c:pt idx="47">
                  <c:v>2.18E-2</c:v>
                </c:pt>
                <c:pt idx="48">
                  <c:v>2.1499999999999998E-2</c:v>
                </c:pt>
                <c:pt idx="49">
                  <c:v>2.1100000000000001E-2</c:v>
                </c:pt>
                <c:pt idx="50">
                  <c:v>2.0899999999999998E-2</c:v>
                </c:pt>
                <c:pt idx="51">
                  <c:v>2.06E-2</c:v>
                </c:pt>
                <c:pt idx="52">
                  <c:v>2.0199999999999999E-2</c:v>
                </c:pt>
                <c:pt idx="53">
                  <c:v>0.02</c:v>
                </c:pt>
                <c:pt idx="54">
                  <c:v>1.95E-2</c:v>
                </c:pt>
                <c:pt idx="55">
                  <c:v>1.7899999999999999E-2</c:v>
                </c:pt>
                <c:pt idx="56">
                  <c:v>1.78E-2</c:v>
                </c:pt>
                <c:pt idx="57">
                  <c:v>1.7500000000000002E-2</c:v>
                </c:pt>
                <c:pt idx="58">
                  <c:v>1.7000000000000001E-2</c:v>
                </c:pt>
                <c:pt idx="59">
                  <c:v>1.7000000000000001E-2</c:v>
                </c:pt>
                <c:pt idx="60">
                  <c:v>1.7000000000000001E-2</c:v>
                </c:pt>
                <c:pt idx="61">
                  <c:v>1.7000000000000001E-2</c:v>
                </c:pt>
                <c:pt idx="62">
                  <c:v>1.6500000000000001E-2</c:v>
                </c:pt>
                <c:pt idx="63">
                  <c:v>1.6500000000000001E-2</c:v>
                </c:pt>
                <c:pt idx="64">
                  <c:v>1.6E-2</c:v>
                </c:pt>
                <c:pt idx="65">
                  <c:v>1.55E-2</c:v>
                </c:pt>
                <c:pt idx="66">
                  <c:v>1.4999999999999999E-2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D7-4DDE-B11B-E5CE8EAD7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035349"/>
        <c:axId val="632995093"/>
      </c:lineChart>
      <c:catAx>
        <c:axId val="299035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2995093"/>
        <c:crosses val="autoZero"/>
        <c:auto val="1"/>
        <c:lblAlgn val="ctr"/>
        <c:lblOffset val="100"/>
        <c:noMultiLvlLbl val="1"/>
      </c:catAx>
      <c:valAx>
        <c:axId val="632995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90353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'Dual Cenryia'!$C$1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'Dual Cenryia'!$C$2:$C$67</c:f>
              <c:numCache>
                <c:formatCode>#,##0</c:formatCode>
                <c:ptCount val="66"/>
                <c:pt idx="0">
                  <c:v>95001398.787649736</c:v>
                </c:pt>
                <c:pt idx="1">
                  <c:v>92324002.709086239</c:v>
                </c:pt>
                <c:pt idx="2">
                  <c:v>89722062.88540937</c:v>
                </c:pt>
                <c:pt idx="3">
                  <c:v>87201927.189629093</c:v>
                </c:pt>
                <c:pt idx="4">
                  <c:v>84769055.302448809</c:v>
                </c:pt>
                <c:pt idx="5">
                  <c:v>82468192.725409865</c:v>
                </c:pt>
                <c:pt idx="6">
                  <c:v>80315731.131096482</c:v>
                </c:pt>
                <c:pt idx="7">
                  <c:v>78288070.115115002</c:v>
                </c:pt>
                <c:pt idx="8">
                  <c:v>76400966.248770371</c:v>
                </c:pt>
                <c:pt idx="9">
                  <c:v>74624893.776880607</c:v>
                </c:pt>
                <c:pt idx="10">
                  <c:v>72911474.134714797</c:v>
                </c:pt>
                <c:pt idx="11">
                  <c:v>71265246.930617541</c:v>
                </c:pt>
                <c:pt idx="12">
                  <c:v>69676619.994737536</c:v>
                </c:pt>
                <c:pt idx="13">
                  <c:v>68136729.899019688</c:v>
                </c:pt>
                <c:pt idx="14">
                  <c:v>66643906.395754784</c:v>
                </c:pt>
                <c:pt idx="15">
                  <c:v>65190165.700630717</c:v>
                </c:pt>
                <c:pt idx="16">
                  <c:v>63786854.892985046</c:v>
                </c:pt>
                <c:pt idx="17">
                  <c:v>62383232.169178531</c:v>
                </c:pt>
                <c:pt idx="18">
                  <c:v>60992600.869357191</c:v>
                </c:pt>
                <c:pt idx="19">
                  <c:v>59365973.20357912</c:v>
                </c:pt>
                <c:pt idx="20">
                  <c:v>57480609.221126184</c:v>
                </c:pt>
                <c:pt idx="21">
                  <c:v>54237223.269603871</c:v>
                </c:pt>
                <c:pt idx="22">
                  <c:v>50802944.239044458</c:v>
                </c:pt>
                <c:pt idx="23">
                  <c:v>49241973.673591599</c:v>
                </c:pt>
                <c:pt idx="24">
                  <c:v>48304859.401208155</c:v>
                </c:pt>
                <c:pt idx="25">
                  <c:v>47380931.241989359</c:v>
                </c:pt>
                <c:pt idx="26">
                  <c:v>46708331.271677211</c:v>
                </c:pt>
                <c:pt idx="27">
                  <c:v>45954674.608104303</c:v>
                </c:pt>
                <c:pt idx="28">
                  <c:v>45155423.610203698</c:v>
                </c:pt>
                <c:pt idx="29">
                  <c:v>44531975.94694645</c:v>
                </c:pt>
                <c:pt idx="30">
                  <c:v>43766069.726728693</c:v>
                </c:pt>
                <c:pt idx="31">
                  <c:v>42962667.838155195</c:v>
                </c:pt>
                <c:pt idx="32">
                  <c:v>42124392.428821646</c:v>
                </c:pt>
                <c:pt idx="33">
                  <c:v>41262016.288394213</c:v>
                </c:pt>
                <c:pt idx="34">
                  <c:v>40377743.701334976</c:v>
                </c:pt>
                <c:pt idx="35">
                  <c:v>39574383.711981744</c:v>
                </c:pt>
                <c:pt idx="36">
                  <c:v>38515215.291466415</c:v>
                </c:pt>
                <c:pt idx="37">
                  <c:v>37108792.071939893</c:v>
                </c:pt>
                <c:pt idx="38">
                  <c:v>35760616.817904875</c:v>
                </c:pt>
                <c:pt idx="39">
                  <c:v>34531302.450661331</c:v>
                </c:pt>
                <c:pt idx="40">
                  <c:v>33408767.850872032</c:v>
                </c:pt>
                <c:pt idx="41">
                  <c:v>32357160.146123033</c:v>
                </c:pt>
                <c:pt idx="42">
                  <c:v>31384248.444348238</c:v>
                </c:pt>
                <c:pt idx="43">
                  <c:v>30481981.783555008</c:v>
                </c:pt>
                <c:pt idx="44">
                  <c:v>29663275.382984631</c:v>
                </c:pt>
                <c:pt idx="45">
                  <c:v>28951078.843436103</c:v>
                </c:pt>
                <c:pt idx="46">
                  <c:v>28314013.538812816</c:v>
                </c:pt>
                <c:pt idx="47">
                  <c:v>27709936.914085746</c:v>
                </c:pt>
                <c:pt idx="48">
                  <c:v>27126712.593329165</c:v>
                </c:pt>
                <c:pt idx="49">
                  <c:v>26566166.480588745</c:v>
                </c:pt>
                <c:pt idx="50">
                  <c:v>26022300.402183119</c:v>
                </c:pt>
                <c:pt idx="51">
                  <c:v>25497060.946681481</c:v>
                </c:pt>
                <c:pt idx="52">
                  <c:v>24992218.140248463</c:v>
                </c:pt>
                <c:pt idx="53">
                  <c:v>24502174.647302415</c:v>
                </c:pt>
                <c:pt idx="54">
                  <c:v>24033520.988035716</c:v>
                </c:pt>
                <c:pt idx="55">
                  <c:v>23610886.126373626</c:v>
                </c:pt>
                <c:pt idx="56">
                  <c:v>23197962.395729639</c:v>
                </c:pt>
                <c:pt idx="57">
                  <c:v>22798980.241503328</c:v>
                </c:pt>
                <c:pt idx="58">
                  <c:v>22417876.343661092</c:v>
                </c:pt>
                <c:pt idx="59">
                  <c:v>22043142.914121035</c:v>
                </c:pt>
                <c:pt idx="60">
                  <c:v>21674673.465212427</c:v>
                </c:pt>
                <c:pt idx="61">
                  <c:v>21312363.289294425</c:v>
                </c:pt>
                <c:pt idx="62">
                  <c:v>20966417.402158804</c:v>
                </c:pt>
                <c:pt idx="63">
                  <c:v>20626086.967200004</c:v>
                </c:pt>
                <c:pt idx="64">
                  <c:v>20301266.700000003</c:v>
                </c:pt>
                <c:pt idx="65">
                  <c:v>19991400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3-4A73-B40C-5E3EB08FD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862400"/>
        <c:axId val="761787909"/>
      </c:lineChart>
      <c:catAx>
        <c:axId val="83186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1787909"/>
        <c:crosses val="autoZero"/>
        <c:auto val="1"/>
        <c:lblAlgn val="ctr"/>
        <c:lblOffset val="100"/>
        <c:noMultiLvlLbl val="1"/>
      </c:catAx>
      <c:valAx>
        <c:axId val="761787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18624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Ealdorii!$D$1:$D$67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1.06E-2</c:v>
                </c:pt>
                <c:pt idx="2">
                  <c:v>1.01E-2</c:v>
                </c:pt>
                <c:pt idx="3">
                  <c:v>0.01</c:v>
                </c:pt>
                <c:pt idx="4">
                  <c:v>1.09E-2</c:v>
                </c:pt>
                <c:pt idx="5">
                  <c:v>1.03E-2</c:v>
                </c:pt>
                <c:pt idx="6">
                  <c:v>1.1399999999999999E-2</c:v>
                </c:pt>
                <c:pt idx="7">
                  <c:v>1.0500000000000001E-2</c:v>
                </c:pt>
                <c:pt idx="8">
                  <c:v>9.8000000000000014E-3</c:v>
                </c:pt>
                <c:pt idx="9">
                  <c:v>9.1999999999999981E-3</c:v>
                </c:pt>
                <c:pt idx="10">
                  <c:v>8.9999999999999993E-3</c:v>
                </c:pt>
                <c:pt idx="11">
                  <c:v>9.5999999999999992E-3</c:v>
                </c:pt>
                <c:pt idx="12">
                  <c:v>9.5999999999999992E-3</c:v>
                </c:pt>
                <c:pt idx="13">
                  <c:v>9.1999999999999981E-3</c:v>
                </c:pt>
                <c:pt idx="14">
                  <c:v>9.1999999999999981E-3</c:v>
                </c:pt>
                <c:pt idx="15">
                  <c:v>9.300000000000001E-3</c:v>
                </c:pt>
                <c:pt idx="16">
                  <c:v>2.2000000000000006E-3</c:v>
                </c:pt>
                <c:pt idx="17">
                  <c:v>-4.8000000000000004E-3</c:v>
                </c:pt>
                <c:pt idx="18">
                  <c:v>-4.1000000000000003E-3</c:v>
                </c:pt>
                <c:pt idx="19">
                  <c:v>-2E-3</c:v>
                </c:pt>
                <c:pt idx="20">
                  <c:v>9.5999999999999992E-3</c:v>
                </c:pt>
                <c:pt idx="21">
                  <c:v>1.0899999999999998E-2</c:v>
                </c:pt>
                <c:pt idx="22">
                  <c:v>7.3999999999999986E-3</c:v>
                </c:pt>
                <c:pt idx="23">
                  <c:v>3.2999999999999991E-3</c:v>
                </c:pt>
                <c:pt idx="24">
                  <c:v>9.300000000000001E-3</c:v>
                </c:pt>
                <c:pt idx="25">
                  <c:v>1.6E-2</c:v>
                </c:pt>
                <c:pt idx="26">
                  <c:v>1.47E-2</c:v>
                </c:pt>
                <c:pt idx="27">
                  <c:v>1.9299999999999998E-2</c:v>
                </c:pt>
                <c:pt idx="28">
                  <c:v>0.02</c:v>
                </c:pt>
                <c:pt idx="29">
                  <c:v>1.84E-2</c:v>
                </c:pt>
                <c:pt idx="30">
                  <c:v>1.06E-2</c:v>
                </c:pt>
                <c:pt idx="31">
                  <c:v>1.06E-2</c:v>
                </c:pt>
                <c:pt idx="32">
                  <c:v>1.3299999999999999E-2</c:v>
                </c:pt>
                <c:pt idx="33">
                  <c:v>1.38E-2</c:v>
                </c:pt>
                <c:pt idx="34">
                  <c:v>1.5299999999999999E-2</c:v>
                </c:pt>
                <c:pt idx="35">
                  <c:v>1.8099999999999998E-2</c:v>
                </c:pt>
                <c:pt idx="36">
                  <c:v>1.8599999999999998E-2</c:v>
                </c:pt>
                <c:pt idx="37">
                  <c:v>1.9799999999999998E-2</c:v>
                </c:pt>
                <c:pt idx="38">
                  <c:v>2.1100000000000001E-2</c:v>
                </c:pt>
                <c:pt idx="39">
                  <c:v>2.1499999999999998E-2</c:v>
                </c:pt>
                <c:pt idx="40">
                  <c:v>2.1499999999999998E-2</c:v>
                </c:pt>
                <c:pt idx="41">
                  <c:v>2.1399999999999995E-2</c:v>
                </c:pt>
                <c:pt idx="42">
                  <c:v>2.1199999999999997E-2</c:v>
                </c:pt>
                <c:pt idx="43">
                  <c:v>2.1100000000000001E-2</c:v>
                </c:pt>
                <c:pt idx="44">
                  <c:v>2.0799999999999999E-2</c:v>
                </c:pt>
                <c:pt idx="45">
                  <c:v>2.0900000000000002E-2</c:v>
                </c:pt>
                <c:pt idx="46">
                  <c:v>2.1699999999999997E-2</c:v>
                </c:pt>
                <c:pt idx="47">
                  <c:v>2.2699999999999998E-2</c:v>
                </c:pt>
                <c:pt idx="48">
                  <c:v>2.3099999999999996E-2</c:v>
                </c:pt>
                <c:pt idx="49">
                  <c:v>2.3199999999999998E-2</c:v>
                </c:pt>
                <c:pt idx="50">
                  <c:v>2.3199999999999998E-2</c:v>
                </c:pt>
                <c:pt idx="51">
                  <c:v>2.3300000000000001E-2</c:v>
                </c:pt>
                <c:pt idx="52">
                  <c:v>2.35E-2</c:v>
                </c:pt>
                <c:pt idx="53">
                  <c:v>2.35E-2</c:v>
                </c:pt>
                <c:pt idx="54">
                  <c:v>2.3E-2</c:v>
                </c:pt>
                <c:pt idx="55">
                  <c:v>2.2499999999999999E-2</c:v>
                </c:pt>
                <c:pt idx="56">
                  <c:v>2.2199999999999998E-2</c:v>
                </c:pt>
                <c:pt idx="57">
                  <c:v>2.1999999999999999E-2</c:v>
                </c:pt>
                <c:pt idx="58">
                  <c:v>2.1999999999999999E-2</c:v>
                </c:pt>
                <c:pt idx="59">
                  <c:v>2.1499999999999998E-2</c:v>
                </c:pt>
                <c:pt idx="60">
                  <c:v>2.0999999999999998E-2</c:v>
                </c:pt>
                <c:pt idx="61">
                  <c:v>2.0499999999999997E-2</c:v>
                </c:pt>
                <c:pt idx="62">
                  <c:v>1.9999999999999997E-2</c:v>
                </c:pt>
                <c:pt idx="63">
                  <c:v>1.9999999999999997E-2</c:v>
                </c:pt>
                <c:pt idx="64">
                  <c:v>1.9000000000000003E-2</c:v>
                </c:pt>
                <c:pt idx="65">
                  <c:v>1.8000000000000002E-2</c:v>
                </c:pt>
                <c:pt idx="66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A3-4A97-B72C-26534D91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351899"/>
        <c:axId val="1896501534"/>
      </c:lineChart>
      <c:catAx>
        <c:axId val="1446351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6501534"/>
        <c:crosses val="autoZero"/>
        <c:auto val="1"/>
        <c:lblAlgn val="ctr"/>
        <c:lblOffset val="100"/>
        <c:noMultiLvlLbl val="1"/>
      </c:catAx>
      <c:valAx>
        <c:axId val="1896501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63518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Ealdorii!$C$1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Ealdorii!$C$2:$C$67</c:f>
              <c:numCache>
                <c:formatCode>#,##0</c:formatCode>
                <c:ptCount val="66"/>
                <c:pt idx="0">
                  <c:v>137997507.0137313</c:v>
                </c:pt>
                <c:pt idx="1">
                  <c:v>136550076.20594826</c:v>
                </c:pt>
                <c:pt idx="2">
                  <c:v>135184710.62859941</c:v>
                </c:pt>
                <c:pt idx="3">
                  <c:v>133846248.14712812</c:v>
                </c:pt>
                <c:pt idx="4">
                  <c:v>132403054.84927107</c:v>
                </c:pt>
                <c:pt idx="5">
                  <c:v>131053206.81903502</c:v>
                </c:pt>
                <c:pt idx="6">
                  <c:v>129576039.96345167</c:v>
                </c:pt>
                <c:pt idx="7">
                  <c:v>128229628.86041729</c:v>
                </c:pt>
                <c:pt idx="8">
                  <c:v>126985174.15371092</c:v>
                </c:pt>
                <c:pt idx="9">
                  <c:v>125827560.59622563</c:v>
                </c:pt>
                <c:pt idx="10">
                  <c:v>124705213.67316714</c:v>
                </c:pt>
                <c:pt idx="11">
                  <c:v>123519427.17231293</c:v>
                </c:pt>
                <c:pt idx="12">
                  <c:v>122344915.97891533</c:v>
                </c:pt>
                <c:pt idx="13">
                  <c:v>121229603.62556016</c:v>
                </c:pt>
                <c:pt idx="14">
                  <c:v>120124458.60638145</c:v>
                </c:pt>
                <c:pt idx="15">
                  <c:v>119017594.97313131</c:v>
                </c:pt>
                <c:pt idx="16">
                  <c:v>118756331.04483269</c:v>
                </c:pt>
                <c:pt idx="17">
                  <c:v>119329110.77656019</c:v>
                </c:pt>
                <c:pt idx="18">
                  <c:v>119820374.31123626</c:v>
                </c:pt>
                <c:pt idx="19">
                  <c:v>120060495.30183995</c:v>
                </c:pt>
                <c:pt idx="20">
                  <c:v>118918874.11038029</c:v>
                </c:pt>
                <c:pt idx="21">
                  <c:v>117636634.79115669</c:v>
                </c:pt>
                <c:pt idx="22">
                  <c:v>116772518.1567964</c:v>
                </c:pt>
                <c:pt idx="23">
                  <c:v>116388436.31695046</c:v>
                </c:pt>
                <c:pt idx="24">
                  <c:v>115315997.53983003</c:v>
                </c:pt>
                <c:pt idx="25">
                  <c:v>113499997.57857285</c:v>
                </c:pt>
                <c:pt idx="26">
                  <c:v>111855718.51638204</c:v>
                </c:pt>
                <c:pt idx="27">
                  <c:v>109737779.37445505</c:v>
                </c:pt>
                <c:pt idx="28">
                  <c:v>107586058.21025005</c:v>
                </c:pt>
                <c:pt idx="29">
                  <c:v>105642240.97628638</c:v>
                </c:pt>
                <c:pt idx="30">
                  <c:v>104534178.68225449</c:v>
                </c:pt>
                <c:pt idx="31">
                  <c:v>103437738.6525376</c:v>
                </c:pt>
                <c:pt idx="32">
                  <c:v>102080073.67269081</c:v>
                </c:pt>
                <c:pt idx="33">
                  <c:v>100690544.16323812</c:v>
                </c:pt>
                <c:pt idx="34">
                  <c:v>99173194.290592059</c:v>
                </c:pt>
                <c:pt idx="35">
                  <c:v>97410071.987616211</c:v>
                </c:pt>
                <c:pt idx="36">
                  <c:v>95631329.263318494</c:v>
                </c:pt>
                <c:pt idx="37">
                  <c:v>93774592.335083827</c:v>
                </c:pt>
                <c:pt idx="38">
                  <c:v>91836835.114174753</c:v>
                </c:pt>
                <c:pt idx="39">
                  <c:v>89903901.237567052</c:v>
                </c:pt>
                <c:pt idx="40">
                  <c:v>88011650.746516928</c:v>
                </c:pt>
                <c:pt idx="41">
                  <c:v>86167662.763380572</c:v>
                </c:pt>
                <c:pt idx="42">
                  <c:v>84378831.53484194</c:v>
                </c:pt>
                <c:pt idx="43">
                  <c:v>82635228.219412342</c:v>
                </c:pt>
                <c:pt idx="44">
                  <c:v>80951438.302715853</c:v>
                </c:pt>
                <c:pt idx="45">
                  <c:v>79294189.737208202</c:v>
                </c:pt>
                <c:pt idx="46">
                  <c:v>77610051.617116764</c:v>
                </c:pt>
                <c:pt idx="47">
                  <c:v>75887407.467602193</c:v>
                </c:pt>
                <c:pt idx="48">
                  <c:v>74173988.337017104</c:v>
                </c:pt>
                <c:pt idx="49">
                  <c:v>72492169.993175432</c:v>
                </c:pt>
                <c:pt idx="50">
                  <c:v>70848485.137974411</c:v>
                </c:pt>
                <c:pt idx="51">
                  <c:v>69235302.587681428</c:v>
                </c:pt>
                <c:pt idx="52">
                  <c:v>67645630.276190937</c:v>
                </c:pt>
                <c:pt idx="53">
                  <c:v>66092457.524368271</c:v>
                </c:pt>
                <c:pt idx="54">
                  <c:v>64606507.84395726</c:v>
                </c:pt>
                <c:pt idx="55">
                  <c:v>63184848.747146465</c:v>
                </c:pt>
                <c:pt idx="56">
                  <c:v>61812608.831096128</c:v>
                </c:pt>
                <c:pt idx="57">
                  <c:v>60482004.727099925</c:v>
                </c:pt>
                <c:pt idx="58">
                  <c:v>59180043.764285639</c:v>
                </c:pt>
                <c:pt idx="59">
                  <c:v>57934453.024263963</c:v>
                </c:pt>
                <c:pt idx="60">
                  <c:v>56742853.108975485</c:v>
                </c:pt>
                <c:pt idx="61">
                  <c:v>55602991.777535997</c:v>
                </c:pt>
                <c:pt idx="62">
                  <c:v>54512737.036799997</c:v>
                </c:pt>
                <c:pt idx="63">
                  <c:v>53443859.839999996</c:v>
                </c:pt>
                <c:pt idx="64">
                  <c:v>52447360</c:v>
                </c:pt>
                <c:pt idx="65">
                  <c:v>51520000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0-44AD-97B9-46ADC285E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304336"/>
        <c:axId val="809468738"/>
      </c:lineChart>
      <c:catAx>
        <c:axId val="50830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468738"/>
        <c:crosses val="autoZero"/>
        <c:auto val="1"/>
        <c:lblAlgn val="ctr"/>
        <c:lblOffset val="100"/>
        <c:noMultiLvlLbl val="1"/>
      </c:catAx>
      <c:valAx>
        <c:axId val="809468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83043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Easuhura!$D$1:$D$67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1.6999999999999999E-3</c:v>
                </c:pt>
                <c:pt idx="2">
                  <c:v>8.9999999999999998E-4</c:v>
                </c:pt>
                <c:pt idx="3">
                  <c:v>2.7000000000000001E-3</c:v>
                </c:pt>
                <c:pt idx="4">
                  <c:v>1.9E-3</c:v>
                </c:pt>
                <c:pt idx="5">
                  <c:v>1.1999999999999999E-3</c:v>
                </c:pt>
                <c:pt idx="6">
                  <c:v>-1.5E-3</c:v>
                </c:pt>
                <c:pt idx="7">
                  <c:v>-2.5000000000000001E-3</c:v>
                </c:pt>
                <c:pt idx="8">
                  <c:v>-1.9E-3</c:v>
                </c:pt>
                <c:pt idx="9">
                  <c:v>-1.2999999999999999E-3</c:v>
                </c:pt>
                <c:pt idx="10">
                  <c:v>-1.1000000000000001E-3</c:v>
                </c:pt>
                <c:pt idx="11">
                  <c:v>-5.9999999999999995E-4</c:v>
                </c:pt>
                <c:pt idx="12">
                  <c:v>-2.0000000000000001E-4</c:v>
                </c:pt>
                <c:pt idx="13">
                  <c:v>5.9999999999999995E-4</c:v>
                </c:pt>
                <c:pt idx="14">
                  <c:v>1.6999999999999999E-3</c:v>
                </c:pt>
                <c:pt idx="15">
                  <c:v>1.6999999999999999E-3</c:v>
                </c:pt>
                <c:pt idx="16">
                  <c:v>1.4E-3</c:v>
                </c:pt>
                <c:pt idx="17">
                  <c:v>5.9999999999999995E-4</c:v>
                </c:pt>
                <c:pt idx="18">
                  <c:v>2.0000000000000001E-4</c:v>
                </c:pt>
                <c:pt idx="19">
                  <c:v>1.5E-3</c:v>
                </c:pt>
                <c:pt idx="20">
                  <c:v>1.1999999999999999E-3</c:v>
                </c:pt>
                <c:pt idx="21">
                  <c:v>5.0000000000000001E-4</c:v>
                </c:pt>
                <c:pt idx="22">
                  <c:v>-1.9E-3</c:v>
                </c:pt>
                <c:pt idx="23">
                  <c:v>-3.2000000000000002E-3</c:v>
                </c:pt>
                <c:pt idx="24">
                  <c:v>-1.6999999999999999E-3</c:v>
                </c:pt>
                <c:pt idx="25">
                  <c:v>-1.5E-3</c:v>
                </c:pt>
                <c:pt idx="26">
                  <c:v>-2.9999999999999997E-4</c:v>
                </c:pt>
                <c:pt idx="27">
                  <c:v>5.0000000000000001E-4</c:v>
                </c:pt>
                <c:pt idx="28">
                  <c:v>-2.2000000000000001E-3</c:v>
                </c:pt>
                <c:pt idx="29">
                  <c:v>1.5E-3</c:v>
                </c:pt>
                <c:pt idx="30">
                  <c:v>5.0000000000000001E-4</c:v>
                </c:pt>
                <c:pt idx="31">
                  <c:v>-2.2000000000000001E-3</c:v>
                </c:pt>
                <c:pt idx="32">
                  <c:v>-3.5000000000000001E-3</c:v>
                </c:pt>
                <c:pt idx="33">
                  <c:v>-2.5999999999999999E-3</c:v>
                </c:pt>
                <c:pt idx="34">
                  <c:v>-1E-3</c:v>
                </c:pt>
                <c:pt idx="35">
                  <c:v>1.5E-3</c:v>
                </c:pt>
                <c:pt idx="36">
                  <c:v>2.0999999999999999E-3</c:v>
                </c:pt>
                <c:pt idx="37">
                  <c:v>4.0000000000000002E-4</c:v>
                </c:pt>
                <c:pt idx="38">
                  <c:v>-8.9999999999999998E-4</c:v>
                </c:pt>
                <c:pt idx="39">
                  <c:v>-2.3E-3</c:v>
                </c:pt>
                <c:pt idx="40">
                  <c:v>-4.3E-3</c:v>
                </c:pt>
                <c:pt idx="41">
                  <c:v>-3.7000000000000002E-3</c:v>
                </c:pt>
                <c:pt idx="42">
                  <c:v>4.0000000000000002E-4</c:v>
                </c:pt>
                <c:pt idx="43">
                  <c:v>3.0999999999999999E-3</c:v>
                </c:pt>
                <c:pt idx="44">
                  <c:v>1.8E-3</c:v>
                </c:pt>
                <c:pt idx="45">
                  <c:v>1.8E-3</c:v>
                </c:pt>
                <c:pt idx="46">
                  <c:v>2.2000000000000001E-3</c:v>
                </c:pt>
                <c:pt idx="47">
                  <c:v>3.2000000000000002E-3</c:v>
                </c:pt>
                <c:pt idx="48">
                  <c:v>3.5999999999999999E-3</c:v>
                </c:pt>
                <c:pt idx="49">
                  <c:v>3.8E-3</c:v>
                </c:pt>
                <c:pt idx="50">
                  <c:v>4.0000000000000001E-3</c:v>
                </c:pt>
                <c:pt idx="51">
                  <c:v>4.4000000000000003E-3</c:v>
                </c:pt>
                <c:pt idx="52">
                  <c:v>4.5999999999999999E-3</c:v>
                </c:pt>
                <c:pt idx="53">
                  <c:v>4.7000000000000002E-3</c:v>
                </c:pt>
                <c:pt idx="54">
                  <c:v>4.7999999999999996E-3</c:v>
                </c:pt>
                <c:pt idx="55">
                  <c:v>5.4000000000000003E-3</c:v>
                </c:pt>
                <c:pt idx="56">
                  <c:v>4.0000000000000001E-3</c:v>
                </c:pt>
                <c:pt idx="57">
                  <c:v>4.0000000000000001E-3</c:v>
                </c:pt>
                <c:pt idx="58">
                  <c:v>3.3999999999999998E-3</c:v>
                </c:pt>
                <c:pt idx="59">
                  <c:v>4.0000000000000002E-4</c:v>
                </c:pt>
                <c:pt idx="60">
                  <c:v>-2.9999999999999997E-4</c:v>
                </c:pt>
                <c:pt idx="61">
                  <c:v>2E-3</c:v>
                </c:pt>
                <c:pt idx="62">
                  <c:v>3.3999999999999998E-3</c:v>
                </c:pt>
                <c:pt idx="63">
                  <c:v>5.5999999999999999E-3</c:v>
                </c:pt>
                <c:pt idx="64">
                  <c:v>5.4999999999999997E-3</c:v>
                </c:pt>
                <c:pt idx="65">
                  <c:v>6.0000000000000001E-3</c:v>
                </c:pt>
                <c:pt idx="66">
                  <c:v>5.0000000000000001E-3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70-483D-B3FD-B0EC5CAD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435826"/>
        <c:axId val="154308089"/>
      </c:lineChart>
      <c:catAx>
        <c:axId val="41243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308089"/>
        <c:crosses val="autoZero"/>
        <c:auto val="1"/>
        <c:lblAlgn val="ctr"/>
        <c:lblOffset val="100"/>
        <c:noMultiLvlLbl val="1"/>
      </c:catAx>
      <c:valAx>
        <c:axId val="154308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24358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Easuhura!$C$1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Easuhura!$C$2:$C$67</c:f>
              <c:numCache>
                <c:formatCode>#,##0</c:formatCode>
                <c:ptCount val="66"/>
                <c:pt idx="0">
                  <c:v>29915462.024033483</c:v>
                </c:pt>
                <c:pt idx="1">
                  <c:v>29864692.047552641</c:v>
                </c:pt>
                <c:pt idx="2">
                  <c:v>29837837.993358623</c:v>
                </c:pt>
                <c:pt idx="3">
                  <c:v>29757492.762898799</c:v>
                </c:pt>
                <c:pt idx="4">
                  <c:v>29701060.747478589</c:v>
                </c:pt>
                <c:pt idx="5">
                  <c:v>29665462.19284717</c:v>
                </c:pt>
                <c:pt idx="6">
                  <c:v>29710027.233697716</c:v>
                </c:pt>
                <c:pt idx="7">
                  <c:v>29784488.4548348</c:v>
                </c:pt>
                <c:pt idx="8">
                  <c:v>29841186.709583007</c:v>
                </c:pt>
                <c:pt idx="9">
                  <c:v>29880030.749557432</c:v>
                </c:pt>
                <c:pt idx="10">
                  <c:v>29912934.978033267</c:v>
                </c:pt>
                <c:pt idx="11">
                  <c:v>29930893.514141753</c:v>
                </c:pt>
                <c:pt idx="12">
                  <c:v>29936880.890319817</c:v>
                </c:pt>
                <c:pt idx="13">
                  <c:v>29918929.532600258</c:v>
                </c:pt>
                <c:pt idx="14">
                  <c:v>29868153.671358947</c:v>
                </c:pt>
                <c:pt idx="15">
                  <c:v>29817463.982588544</c:v>
                </c:pt>
                <c:pt idx="16">
                  <c:v>29775777.893537588</c:v>
                </c:pt>
                <c:pt idx="17">
                  <c:v>29757923.139653798</c:v>
                </c:pt>
                <c:pt idx="18">
                  <c:v>29751972.745104779</c:v>
                </c:pt>
                <c:pt idx="19">
                  <c:v>29707411.627663281</c:v>
                </c:pt>
                <c:pt idx="20">
                  <c:v>29671805.461109947</c:v>
                </c:pt>
                <c:pt idx="21">
                  <c:v>29656976.972623639</c:v>
                </c:pt>
                <c:pt idx="22">
                  <c:v>29713432.494362928</c:v>
                </c:pt>
                <c:pt idx="23">
                  <c:v>29808820.720669068</c:v>
                </c:pt>
                <c:pt idx="24">
                  <c:v>29859582.010086216</c:v>
                </c:pt>
                <c:pt idx="25">
                  <c:v>29904438.668088347</c:v>
                </c:pt>
                <c:pt idx="26">
                  <c:v>29913412.691895913</c:v>
                </c:pt>
                <c:pt idx="27">
                  <c:v>29898463.460165832</c:v>
                </c:pt>
                <c:pt idx="28">
                  <c:v>29964385.107402116</c:v>
                </c:pt>
                <c:pt idx="29">
                  <c:v>29919505.848629169</c:v>
                </c:pt>
                <c:pt idx="30">
                  <c:v>29904553.571843248</c:v>
                </c:pt>
                <c:pt idx="31">
                  <c:v>29970488.646866355</c:v>
                </c:pt>
                <c:pt idx="32">
                  <c:v>30075753.785114255</c:v>
                </c:pt>
                <c:pt idx="33">
                  <c:v>30154154.587040562</c:v>
                </c:pt>
                <c:pt idx="34">
                  <c:v>30184338.925966527</c:v>
                </c:pt>
                <c:pt idx="35">
                  <c:v>30139130.230620597</c:v>
                </c:pt>
                <c:pt idx="36">
                  <c:v>30075970.692167047</c:v>
                </c:pt>
                <c:pt idx="37">
                  <c:v>30063945.1141214</c:v>
                </c:pt>
                <c:pt idx="38">
                  <c:v>30091027.038456012</c:v>
                </c:pt>
                <c:pt idx="39">
                  <c:v>30160395.949139029</c:v>
                </c:pt>
                <c:pt idx="40">
                  <c:v>30290645.725759797</c:v>
                </c:pt>
                <c:pt idx="41">
                  <c:v>30403137.33389521</c:v>
                </c:pt>
                <c:pt idx="42">
                  <c:v>30390980.941518605</c:v>
                </c:pt>
                <c:pt idx="43">
                  <c:v>30297060.055347025</c:v>
                </c:pt>
                <c:pt idx="44">
                  <c:v>30242623.333347</c:v>
                </c:pt>
                <c:pt idx="45">
                  <c:v>30188284.421388499</c:v>
                </c:pt>
                <c:pt idx="46">
                  <c:v>30122015.986218818</c:v>
                </c:pt>
                <c:pt idx="47">
                  <c:v>30025933.000616841</c:v>
                </c:pt>
                <c:pt idx="48">
                  <c:v>29918227.382041492</c:v>
                </c:pt>
                <c:pt idx="49">
                  <c:v>29804968.501734897</c:v>
                </c:pt>
                <c:pt idx="50">
                  <c:v>29686223.607305676</c:v>
                </c:pt>
                <c:pt idx="51">
                  <c:v>29556176.431009237</c:v>
                </c:pt>
                <c:pt idx="52">
                  <c:v>29420840.56441294</c:v>
                </c:pt>
                <c:pt idx="53">
                  <c:v>29283209.479857612</c:v>
                </c:pt>
                <c:pt idx="54">
                  <c:v>29143321.536482498</c:v>
                </c:pt>
                <c:pt idx="55">
                  <c:v>28986792.855065145</c:v>
                </c:pt>
                <c:pt idx="56">
                  <c:v>28871307.624566875</c:v>
                </c:pt>
                <c:pt idx="57">
                  <c:v>28756282.49458852</c:v>
                </c:pt>
                <c:pt idx="58">
                  <c:v>28658842.430325411</c:v>
                </c:pt>
                <c:pt idx="59">
                  <c:v>28647383.476934638</c:v>
                </c:pt>
                <c:pt idx="60">
                  <c:v>28655980.271015942</c:v>
                </c:pt>
                <c:pt idx="61">
                  <c:v>28598782.705604732</c:v>
                </c:pt>
                <c:pt idx="62">
                  <c:v>28501876.326096002</c:v>
                </c:pt>
                <c:pt idx="63">
                  <c:v>28343154.66</c:v>
                </c:pt>
                <c:pt idx="64">
                  <c:v>28188120</c:v>
                </c:pt>
                <c:pt idx="65" formatCode="#,###">
                  <c:v>28020000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A-4E0F-9314-E61EDFE2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739915"/>
        <c:axId val="1123983894"/>
      </c:lineChart>
      <c:catAx>
        <c:axId val="1889739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3983894"/>
        <c:crosses val="autoZero"/>
        <c:auto val="1"/>
        <c:lblAlgn val="ctr"/>
        <c:lblOffset val="100"/>
        <c:noMultiLvlLbl val="1"/>
      </c:catAx>
      <c:valAx>
        <c:axId val="112398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97399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Eldavpir!$D$1:$D$67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2.5399999999999999E-2</c:v>
                </c:pt>
                <c:pt idx="2">
                  <c:v>2.64E-2</c:v>
                </c:pt>
                <c:pt idx="3">
                  <c:v>2.7099999999999999E-2</c:v>
                </c:pt>
                <c:pt idx="4">
                  <c:v>2.7699999999999999E-2</c:v>
                </c:pt>
                <c:pt idx="5">
                  <c:v>2.8000000000000001E-2</c:v>
                </c:pt>
                <c:pt idx="6">
                  <c:v>2.8000000000000001E-2</c:v>
                </c:pt>
                <c:pt idx="7">
                  <c:v>2.7900000000000001E-2</c:v>
                </c:pt>
                <c:pt idx="8">
                  <c:v>2.7799999999999998E-2</c:v>
                </c:pt>
                <c:pt idx="9">
                  <c:v>2.7699999999999999E-2</c:v>
                </c:pt>
                <c:pt idx="10">
                  <c:v>2.76E-2</c:v>
                </c:pt>
                <c:pt idx="11">
                  <c:v>2.7699999999999999E-2</c:v>
                </c:pt>
                <c:pt idx="12">
                  <c:v>2.7699999999999999E-2</c:v>
                </c:pt>
                <c:pt idx="13">
                  <c:v>2.76E-2</c:v>
                </c:pt>
                <c:pt idx="14">
                  <c:v>2.7400000000000001E-2</c:v>
                </c:pt>
                <c:pt idx="15">
                  <c:v>2.7199999999999998E-2</c:v>
                </c:pt>
                <c:pt idx="16">
                  <c:v>2.6700000000000002E-2</c:v>
                </c:pt>
                <c:pt idx="17">
                  <c:v>2.64E-2</c:v>
                </c:pt>
                <c:pt idx="18">
                  <c:v>2.6100000000000002E-2</c:v>
                </c:pt>
                <c:pt idx="19">
                  <c:v>2.5999999999999999E-2</c:v>
                </c:pt>
                <c:pt idx="20">
                  <c:v>2.6100000000000002E-2</c:v>
                </c:pt>
                <c:pt idx="21">
                  <c:v>2.64E-2</c:v>
                </c:pt>
                <c:pt idx="22">
                  <c:v>2.64E-2</c:v>
                </c:pt>
                <c:pt idx="23">
                  <c:v>2.6499999999999999E-2</c:v>
                </c:pt>
                <c:pt idx="24">
                  <c:v>2.63E-2</c:v>
                </c:pt>
                <c:pt idx="25">
                  <c:v>2.64E-2</c:v>
                </c:pt>
                <c:pt idx="26">
                  <c:v>2.7E-2</c:v>
                </c:pt>
                <c:pt idx="27">
                  <c:v>2.69E-2</c:v>
                </c:pt>
                <c:pt idx="28">
                  <c:v>2.6700000000000002E-2</c:v>
                </c:pt>
                <c:pt idx="29">
                  <c:v>2.6599999999999999E-2</c:v>
                </c:pt>
                <c:pt idx="30">
                  <c:v>2.7199999999999998E-2</c:v>
                </c:pt>
                <c:pt idx="31">
                  <c:v>2.8299999999999999E-2</c:v>
                </c:pt>
                <c:pt idx="32">
                  <c:v>2.5600000000000001E-2</c:v>
                </c:pt>
                <c:pt idx="33">
                  <c:v>2.5899999999999999E-2</c:v>
                </c:pt>
                <c:pt idx="34">
                  <c:v>2.9899999999999999E-2</c:v>
                </c:pt>
                <c:pt idx="35">
                  <c:v>3.0700000000000002E-2</c:v>
                </c:pt>
                <c:pt idx="36">
                  <c:v>3.1199999999999999E-2</c:v>
                </c:pt>
                <c:pt idx="37">
                  <c:v>3.0800000000000001E-2</c:v>
                </c:pt>
                <c:pt idx="38">
                  <c:v>3.0599999999999999E-2</c:v>
                </c:pt>
                <c:pt idx="39">
                  <c:v>2.98E-2</c:v>
                </c:pt>
                <c:pt idx="40">
                  <c:v>2.87E-2</c:v>
                </c:pt>
                <c:pt idx="41">
                  <c:v>2.7699999999999999E-2</c:v>
                </c:pt>
                <c:pt idx="42">
                  <c:v>2.6200000000000001E-2</c:v>
                </c:pt>
                <c:pt idx="43">
                  <c:v>2.4899999999999999E-2</c:v>
                </c:pt>
                <c:pt idx="44">
                  <c:v>2.4E-2</c:v>
                </c:pt>
                <c:pt idx="45">
                  <c:v>2.3400000000000001E-2</c:v>
                </c:pt>
                <c:pt idx="46">
                  <c:v>2.2800000000000001E-2</c:v>
                </c:pt>
                <c:pt idx="47">
                  <c:v>2.2200000000000001E-2</c:v>
                </c:pt>
                <c:pt idx="48">
                  <c:v>2.1600000000000001E-2</c:v>
                </c:pt>
                <c:pt idx="49">
                  <c:v>2.1399999999999999E-2</c:v>
                </c:pt>
                <c:pt idx="50">
                  <c:v>2.18E-2</c:v>
                </c:pt>
                <c:pt idx="51">
                  <c:v>2.1700000000000001E-2</c:v>
                </c:pt>
                <c:pt idx="52">
                  <c:v>2.1399999999999999E-2</c:v>
                </c:pt>
                <c:pt idx="53">
                  <c:v>2.12E-2</c:v>
                </c:pt>
                <c:pt idx="54">
                  <c:v>2.1000000000000001E-2</c:v>
                </c:pt>
                <c:pt idx="55">
                  <c:v>2.06E-2</c:v>
                </c:pt>
                <c:pt idx="56">
                  <c:v>2.0500000000000001E-2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1.95E-2</c:v>
                </c:pt>
                <c:pt idx="61">
                  <c:v>1.9E-2</c:v>
                </c:pt>
                <c:pt idx="62">
                  <c:v>1.8499999999999999E-2</c:v>
                </c:pt>
                <c:pt idx="63">
                  <c:v>1.8499999999999999E-2</c:v>
                </c:pt>
                <c:pt idx="64">
                  <c:v>1.7999999999999999E-2</c:v>
                </c:pt>
                <c:pt idx="65">
                  <c:v>1.7500000000000002E-2</c:v>
                </c:pt>
                <c:pt idx="66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BA-4B69-9B05-5213110D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878027"/>
        <c:axId val="324073916"/>
      </c:lineChart>
      <c:catAx>
        <c:axId val="2072878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4073916"/>
        <c:crosses val="autoZero"/>
        <c:auto val="1"/>
        <c:lblAlgn val="ctr"/>
        <c:lblOffset val="100"/>
        <c:noMultiLvlLbl val="1"/>
      </c:catAx>
      <c:valAx>
        <c:axId val="324073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28780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Eldavpir!$C$1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Eldavpir!$C$2:$C$67</c:f>
              <c:numCache>
                <c:formatCode>#,##0</c:formatCode>
                <c:ptCount val="66"/>
                <c:pt idx="0">
                  <c:v>29419801.414635636</c:v>
                </c:pt>
                <c:pt idx="1">
                  <c:v>28691048.77573204</c:v>
                </c:pt>
                <c:pt idx="2">
                  <c:v>27953087.27175764</c:v>
                </c:pt>
                <c:pt idx="3">
                  <c:v>27215545.975813106</c:v>
                </c:pt>
                <c:pt idx="4">
                  <c:v>26481994.722013336</c:v>
                </c:pt>
                <c:pt idx="5">
                  <c:v>25760695.254876785</c:v>
                </c:pt>
                <c:pt idx="6">
                  <c:v>25059042.076728389</c:v>
                </c:pt>
                <c:pt idx="7">
                  <c:v>24378871.56019884</c:v>
                </c:pt>
                <c:pt idx="8">
                  <c:v>23719470.28624133</c:v>
                </c:pt>
                <c:pt idx="9">
                  <c:v>23080150.127703931</c:v>
                </c:pt>
                <c:pt idx="10">
                  <c:v>22460247.302164197</c:v>
                </c:pt>
                <c:pt idx="11">
                  <c:v>21854867.473157726</c:v>
                </c:pt>
                <c:pt idx="12">
                  <c:v>21265804.683426801</c:v>
                </c:pt>
                <c:pt idx="13">
                  <c:v>20694632.8176594</c:v>
                </c:pt>
                <c:pt idx="14">
                  <c:v>20142722.228595871</c:v>
                </c:pt>
                <c:pt idx="15">
                  <c:v>19609347.963975735</c:v>
                </c:pt>
                <c:pt idx="16">
                  <c:v>19099394.140426353</c:v>
                </c:pt>
                <c:pt idx="17">
                  <c:v>18608139.263860438</c:v>
                </c:pt>
                <c:pt idx="18">
                  <c:v>18134820.450112503</c:v>
                </c:pt>
                <c:pt idx="19">
                  <c:v>17675263.596600879</c:v>
                </c:pt>
                <c:pt idx="20">
                  <c:v>17225673.517786648</c:v>
                </c:pt>
                <c:pt idx="21">
                  <c:v>16782612.546557531</c:v>
                </c:pt>
                <c:pt idx="22">
                  <c:v>16350947.531720119</c:v>
                </c:pt>
                <c:pt idx="23">
                  <c:v>15928833.445416579</c:v>
                </c:pt>
                <c:pt idx="24">
                  <c:v>15520640.597697144</c:v>
                </c:pt>
                <c:pt idx="25">
                  <c:v>15121434.721061131</c:v>
                </c:pt>
                <c:pt idx="26">
                  <c:v>14723889.699183187</c:v>
                </c:pt>
                <c:pt idx="27">
                  <c:v>14338192.325623905</c:v>
                </c:pt>
                <c:pt idx="28">
                  <c:v>13965318.326311393</c:v>
                </c:pt>
                <c:pt idx="29">
                  <c:v>13603466.127324561</c:v>
                </c:pt>
                <c:pt idx="30">
                  <c:v>13243249.73454494</c:v>
                </c:pt>
                <c:pt idx="31">
                  <c:v>12878780.253374444</c:v>
                </c:pt>
                <c:pt idx="32">
                  <c:v>12557313.039561665</c:v>
                </c:pt>
                <c:pt idx="33">
                  <c:v>12240289.540463656</c:v>
                </c:pt>
                <c:pt idx="34">
                  <c:v>11884930.129588947</c:v>
                </c:pt>
                <c:pt idx="35">
                  <c:v>11530930.561355338</c:v>
                </c:pt>
                <c:pt idx="36">
                  <c:v>11182050.583160724</c:v>
                </c:pt>
                <c:pt idx="37">
                  <c:v>10847934.209507883</c:v>
                </c:pt>
                <c:pt idx="38">
                  <c:v>10525843.4014243</c:v>
                </c:pt>
                <c:pt idx="39">
                  <c:v>10221250.147042435</c:v>
                </c:pt>
                <c:pt idx="40">
                  <c:v>9936084.5212816522</c:v>
                </c:pt>
                <c:pt idx="41">
                  <c:v>9668273.3495004885</c:v>
                </c:pt>
                <c:pt idx="42">
                  <c:v>9421431.8354126755</c:v>
                </c:pt>
                <c:pt idx="43">
                  <c:v>9192537.6479780227</c:v>
                </c:pt>
                <c:pt idx="44">
                  <c:v>8977087.5468535367</c:v>
                </c:pt>
                <c:pt idx="45">
                  <c:v>8771826.799739629</c:v>
                </c:pt>
                <c:pt idx="46">
                  <c:v>8576287.4459714796</c:v>
                </c:pt>
                <c:pt idx="47">
                  <c:v>8390028.8064678926</c:v>
                </c:pt>
                <c:pt idx="48">
                  <c:v>8212635.8716404578</c:v>
                </c:pt>
                <c:pt idx="49">
                  <c:v>8040567.7223814931</c:v>
                </c:pt>
                <c:pt idx="50">
                  <c:v>7869023.0205338551</c:v>
                </c:pt>
                <c:pt idx="51">
                  <c:v>7701891.96489562</c:v>
                </c:pt>
                <c:pt idx="52">
                  <c:v>7540524.7355547482</c:v>
                </c:pt>
                <c:pt idx="53">
                  <c:v>7383984.2690508692</c:v>
                </c:pt>
                <c:pt idx="54">
                  <c:v>7232109.9598931149</c:v>
                </c:pt>
                <c:pt idx="55">
                  <c:v>7086135.5672086179</c:v>
                </c:pt>
                <c:pt idx="56">
                  <c:v>6943787.9149521003</c:v>
                </c:pt>
                <c:pt idx="57">
                  <c:v>6807635.2107373532</c:v>
                </c:pt>
                <c:pt idx="58">
                  <c:v>6674152.1673895614</c:v>
                </c:pt>
                <c:pt idx="59">
                  <c:v>6543286.4386172174</c:v>
                </c:pt>
                <c:pt idx="60">
                  <c:v>6418132.8480796637</c:v>
                </c:pt>
                <c:pt idx="61">
                  <c:v>6298462.0687729781</c:v>
                </c:pt>
                <c:pt idx="62">
                  <c:v>6184057.0140137244</c:v>
                </c:pt>
                <c:pt idx="63">
                  <c:v>6071730.0088499999</c:v>
                </c:pt>
                <c:pt idx="64">
                  <c:v>5964371.3250000002</c:v>
                </c:pt>
                <c:pt idx="65">
                  <c:v>5861790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0-4986-B2B1-CD306B068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250208"/>
        <c:axId val="804904323"/>
      </c:lineChart>
      <c:catAx>
        <c:axId val="12642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4904323"/>
        <c:crosses val="autoZero"/>
        <c:auto val="1"/>
        <c:lblAlgn val="ctr"/>
        <c:lblOffset val="100"/>
        <c:noMultiLvlLbl val="1"/>
      </c:catAx>
      <c:valAx>
        <c:axId val="80490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2502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Eldjo!$D$1:$D$67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0.01</c:v>
                </c:pt>
                <c:pt idx="2">
                  <c:v>1.1299999999999999E-2</c:v>
                </c:pt>
                <c:pt idx="3">
                  <c:v>1.21E-2</c:v>
                </c:pt>
                <c:pt idx="4">
                  <c:v>1.3100000000000001E-2</c:v>
                </c:pt>
                <c:pt idx="5">
                  <c:v>1.2999999999999999E-2</c:v>
                </c:pt>
                <c:pt idx="6">
                  <c:v>1.2500000000000001E-2</c:v>
                </c:pt>
                <c:pt idx="7">
                  <c:v>1.26E-2</c:v>
                </c:pt>
                <c:pt idx="8">
                  <c:v>1.2500000000000001E-2</c:v>
                </c:pt>
                <c:pt idx="9">
                  <c:v>1.03E-2</c:v>
                </c:pt>
                <c:pt idx="10">
                  <c:v>8.0999999999999996E-3</c:v>
                </c:pt>
                <c:pt idx="11">
                  <c:v>6.7999999999999996E-3</c:v>
                </c:pt>
                <c:pt idx="12">
                  <c:v>5.8999999999999999E-3</c:v>
                </c:pt>
                <c:pt idx="13">
                  <c:v>5.8999999999999999E-3</c:v>
                </c:pt>
                <c:pt idx="14">
                  <c:v>5.4000000000000003E-3</c:v>
                </c:pt>
                <c:pt idx="15">
                  <c:v>5.1000000000000004E-3</c:v>
                </c:pt>
                <c:pt idx="16">
                  <c:v>6.4999999999999997E-3</c:v>
                </c:pt>
                <c:pt idx="17">
                  <c:v>6.7999999999999996E-3</c:v>
                </c:pt>
                <c:pt idx="18">
                  <c:v>6.0000000000000001E-3</c:v>
                </c:pt>
                <c:pt idx="19">
                  <c:v>5.4000000000000003E-3</c:v>
                </c:pt>
                <c:pt idx="20">
                  <c:v>5.1000000000000004E-3</c:v>
                </c:pt>
                <c:pt idx="21">
                  <c:v>5.1999999999999998E-3</c:v>
                </c:pt>
                <c:pt idx="22">
                  <c:v>5.7000000000000002E-3</c:v>
                </c:pt>
                <c:pt idx="23">
                  <c:v>6.0000000000000001E-3</c:v>
                </c:pt>
                <c:pt idx="24">
                  <c:v>5.7999999999999996E-3</c:v>
                </c:pt>
                <c:pt idx="25">
                  <c:v>4.7999999999999996E-3</c:v>
                </c:pt>
                <c:pt idx="26">
                  <c:v>3.3999999999999998E-3</c:v>
                </c:pt>
                <c:pt idx="27">
                  <c:v>4.1000000000000003E-3</c:v>
                </c:pt>
                <c:pt idx="28">
                  <c:v>5.4000000000000003E-3</c:v>
                </c:pt>
                <c:pt idx="29">
                  <c:v>4.7000000000000002E-3</c:v>
                </c:pt>
                <c:pt idx="30">
                  <c:v>3.5999999999999999E-3</c:v>
                </c:pt>
                <c:pt idx="31">
                  <c:v>3.0000000000000001E-3</c:v>
                </c:pt>
                <c:pt idx="32">
                  <c:v>2.8E-3</c:v>
                </c:pt>
                <c:pt idx="33">
                  <c:v>3.3E-3</c:v>
                </c:pt>
                <c:pt idx="34">
                  <c:v>3.7000000000000002E-3</c:v>
                </c:pt>
                <c:pt idx="35">
                  <c:v>3.3999999999999998E-3</c:v>
                </c:pt>
                <c:pt idx="36">
                  <c:v>3.2000000000000002E-3</c:v>
                </c:pt>
                <c:pt idx="37">
                  <c:v>3.3999999999999998E-3</c:v>
                </c:pt>
                <c:pt idx="38">
                  <c:v>3.8E-3</c:v>
                </c:pt>
                <c:pt idx="39">
                  <c:v>4.1999999999999997E-3</c:v>
                </c:pt>
                <c:pt idx="40">
                  <c:v>4.7000000000000002E-3</c:v>
                </c:pt>
                <c:pt idx="41">
                  <c:v>5.4999999999999997E-3</c:v>
                </c:pt>
                <c:pt idx="42">
                  <c:v>6.1999999999999998E-3</c:v>
                </c:pt>
                <c:pt idx="43">
                  <c:v>7.0000000000000001E-3</c:v>
                </c:pt>
                <c:pt idx="44">
                  <c:v>7.6E-3</c:v>
                </c:pt>
                <c:pt idx="45">
                  <c:v>7.0000000000000001E-3</c:v>
                </c:pt>
                <c:pt idx="46">
                  <c:v>7.3000000000000001E-3</c:v>
                </c:pt>
                <c:pt idx="47">
                  <c:v>8.0999999999999996E-3</c:v>
                </c:pt>
                <c:pt idx="48">
                  <c:v>8.3999999999999995E-3</c:v>
                </c:pt>
                <c:pt idx="49">
                  <c:v>8.3999999999999995E-3</c:v>
                </c:pt>
                <c:pt idx="50">
                  <c:v>8.0000000000000002E-3</c:v>
                </c:pt>
                <c:pt idx="51">
                  <c:v>7.7999999999999996E-3</c:v>
                </c:pt>
                <c:pt idx="52">
                  <c:v>7.6E-3</c:v>
                </c:pt>
                <c:pt idx="53">
                  <c:v>7.6E-3</c:v>
                </c:pt>
                <c:pt idx="54">
                  <c:v>8.0000000000000002E-3</c:v>
                </c:pt>
                <c:pt idx="55">
                  <c:v>7.9000000000000008E-3</c:v>
                </c:pt>
                <c:pt idx="56">
                  <c:v>8.5000000000000006E-3</c:v>
                </c:pt>
                <c:pt idx="57">
                  <c:v>8.5000000000000006E-3</c:v>
                </c:pt>
                <c:pt idx="58">
                  <c:v>8.5000000000000006E-3</c:v>
                </c:pt>
                <c:pt idx="59">
                  <c:v>8.5000000000000006E-3</c:v>
                </c:pt>
                <c:pt idx="60">
                  <c:v>8.9999999999999993E-3</c:v>
                </c:pt>
                <c:pt idx="61">
                  <c:v>9.4999999999999998E-3</c:v>
                </c:pt>
                <c:pt idx="62">
                  <c:v>9.4999999999999998E-3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C8-4BAC-904A-C3CBF16D3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499066"/>
        <c:axId val="613660429"/>
      </c:lineChart>
      <c:catAx>
        <c:axId val="1773499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3660429"/>
        <c:crosses val="autoZero"/>
        <c:auto val="1"/>
        <c:lblAlgn val="ctr"/>
        <c:lblOffset val="100"/>
        <c:noMultiLvlLbl val="1"/>
      </c:catAx>
      <c:valAx>
        <c:axId val="613660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34990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Eldjo!$C$1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Eldjo!$C$2:$C$67</c:f>
              <c:numCache>
                <c:formatCode>#,##0</c:formatCode>
                <c:ptCount val="66"/>
                <c:pt idx="0">
                  <c:v>5393470.1198432725</c:v>
                </c:pt>
                <c:pt idx="1">
                  <c:v>5340069.425587398</c:v>
                </c:pt>
                <c:pt idx="2">
                  <c:v>5280400.895468602</c:v>
                </c:pt>
                <c:pt idx="3">
                  <c:v>5217271.9054131033</c:v>
                </c:pt>
                <c:pt idx="4">
                  <c:v>5149809.4022437101</c:v>
                </c:pt>
                <c:pt idx="5">
                  <c:v>5083721.028868421</c:v>
                </c:pt>
                <c:pt idx="6">
                  <c:v>5020959.0408576997</c:v>
                </c:pt>
                <c:pt idx="7">
                  <c:v>4958482.1655714987</c:v>
                </c:pt>
                <c:pt idx="8">
                  <c:v>4897266.3363669124</c:v>
                </c:pt>
                <c:pt idx="9">
                  <c:v>4847338.7472700309</c:v>
                </c:pt>
                <c:pt idx="10">
                  <c:v>4808390.7819363466</c:v>
                </c:pt>
                <c:pt idx="11">
                  <c:v>4775914.5629085684</c:v>
                </c:pt>
                <c:pt idx="12">
                  <c:v>4747901.9414539896</c:v>
                </c:pt>
                <c:pt idx="13">
                  <c:v>4720053.6250660997</c:v>
                </c:pt>
                <c:pt idx="14">
                  <c:v>4694702.2330078566</c:v>
                </c:pt>
                <c:pt idx="15">
                  <c:v>4670880.7412275951</c:v>
                </c:pt>
                <c:pt idx="16">
                  <c:v>4640716.0866642771</c:v>
                </c:pt>
                <c:pt idx="17">
                  <c:v>4609372.3546526395</c:v>
                </c:pt>
                <c:pt idx="18">
                  <c:v>4581881.0682431804</c:v>
                </c:pt>
                <c:pt idx="19">
                  <c:v>4557271.8005203698</c:v>
                </c:pt>
                <c:pt idx="20">
                  <c:v>4534147.6475180276</c:v>
                </c:pt>
                <c:pt idx="21">
                  <c:v>4510692.0488639344</c:v>
                </c:pt>
                <c:pt idx="22">
                  <c:v>4485126.8259559851</c:v>
                </c:pt>
                <c:pt idx="23">
                  <c:v>4458376.5665566456</c:v>
                </c:pt>
                <c:pt idx="24">
                  <c:v>4432667.097391773</c:v>
                </c:pt>
                <c:pt idx="25">
                  <c:v>4411491.9360985002</c:v>
                </c:pt>
                <c:pt idx="26">
                  <c:v>4396543.687560793</c:v>
                </c:pt>
                <c:pt idx="27">
                  <c:v>4378591.4625642793</c:v>
                </c:pt>
                <c:pt idx="28">
                  <c:v>4355074.0626260983</c:v>
                </c:pt>
                <c:pt idx="29">
                  <c:v>4334700.9680761406</c:v>
                </c:pt>
                <c:pt idx="30">
                  <c:v>4319152.0208012555</c:v>
                </c:pt>
                <c:pt idx="31">
                  <c:v>4306233.3208387401</c:v>
                </c:pt>
                <c:pt idx="32">
                  <c:v>4294209.5341431396</c:v>
                </c:pt>
                <c:pt idx="33">
                  <c:v>4280085.2528088698</c:v>
                </c:pt>
                <c:pt idx="34">
                  <c:v>4264307.3157406291</c:v>
                </c:pt>
                <c:pt idx="35">
                  <c:v>4249857.7992232693</c:v>
                </c:pt>
                <c:pt idx="36">
                  <c:v>4236301.6339944862</c:v>
                </c:pt>
                <c:pt idx="37">
                  <c:v>4221947.0141463885</c:v>
                </c:pt>
                <c:pt idx="38">
                  <c:v>4205964.3496178407</c:v>
                </c:pt>
                <c:pt idx="39">
                  <c:v>4188373.182252381</c:v>
                </c:pt>
                <c:pt idx="40">
                  <c:v>4168779.9166441537</c:v>
                </c:pt>
                <c:pt idx="41">
                  <c:v>4145977.0429081586</c:v>
                </c:pt>
                <c:pt idx="42">
                  <c:v>4120430.3745857272</c:v>
                </c:pt>
                <c:pt idx="43">
                  <c:v>4091787.8595687463</c:v>
                </c:pt>
                <c:pt idx="44">
                  <c:v>4060924.8308542538</c:v>
                </c:pt>
                <c:pt idx="45">
                  <c:v>4032695.9591402723</c:v>
                </c:pt>
                <c:pt idx="46">
                  <c:v>4003470.6235880791</c:v>
                </c:pt>
                <c:pt idx="47">
                  <c:v>3971303.068731355</c:v>
                </c:pt>
                <c:pt idx="48">
                  <c:v>3938222.0038986066</c:v>
                </c:pt>
                <c:pt idx="49">
                  <c:v>3905416.5052544693</c:v>
                </c:pt>
                <c:pt idx="50">
                  <c:v>3874421.1361651481</c:v>
                </c:pt>
                <c:pt idx="51">
                  <c:v>3844434.5467008813</c:v>
                </c:pt>
                <c:pt idx="52">
                  <c:v>3815437.2238000012</c:v>
                </c:pt>
                <c:pt idx="53">
                  <c:v>3786658.6183009138</c:v>
                </c:pt>
                <c:pt idx="54">
                  <c:v>3756605.7721239226</c:v>
                </c:pt>
                <c:pt idx="55">
                  <c:v>3727161.1986545515</c:v>
                </c:pt>
                <c:pt idx="56">
                  <c:v>3695747.3462117519</c:v>
                </c:pt>
                <c:pt idx="57">
                  <c:v>3664598.2609933089</c:v>
                </c:pt>
                <c:pt idx="58">
                  <c:v>3633711.711446018</c:v>
                </c:pt>
                <c:pt idx="59">
                  <c:v>3603085.4848250058</c:v>
                </c:pt>
                <c:pt idx="60">
                  <c:v>3570946.9621655163</c:v>
                </c:pt>
                <c:pt idx="61">
                  <c:v>3537342.2111595008</c:v>
                </c:pt>
                <c:pt idx="62">
                  <c:v>3504053.7010000004</c:v>
                </c:pt>
                <c:pt idx="63">
                  <c:v>3469360.1</c:v>
                </c:pt>
                <c:pt idx="64">
                  <c:v>3435010</c:v>
                </c:pt>
                <c:pt idx="65">
                  <c:v>3401000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E-42E8-A7DB-31D0C6EC0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230945"/>
        <c:axId val="953228739"/>
      </c:lineChart>
      <c:catAx>
        <c:axId val="1486230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3228739"/>
        <c:crosses val="autoZero"/>
        <c:auto val="1"/>
        <c:lblAlgn val="ctr"/>
        <c:lblOffset val="100"/>
        <c:noMultiLvlLbl val="1"/>
      </c:catAx>
      <c:valAx>
        <c:axId val="953228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62309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'Elja and Munusia'!$D$1:$D$67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4.7999999999999996E-3</c:v>
                </c:pt>
                <c:pt idx="2">
                  <c:v>5.4999999999999997E-3</c:v>
                </c:pt>
                <c:pt idx="3">
                  <c:v>7.4999999999999997E-3</c:v>
                </c:pt>
                <c:pt idx="4">
                  <c:v>8.9999999999999993E-3</c:v>
                </c:pt>
                <c:pt idx="5">
                  <c:v>0.01</c:v>
                </c:pt>
                <c:pt idx="6">
                  <c:v>1.0800000000000001E-2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1.0500000000000001E-2</c:v>
                </c:pt>
                <c:pt idx="10">
                  <c:v>0.01</c:v>
                </c:pt>
                <c:pt idx="11">
                  <c:v>9.4999999999999998E-3</c:v>
                </c:pt>
                <c:pt idx="12">
                  <c:v>8.9999999999999993E-3</c:v>
                </c:pt>
                <c:pt idx="13">
                  <c:v>0.01</c:v>
                </c:pt>
                <c:pt idx="14">
                  <c:v>1.15E-2</c:v>
                </c:pt>
                <c:pt idx="15">
                  <c:v>1.2999999999999999E-2</c:v>
                </c:pt>
                <c:pt idx="16">
                  <c:v>1.44E-2</c:v>
                </c:pt>
                <c:pt idx="17">
                  <c:v>1.4E-2</c:v>
                </c:pt>
                <c:pt idx="18">
                  <c:v>1.4500000000000001E-2</c:v>
                </c:pt>
                <c:pt idx="19">
                  <c:v>1.55E-2</c:v>
                </c:pt>
                <c:pt idx="20">
                  <c:v>1.6500000000000001E-2</c:v>
                </c:pt>
                <c:pt idx="21">
                  <c:v>1.7100000000000001E-2</c:v>
                </c:pt>
                <c:pt idx="22">
                  <c:v>1.7100000000000001E-2</c:v>
                </c:pt>
                <c:pt idx="23">
                  <c:v>1.7100000000000001E-2</c:v>
                </c:pt>
                <c:pt idx="24">
                  <c:v>1.7000000000000001E-2</c:v>
                </c:pt>
                <c:pt idx="25">
                  <c:v>1.6899999999999998E-2</c:v>
                </c:pt>
                <c:pt idx="26">
                  <c:v>1.6799999999999999E-2</c:v>
                </c:pt>
                <c:pt idx="27">
                  <c:v>1.6799999999999999E-2</c:v>
                </c:pt>
                <c:pt idx="28">
                  <c:v>1.67E-2</c:v>
                </c:pt>
                <c:pt idx="29">
                  <c:v>1.66E-2</c:v>
                </c:pt>
                <c:pt idx="30">
                  <c:v>1.6500000000000001E-2</c:v>
                </c:pt>
                <c:pt idx="31">
                  <c:v>1.6400000000000001E-2</c:v>
                </c:pt>
                <c:pt idx="32">
                  <c:v>1.6299999999999999E-2</c:v>
                </c:pt>
                <c:pt idx="33">
                  <c:v>1.6199999999999999E-2</c:v>
                </c:pt>
                <c:pt idx="34">
                  <c:v>1.6E-2</c:v>
                </c:pt>
                <c:pt idx="35">
                  <c:v>1.5900000000000001E-2</c:v>
                </c:pt>
                <c:pt idx="36">
                  <c:v>1.55E-2</c:v>
                </c:pt>
                <c:pt idx="37">
                  <c:v>1.55E-2</c:v>
                </c:pt>
                <c:pt idx="38">
                  <c:v>1.6E-2</c:v>
                </c:pt>
                <c:pt idx="39">
                  <c:v>1.7000000000000001E-2</c:v>
                </c:pt>
                <c:pt idx="40">
                  <c:v>1.7399999999999999E-2</c:v>
                </c:pt>
                <c:pt idx="41">
                  <c:v>1.7000000000000001E-2</c:v>
                </c:pt>
                <c:pt idx="42">
                  <c:v>1.6500000000000001E-2</c:v>
                </c:pt>
                <c:pt idx="43">
                  <c:v>1.7000000000000001E-2</c:v>
                </c:pt>
                <c:pt idx="44">
                  <c:v>1.7000000000000001E-2</c:v>
                </c:pt>
                <c:pt idx="45">
                  <c:v>1.7999999999999999E-2</c:v>
                </c:pt>
                <c:pt idx="46">
                  <c:v>0.02</c:v>
                </c:pt>
                <c:pt idx="47">
                  <c:v>2.1999999999999999E-2</c:v>
                </c:pt>
                <c:pt idx="48">
                  <c:v>2.4E-2</c:v>
                </c:pt>
                <c:pt idx="49">
                  <c:v>2.5000000000000001E-2</c:v>
                </c:pt>
                <c:pt idx="50">
                  <c:v>2.6499999999999999E-2</c:v>
                </c:pt>
                <c:pt idx="51">
                  <c:v>2.9499999999999998E-2</c:v>
                </c:pt>
                <c:pt idx="52">
                  <c:v>2.9499999999999998E-2</c:v>
                </c:pt>
                <c:pt idx="53">
                  <c:v>2.9399999999999999E-2</c:v>
                </c:pt>
                <c:pt idx="54">
                  <c:v>3.2899999999999999E-2</c:v>
                </c:pt>
                <c:pt idx="55">
                  <c:v>3.56E-2</c:v>
                </c:pt>
                <c:pt idx="56">
                  <c:v>3.5200000000000002E-2</c:v>
                </c:pt>
                <c:pt idx="57">
                  <c:v>3.5099999999999999E-2</c:v>
                </c:pt>
                <c:pt idx="58">
                  <c:v>3.6900000000000002E-2</c:v>
                </c:pt>
                <c:pt idx="59">
                  <c:v>3.6400000000000002E-2</c:v>
                </c:pt>
                <c:pt idx="60">
                  <c:v>3.6600000000000001E-2</c:v>
                </c:pt>
                <c:pt idx="61">
                  <c:v>4.0099999999999997E-2</c:v>
                </c:pt>
                <c:pt idx="62">
                  <c:v>3.6200000000000003E-2</c:v>
                </c:pt>
                <c:pt idx="63">
                  <c:v>3.7900000000000003E-2</c:v>
                </c:pt>
                <c:pt idx="64">
                  <c:v>3.5700000000000003E-2</c:v>
                </c:pt>
                <c:pt idx="65">
                  <c:v>3.7600000000000001E-2</c:v>
                </c:pt>
                <c:pt idx="66">
                  <c:v>3.7600000000000001E-2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F9-4525-9F6A-966B5AB10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999349"/>
        <c:axId val="935839452"/>
      </c:lineChart>
      <c:catAx>
        <c:axId val="845999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5839452"/>
        <c:crosses val="autoZero"/>
        <c:auto val="1"/>
        <c:lblAlgn val="ctr"/>
        <c:lblOffset val="100"/>
        <c:noMultiLvlLbl val="1"/>
      </c:catAx>
      <c:valAx>
        <c:axId val="935839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59993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'Elja and Munusia'!$C$1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'Elja and Munusia'!$C$2:$C$67</c:f>
              <c:numCache>
                <c:formatCode>#,##0</c:formatCode>
                <c:ptCount val="66"/>
                <c:pt idx="0">
                  <c:v>495256.78734733211</c:v>
                </c:pt>
                <c:pt idx="1">
                  <c:v>492890.91097465379</c:v>
                </c:pt>
                <c:pt idx="2">
                  <c:v>490194.83935818373</c:v>
                </c:pt>
                <c:pt idx="3">
                  <c:v>486545.7462612245</c:v>
                </c:pt>
                <c:pt idx="4">
                  <c:v>482205.89322222455</c:v>
                </c:pt>
                <c:pt idx="5">
                  <c:v>477431.57744774705</c:v>
                </c:pt>
                <c:pt idx="6">
                  <c:v>472330.4090302207</c:v>
                </c:pt>
                <c:pt idx="7">
                  <c:v>467191.30467875447</c:v>
                </c:pt>
                <c:pt idx="8">
                  <c:v>462108.11540925276</c:v>
                </c:pt>
                <c:pt idx="9">
                  <c:v>457306.39822786022</c:v>
                </c:pt>
                <c:pt idx="10">
                  <c:v>452778.61210679228</c:v>
                </c:pt>
                <c:pt idx="11">
                  <c:v>448517.69401366246</c:v>
                </c:pt>
                <c:pt idx="12">
                  <c:v>444517.04064783204</c:v>
                </c:pt>
                <c:pt idx="13">
                  <c:v>440115.88182953669</c:v>
                </c:pt>
                <c:pt idx="14">
                  <c:v>435112.09276276489</c:v>
                </c:pt>
                <c:pt idx="15">
                  <c:v>429528.22582701378</c:v>
                </c:pt>
                <c:pt idx="16">
                  <c:v>423430.82199035271</c:v>
                </c:pt>
                <c:pt idx="17">
                  <c:v>417584.63707135373</c:v>
                </c:pt>
                <c:pt idx="18">
                  <c:v>411616.2021403191</c:v>
                </c:pt>
                <c:pt idx="19">
                  <c:v>405333.5323883004</c:v>
                </c:pt>
                <c:pt idx="20">
                  <c:v>398754.08990487008</c:v>
                </c:pt>
                <c:pt idx="21">
                  <c:v>392050.0343180318</c:v>
                </c:pt>
                <c:pt idx="22">
                  <c:v>385458.6907069431</c:v>
                </c:pt>
                <c:pt idx="23">
                  <c:v>378978.16410081915</c:v>
                </c:pt>
                <c:pt idx="24">
                  <c:v>372643.22920434532</c:v>
                </c:pt>
                <c:pt idx="25">
                  <c:v>366450.22047826269</c:v>
                </c:pt>
                <c:pt idx="26">
                  <c:v>360395.57482126547</c:v>
                </c:pt>
                <c:pt idx="27">
                  <c:v>354440.96658267651</c:v>
                </c:pt>
                <c:pt idx="28">
                  <c:v>348619.02880168834</c:v>
                </c:pt>
                <c:pt idx="29">
                  <c:v>342926.4497360696</c:v>
                </c:pt>
                <c:pt idx="30">
                  <c:v>337360.00957803207</c:v>
                </c:pt>
                <c:pt idx="31">
                  <c:v>331916.57770369155</c:v>
                </c:pt>
                <c:pt idx="32">
                  <c:v>326593.11001052009</c:v>
                </c:pt>
                <c:pt idx="33">
                  <c:v>321386.64633981511</c:v>
                </c:pt>
                <c:pt idx="34">
                  <c:v>316325.43931084161</c:v>
                </c:pt>
                <c:pt idx="35">
                  <c:v>311374.58343423723</c:v>
                </c:pt>
                <c:pt idx="36">
                  <c:v>306621.94331288745</c:v>
                </c:pt>
                <c:pt idx="37">
                  <c:v>301941.8447197316</c:v>
                </c:pt>
                <c:pt idx="38">
                  <c:v>297186.85503910593</c:v>
                </c:pt>
                <c:pt idx="39">
                  <c:v>292219.12983196258</c:v>
                </c:pt>
                <c:pt idx="40">
                  <c:v>287221.47614700469</c:v>
                </c:pt>
                <c:pt idx="41">
                  <c:v>282420.33052802825</c:v>
                </c:pt>
                <c:pt idx="42">
                  <c:v>277836.03593509912</c:v>
                </c:pt>
                <c:pt idx="43">
                  <c:v>273191.77574739343</c:v>
                </c:pt>
                <c:pt idx="44">
                  <c:v>268625.14822752553</c:v>
                </c:pt>
                <c:pt idx="45">
                  <c:v>263875.39118617435</c:v>
                </c:pt>
                <c:pt idx="46">
                  <c:v>258701.36390801406</c:v>
                </c:pt>
                <c:pt idx="47">
                  <c:v>253132.45000784154</c:v>
                </c:pt>
                <c:pt idx="48">
                  <c:v>247199.65821078274</c:v>
                </c:pt>
                <c:pt idx="49">
                  <c:v>241170.39825442221</c:v>
                </c:pt>
                <c:pt idx="50">
                  <c:v>234944.37238618822</c:v>
                </c:pt>
                <c:pt idx="51">
                  <c:v>228212.11499386907</c:v>
                </c:pt>
                <c:pt idx="52">
                  <c:v>221672.76832818752</c:v>
                </c:pt>
                <c:pt idx="53">
                  <c:v>215341.72170991596</c:v>
                </c:pt>
                <c:pt idx="54">
                  <c:v>208482.64276301285</c:v>
                </c:pt>
                <c:pt idx="55">
                  <c:v>201315.80027328391</c:v>
                </c:pt>
                <c:pt idx="56">
                  <c:v>194470.44075858186</c:v>
                </c:pt>
                <c:pt idx="57">
                  <c:v>187875.99339057278</c:v>
                </c:pt>
                <c:pt idx="58">
                  <c:v>181190.07945855221</c:v>
                </c:pt>
                <c:pt idx="59">
                  <c:v>174826.39855128541</c:v>
                </c:pt>
                <c:pt idx="60">
                  <c:v>168653.67407995893</c:v>
                </c:pt>
                <c:pt idx="61">
                  <c:v>162151.4028266118</c:v>
                </c:pt>
                <c:pt idx="62">
                  <c:v>156486.58832909842</c:v>
                </c:pt>
                <c:pt idx="63">
                  <c:v>150772.317496</c:v>
                </c:pt>
                <c:pt idx="64">
                  <c:v>145575.28</c:v>
                </c:pt>
                <c:pt idx="65">
                  <c:v>140300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A-4962-9F26-774DB1E43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3072526"/>
        <c:axId val="899972811"/>
      </c:lineChart>
      <c:catAx>
        <c:axId val="1593072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9972811"/>
        <c:crosses val="autoZero"/>
        <c:auto val="1"/>
        <c:lblAlgn val="ctr"/>
        <c:lblOffset val="100"/>
        <c:noMultiLvlLbl val="1"/>
      </c:catAx>
      <c:valAx>
        <c:axId val="899972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30725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Emara!$D$1:$D$67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1.12E-2</c:v>
                </c:pt>
                <c:pt idx="2">
                  <c:v>7.7999999999999996E-3</c:v>
                </c:pt>
                <c:pt idx="3">
                  <c:v>5.8999999999999999E-3</c:v>
                </c:pt>
                <c:pt idx="4">
                  <c:v>4.5999999999999999E-3</c:v>
                </c:pt>
                <c:pt idx="5">
                  <c:v>3.3999999999999998E-3</c:v>
                </c:pt>
                <c:pt idx="6">
                  <c:v>2.3999999999999998E-3</c:v>
                </c:pt>
                <c:pt idx="7">
                  <c:v>2.5999999999999999E-3</c:v>
                </c:pt>
                <c:pt idx="8">
                  <c:v>3.0999999999999999E-3</c:v>
                </c:pt>
                <c:pt idx="9">
                  <c:v>3.2000000000000002E-3</c:v>
                </c:pt>
                <c:pt idx="10">
                  <c:v>4.8999999999999998E-3</c:v>
                </c:pt>
                <c:pt idx="11">
                  <c:v>6.7999999999999996E-3</c:v>
                </c:pt>
                <c:pt idx="12">
                  <c:v>6.1999999999999998E-3</c:v>
                </c:pt>
                <c:pt idx="13">
                  <c:v>4.8999999999999998E-3</c:v>
                </c:pt>
                <c:pt idx="14">
                  <c:v>4.8999999999999998E-3</c:v>
                </c:pt>
                <c:pt idx="15">
                  <c:v>3.8E-3</c:v>
                </c:pt>
                <c:pt idx="16">
                  <c:v>2.3999999999999998E-3</c:v>
                </c:pt>
                <c:pt idx="17">
                  <c:v>1.9E-3</c:v>
                </c:pt>
                <c:pt idx="18">
                  <c:v>1.1000000000000001E-3</c:v>
                </c:pt>
                <c:pt idx="19">
                  <c:v>1.1000000000000001E-3</c:v>
                </c:pt>
                <c:pt idx="20">
                  <c:v>1.4E-3</c:v>
                </c:pt>
                <c:pt idx="21">
                  <c:v>1.5E-3</c:v>
                </c:pt>
                <c:pt idx="22">
                  <c:v>3.8E-3</c:v>
                </c:pt>
                <c:pt idx="23">
                  <c:v>8.2000000000000007E-3</c:v>
                </c:pt>
                <c:pt idx="24">
                  <c:v>1.0999999999999999E-2</c:v>
                </c:pt>
                <c:pt idx="25">
                  <c:v>0.01</c:v>
                </c:pt>
                <c:pt idx="26">
                  <c:v>7.6E-3</c:v>
                </c:pt>
                <c:pt idx="27">
                  <c:v>4.4999999999999997E-3</c:v>
                </c:pt>
                <c:pt idx="28">
                  <c:v>1.4E-3</c:v>
                </c:pt>
                <c:pt idx="29">
                  <c:v>5.9999999999999995E-4</c:v>
                </c:pt>
                <c:pt idx="30">
                  <c:v>5.9999999999999995E-4</c:v>
                </c:pt>
                <c:pt idx="31">
                  <c:v>5.0000000000000001E-4</c:v>
                </c:pt>
                <c:pt idx="32">
                  <c:v>-1E-4</c:v>
                </c:pt>
                <c:pt idx="33">
                  <c:v>-1.6000000000000001E-3</c:v>
                </c:pt>
                <c:pt idx="34">
                  <c:v>6.9999999999999999E-4</c:v>
                </c:pt>
                <c:pt idx="35">
                  <c:v>2.5999999999999999E-3</c:v>
                </c:pt>
                <c:pt idx="36">
                  <c:v>0</c:v>
                </c:pt>
                <c:pt idx="37">
                  <c:v>-1.6999999999999999E-3</c:v>
                </c:pt>
                <c:pt idx="38">
                  <c:v>-8.0000000000000004E-4</c:v>
                </c:pt>
                <c:pt idx="39">
                  <c:v>4.0000000000000002E-4</c:v>
                </c:pt>
                <c:pt idx="40">
                  <c:v>-1.8E-3</c:v>
                </c:pt>
                <c:pt idx="41">
                  <c:v>-2.7000000000000001E-3</c:v>
                </c:pt>
                <c:pt idx="42">
                  <c:v>1.6999999999999999E-3</c:v>
                </c:pt>
                <c:pt idx="43">
                  <c:v>5.4999999999999997E-3</c:v>
                </c:pt>
                <c:pt idx="44">
                  <c:v>5.7999999999999996E-3</c:v>
                </c:pt>
                <c:pt idx="45">
                  <c:v>4.4999999999999997E-3</c:v>
                </c:pt>
                <c:pt idx="46">
                  <c:v>3.5000000000000001E-3</c:v>
                </c:pt>
                <c:pt idx="47">
                  <c:v>3.5000000000000001E-3</c:v>
                </c:pt>
                <c:pt idx="48">
                  <c:v>5.1999999999999998E-3</c:v>
                </c:pt>
                <c:pt idx="49">
                  <c:v>7.4999999999999997E-3</c:v>
                </c:pt>
                <c:pt idx="50">
                  <c:v>7.0000000000000001E-3</c:v>
                </c:pt>
                <c:pt idx="51">
                  <c:v>6.4999999999999997E-3</c:v>
                </c:pt>
                <c:pt idx="52">
                  <c:v>6.7000000000000002E-3</c:v>
                </c:pt>
                <c:pt idx="53">
                  <c:v>6.4000000000000003E-3</c:v>
                </c:pt>
                <c:pt idx="54">
                  <c:v>6.1000000000000004E-3</c:v>
                </c:pt>
                <c:pt idx="55">
                  <c:v>5.4999999999999997E-3</c:v>
                </c:pt>
                <c:pt idx="56">
                  <c:v>5.0000000000000001E-3</c:v>
                </c:pt>
                <c:pt idx="57">
                  <c:v>4.0000000000000001E-3</c:v>
                </c:pt>
                <c:pt idx="58">
                  <c:v>4.0000000000000001E-3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4.0000000000000001E-3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ED-4D7E-BDFB-9E59CC51B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872477"/>
        <c:axId val="2138424511"/>
      </c:lineChart>
      <c:catAx>
        <c:axId val="1390872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8424511"/>
        <c:crosses val="autoZero"/>
        <c:auto val="1"/>
        <c:lblAlgn val="ctr"/>
        <c:lblOffset val="100"/>
        <c:noMultiLvlLbl val="1"/>
      </c:catAx>
      <c:valAx>
        <c:axId val="2138424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08724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Emara!$C$1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Emara!$C$2:$C$67</c:f>
              <c:numCache>
                <c:formatCode>#,##0</c:formatCode>
                <c:ptCount val="66"/>
                <c:pt idx="0">
                  <c:v>90792000.595898971</c:v>
                </c:pt>
                <c:pt idx="1">
                  <c:v>89786392.994362101</c:v>
                </c:pt>
                <c:pt idx="2">
                  <c:v>89091479.4546161</c:v>
                </c:pt>
                <c:pt idx="3">
                  <c:v>88568922.810036883</c:v>
                </c:pt>
                <c:pt idx="4">
                  <c:v>88163371.302047476</c:v>
                </c:pt>
                <c:pt idx="5">
                  <c:v>87864631.554761276</c:v>
                </c:pt>
                <c:pt idx="6">
                  <c:v>87654261.327575102</c:v>
                </c:pt>
                <c:pt idx="7">
                  <c:v>87426951.254313886</c:v>
                </c:pt>
                <c:pt idx="8">
                  <c:v>87156765.281939864</c:v>
                </c:pt>
                <c:pt idx="9">
                  <c:v>86878753.271471143</c:v>
                </c:pt>
                <c:pt idx="10">
                  <c:v>86455123.167948201</c:v>
                </c:pt>
                <c:pt idx="11">
                  <c:v>85871199.014648601</c:v>
                </c:pt>
                <c:pt idx="12">
                  <c:v>85342078.130241111</c:v>
                </c:pt>
                <c:pt idx="13">
                  <c:v>84925941.019246817</c:v>
                </c:pt>
                <c:pt idx="14">
                  <c:v>84511833.037363738</c:v>
                </c:pt>
                <c:pt idx="15">
                  <c:v>84191903.802912667</c:v>
                </c:pt>
                <c:pt idx="16">
                  <c:v>83990327.018069312</c:v>
                </c:pt>
                <c:pt idx="17">
                  <c:v>83831048.02681835</c:v>
                </c:pt>
                <c:pt idx="18">
                  <c:v>83738935.198100433</c:v>
                </c:pt>
                <c:pt idx="19">
                  <c:v>83646923.582160056</c:v>
                </c:pt>
                <c:pt idx="20">
                  <c:v>83529981.607908979</c:v>
                </c:pt>
                <c:pt idx="21">
                  <c:v>83404874.296464279</c:v>
                </c:pt>
                <c:pt idx="22">
                  <c:v>83089135.58125551</c:v>
                </c:pt>
                <c:pt idx="23">
                  <c:v>82413346.142883867</c:v>
                </c:pt>
                <c:pt idx="24">
                  <c:v>81516662.851517186</c:v>
                </c:pt>
                <c:pt idx="25">
                  <c:v>80709567.179719985</c:v>
                </c:pt>
                <c:pt idx="26">
                  <c:v>80100801.091425151</c:v>
                </c:pt>
                <c:pt idx="27">
                  <c:v>79741962.261249527</c:v>
                </c:pt>
                <c:pt idx="28">
                  <c:v>79630479.589823768</c:v>
                </c:pt>
                <c:pt idx="29">
                  <c:v>79582729.951852664</c:v>
                </c:pt>
                <c:pt idx="30">
                  <c:v>79535008.946484774</c:v>
                </c:pt>
                <c:pt idx="31">
                  <c:v>79495261.315826863</c:v>
                </c:pt>
                <c:pt idx="32">
                  <c:v>79503211.636990562</c:v>
                </c:pt>
                <c:pt idx="33">
                  <c:v>79630620.629998565</c:v>
                </c:pt>
                <c:pt idx="34">
                  <c:v>79574918.187267482</c:v>
                </c:pt>
                <c:pt idx="35">
                  <c:v>79368559.931445733</c:v>
                </c:pt>
                <c:pt idx="36">
                  <c:v>79368559.931445733</c:v>
                </c:pt>
                <c:pt idx="37">
                  <c:v>79503716.249069154</c:v>
                </c:pt>
                <c:pt idx="38">
                  <c:v>79567370.145185307</c:v>
                </c:pt>
                <c:pt idx="39">
                  <c:v>79535555.922816187</c:v>
                </c:pt>
                <c:pt idx="40">
                  <c:v>79678978.083366245</c:v>
                </c:pt>
                <c:pt idx="41">
                  <c:v>79894693.756508827</c:v>
                </c:pt>
                <c:pt idx="42">
                  <c:v>79759103.280931234</c:v>
                </c:pt>
                <c:pt idx="43">
                  <c:v>79322827.728424892</c:v>
                </c:pt>
                <c:pt idx="44">
                  <c:v>78865408.359937251</c:v>
                </c:pt>
                <c:pt idx="45">
                  <c:v>78512103.892421365</c:v>
                </c:pt>
                <c:pt idx="46">
                  <c:v>78238269.947604746</c:v>
                </c:pt>
                <c:pt idx="47">
                  <c:v>77965391.078828841</c:v>
                </c:pt>
                <c:pt idx="48">
                  <c:v>77562068.323546395</c:v>
                </c:pt>
                <c:pt idx="49">
                  <c:v>76984683.199549764</c:v>
                </c:pt>
                <c:pt idx="50">
                  <c:v>76449536.444438696</c:v>
                </c:pt>
                <c:pt idx="51">
                  <c:v>75955823.591096565</c:v>
                </c:pt>
                <c:pt idx="52">
                  <c:v>75450306.537296683</c:v>
                </c:pt>
                <c:pt idx="53">
                  <c:v>74970495.366948217</c:v>
                </c:pt>
                <c:pt idx="54">
                  <c:v>74515948.083638027</c:v>
                </c:pt>
                <c:pt idx="55">
                  <c:v>74108352.146830454</c:v>
                </c:pt>
                <c:pt idx="56">
                  <c:v>73739653.877443239</c:v>
                </c:pt>
                <c:pt idx="57">
                  <c:v>73445870.395859793</c:v>
                </c:pt>
                <c:pt idx="58">
                  <c:v>73153257.366394222</c:v>
                </c:pt>
                <c:pt idx="59">
                  <c:v>72934454.00438109</c:v>
                </c:pt>
                <c:pt idx="60">
                  <c:v>72716305.089113757</c:v>
                </c:pt>
                <c:pt idx="61">
                  <c:v>72571162.763586581</c:v>
                </c:pt>
                <c:pt idx="62">
                  <c:v>72426310.143299982</c:v>
                </c:pt>
                <c:pt idx="63">
                  <c:v>72281746.649999976</c:v>
                </c:pt>
                <c:pt idx="64">
                  <c:v>72065549.999999985</c:v>
                </c:pt>
                <c:pt idx="65">
                  <c:v>71850000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F-4049-A6DE-76D066F0A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332279"/>
        <c:axId val="50496011"/>
      </c:lineChart>
      <c:catAx>
        <c:axId val="775332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496011"/>
        <c:crosses val="autoZero"/>
        <c:auto val="1"/>
        <c:lblAlgn val="ctr"/>
        <c:lblOffset val="100"/>
        <c:noMultiLvlLbl val="1"/>
      </c:catAx>
      <c:valAx>
        <c:axId val="50496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53322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Enina!$D$1:$D$67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-8.0000000000000002E-3</c:v>
                </c:pt>
                <c:pt idx="2">
                  <c:v>-5.3E-3</c:v>
                </c:pt>
                <c:pt idx="3">
                  <c:v>-3.2000000000000002E-3</c:v>
                </c:pt>
                <c:pt idx="4">
                  <c:v>-6.9999999999999999E-4</c:v>
                </c:pt>
                <c:pt idx="5">
                  <c:v>1.1999999999999999E-3</c:v>
                </c:pt>
                <c:pt idx="6">
                  <c:v>0</c:v>
                </c:pt>
                <c:pt idx="7">
                  <c:v>-8.9999999999999998E-4</c:v>
                </c:pt>
                <c:pt idx="8">
                  <c:v>8.9999999999999998E-4</c:v>
                </c:pt>
                <c:pt idx="9">
                  <c:v>2.3999999999999998E-3</c:v>
                </c:pt>
                <c:pt idx="10">
                  <c:v>2.8999999999999998E-3</c:v>
                </c:pt>
                <c:pt idx="11">
                  <c:v>-7.1000000000000004E-3</c:v>
                </c:pt>
                <c:pt idx="12">
                  <c:v>-6.4999999999999997E-3</c:v>
                </c:pt>
                <c:pt idx="13">
                  <c:v>-6.0000000000000001E-3</c:v>
                </c:pt>
                <c:pt idx="14">
                  <c:v>-5.3E-3</c:v>
                </c:pt>
                <c:pt idx="15">
                  <c:v>-4.5999999999999999E-3</c:v>
                </c:pt>
                <c:pt idx="16">
                  <c:v>-3.7000000000000002E-3</c:v>
                </c:pt>
                <c:pt idx="17">
                  <c:v>-2.8999999999999998E-3</c:v>
                </c:pt>
                <c:pt idx="18">
                  <c:v>5.1000000000000004E-3</c:v>
                </c:pt>
                <c:pt idx="19">
                  <c:v>8.6999999999999994E-3</c:v>
                </c:pt>
                <c:pt idx="20">
                  <c:v>8.8999999999999999E-3</c:v>
                </c:pt>
                <c:pt idx="21">
                  <c:v>9.1999999999999998E-3</c:v>
                </c:pt>
                <c:pt idx="22">
                  <c:v>9.7000000000000003E-3</c:v>
                </c:pt>
                <c:pt idx="23">
                  <c:v>1.01E-2</c:v>
                </c:pt>
                <c:pt idx="24">
                  <c:v>1.0699999999999999E-2</c:v>
                </c:pt>
                <c:pt idx="25">
                  <c:v>1.14E-2</c:v>
                </c:pt>
                <c:pt idx="26">
                  <c:v>1.4E-2</c:v>
                </c:pt>
                <c:pt idx="27">
                  <c:v>1.72E-2</c:v>
                </c:pt>
                <c:pt idx="28">
                  <c:v>1.8700000000000001E-2</c:v>
                </c:pt>
                <c:pt idx="29">
                  <c:v>1.9099999999999999E-2</c:v>
                </c:pt>
                <c:pt idx="30">
                  <c:v>1.95E-2</c:v>
                </c:pt>
                <c:pt idx="31">
                  <c:v>1.9699999999999999E-2</c:v>
                </c:pt>
                <c:pt idx="32">
                  <c:v>1.9599999999999999E-2</c:v>
                </c:pt>
                <c:pt idx="33">
                  <c:v>1.8800000000000001E-2</c:v>
                </c:pt>
                <c:pt idx="34">
                  <c:v>1.41E-2</c:v>
                </c:pt>
                <c:pt idx="35">
                  <c:v>5.7000000000000002E-3</c:v>
                </c:pt>
                <c:pt idx="36">
                  <c:v>2.0999999999999999E-3</c:v>
                </c:pt>
                <c:pt idx="37">
                  <c:v>2.8999999999999998E-3</c:v>
                </c:pt>
                <c:pt idx="38">
                  <c:v>3.7000000000000002E-3</c:v>
                </c:pt>
                <c:pt idx="39">
                  <c:v>6.0000000000000001E-3</c:v>
                </c:pt>
                <c:pt idx="40">
                  <c:v>8.6999999999999994E-3</c:v>
                </c:pt>
                <c:pt idx="41">
                  <c:v>8.8999999999999999E-3</c:v>
                </c:pt>
                <c:pt idx="42">
                  <c:v>2.8999999999999998E-3</c:v>
                </c:pt>
                <c:pt idx="43">
                  <c:v>6.9999999999999999E-4</c:v>
                </c:pt>
                <c:pt idx="44">
                  <c:v>1.2999999999999999E-3</c:v>
                </c:pt>
                <c:pt idx="45">
                  <c:v>2.3999999999999998E-3</c:v>
                </c:pt>
                <c:pt idx="46">
                  <c:v>3.5999999999999999E-3</c:v>
                </c:pt>
                <c:pt idx="47">
                  <c:v>5.0000000000000001E-3</c:v>
                </c:pt>
                <c:pt idx="48">
                  <c:v>6.7000000000000002E-3</c:v>
                </c:pt>
                <c:pt idx="49">
                  <c:v>1.09E-2</c:v>
                </c:pt>
                <c:pt idx="50">
                  <c:v>1.2699999999999999E-2</c:v>
                </c:pt>
                <c:pt idx="51">
                  <c:v>1.2999999999999999E-2</c:v>
                </c:pt>
                <c:pt idx="52">
                  <c:v>1.3100000000000001E-2</c:v>
                </c:pt>
                <c:pt idx="53">
                  <c:v>1.43E-2</c:v>
                </c:pt>
                <c:pt idx="54">
                  <c:v>1.6500000000000001E-2</c:v>
                </c:pt>
                <c:pt idx="55">
                  <c:v>2.24E-2</c:v>
                </c:pt>
                <c:pt idx="56">
                  <c:v>2.69E-2</c:v>
                </c:pt>
                <c:pt idx="57">
                  <c:v>2.6800000000000001E-2</c:v>
                </c:pt>
                <c:pt idx="58">
                  <c:v>2.6599999999999999E-2</c:v>
                </c:pt>
                <c:pt idx="59">
                  <c:v>2.63E-2</c:v>
                </c:pt>
                <c:pt idx="60">
                  <c:v>2.6200000000000001E-2</c:v>
                </c:pt>
                <c:pt idx="61">
                  <c:v>2.6100000000000002E-2</c:v>
                </c:pt>
                <c:pt idx="62">
                  <c:v>2.6800000000000001E-2</c:v>
                </c:pt>
                <c:pt idx="63">
                  <c:v>2.7799999999999998E-2</c:v>
                </c:pt>
                <c:pt idx="64">
                  <c:v>2.76E-2</c:v>
                </c:pt>
                <c:pt idx="65">
                  <c:v>2.69E-2</c:v>
                </c:pt>
                <c:pt idx="66">
                  <c:v>1.0200000000000001E-2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03-448F-B5A1-356E62E5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765887"/>
        <c:axId val="641143247"/>
      </c:lineChart>
      <c:catAx>
        <c:axId val="1286765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1143247"/>
        <c:crosses val="autoZero"/>
        <c:auto val="1"/>
        <c:lblAlgn val="ctr"/>
        <c:lblOffset val="100"/>
        <c:noMultiLvlLbl val="1"/>
      </c:catAx>
      <c:valAx>
        <c:axId val="641143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67658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Enina!$C$1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Enina!$C$2:$C$67</c:f>
              <c:numCache>
                <c:formatCode>#,##0</c:formatCode>
                <c:ptCount val="66"/>
                <c:pt idx="0">
                  <c:v>51674.313193890892</c:v>
                </c:pt>
                <c:pt idx="1">
                  <c:v>52091.041526099689</c:v>
                </c:pt>
                <c:pt idx="2">
                  <c:v>52368.595080023813</c:v>
                </c:pt>
                <c:pt idx="3">
                  <c:v>52536.712560216503</c:v>
                </c:pt>
                <c:pt idx="4">
                  <c:v>52573.514020030525</c:v>
                </c:pt>
                <c:pt idx="5">
                  <c:v>52510.501418328524</c:v>
                </c:pt>
                <c:pt idx="6">
                  <c:v>52510.501418328524</c:v>
                </c:pt>
                <c:pt idx="7">
                  <c:v>52557.803441425807</c:v>
                </c:pt>
                <c:pt idx="8">
                  <c:v>52510.543951869127</c:v>
                </c:pt>
                <c:pt idx="9">
                  <c:v>52384.820382950049</c:v>
                </c:pt>
                <c:pt idx="10">
                  <c:v>52233.343686259897</c:v>
                </c:pt>
                <c:pt idx="11">
                  <c:v>52606.852337858691</c:v>
                </c:pt>
                <c:pt idx="12">
                  <c:v>52951.034059243771</c:v>
                </c:pt>
                <c:pt idx="13">
                  <c:v>53270.6580072875</c:v>
                </c:pt>
                <c:pt idx="14">
                  <c:v>53554.496840542372</c:v>
                </c:pt>
                <c:pt idx="15">
                  <c:v>53801.98597603212</c:v>
                </c:pt>
                <c:pt idx="16">
                  <c:v>54001.792608684256</c:v>
                </c:pt>
                <c:pt idx="17">
                  <c:v>54158.85328320555</c:v>
                </c:pt>
                <c:pt idx="18">
                  <c:v>53884.044655462683</c:v>
                </c:pt>
                <c:pt idx="19">
                  <c:v>53419.296773532951</c:v>
                </c:pt>
                <c:pt idx="20">
                  <c:v>52948.059048005707</c:v>
                </c:pt>
                <c:pt idx="21">
                  <c:v>52465.377574321938</c:v>
                </c:pt>
                <c:pt idx="22">
                  <c:v>51961.352455503547</c:v>
                </c:pt>
                <c:pt idx="23">
                  <c:v>51441.790372738884</c:v>
                </c:pt>
                <c:pt idx="24">
                  <c:v>50897.190435083496</c:v>
                </c:pt>
                <c:pt idx="25">
                  <c:v>50323.502506509285</c:v>
                </c:pt>
                <c:pt idx="26">
                  <c:v>49628.70069675472</c:v>
                </c:pt>
                <c:pt idx="27">
                  <c:v>48789.520936644432</c:v>
                </c:pt>
                <c:pt idx="28">
                  <c:v>47893.904914738821</c:v>
                </c:pt>
                <c:pt idx="29">
                  <c:v>46996.276042330319</c:v>
                </c:pt>
                <c:pt idx="30">
                  <c:v>46097.377187180296</c:v>
                </c:pt>
                <c:pt idx="31">
                  <c:v>45206.80316483308</c:v>
                </c:pt>
                <c:pt idx="32">
                  <c:v>44337.782625375716</c:v>
                </c:pt>
                <c:pt idx="33">
                  <c:v>43519.613884349943</c:v>
                </c:pt>
                <c:pt idx="34">
                  <c:v>42914.519164135629</c:v>
                </c:pt>
                <c:pt idx="35">
                  <c:v>42671.292795202971</c:v>
                </c:pt>
                <c:pt idx="36">
                  <c:v>42581.870866383564</c:v>
                </c:pt>
                <c:pt idx="37">
                  <c:v>42458.740518878818</c:v>
                </c:pt>
                <c:pt idx="38">
                  <c:v>42302.222296382199</c:v>
                </c:pt>
                <c:pt idx="39">
                  <c:v>42049.922759823261</c:v>
                </c:pt>
                <c:pt idx="40">
                  <c:v>41687.243739291429</c:v>
                </c:pt>
                <c:pt idx="41">
                  <c:v>41319.500187621597</c:v>
                </c:pt>
                <c:pt idx="42">
                  <c:v>41200.020129246783</c:v>
                </c:pt>
                <c:pt idx="43">
                  <c:v>41171.200289044456</c:v>
                </c:pt>
                <c:pt idx="44">
                  <c:v>41117.74721766149</c:v>
                </c:pt>
                <c:pt idx="45">
                  <c:v>41019.300895512264</c:v>
                </c:pt>
                <c:pt idx="46">
                  <c:v>40872.161115496478</c:v>
                </c:pt>
                <c:pt idx="47">
                  <c:v>40668.817030344755</c:v>
                </c:pt>
                <c:pt idx="48">
                  <c:v>40398.149429169323</c:v>
                </c:pt>
                <c:pt idx="49">
                  <c:v>39962.557551854115</c:v>
                </c:pt>
                <c:pt idx="50">
                  <c:v>39461.397799796701</c:v>
                </c:pt>
                <c:pt idx="51">
                  <c:v>38954.98302052982</c:v>
                </c:pt>
                <c:pt idx="52">
                  <c:v>38451.271365639936</c:v>
                </c:pt>
                <c:pt idx="53">
                  <c:v>37909.170231331889</c:v>
                </c:pt>
                <c:pt idx="54">
                  <c:v>37293.8221655995</c:v>
                </c:pt>
                <c:pt idx="55">
                  <c:v>36476.743119717823</c:v>
                </c:pt>
                <c:pt idx="56">
                  <c:v>35521.222241423529</c:v>
                </c:pt>
                <c:pt idx="57">
                  <c:v>34594.100351990193</c:v>
                </c:pt>
                <c:pt idx="58">
                  <c:v>33697.740455864208</c:v>
                </c:pt>
                <c:pt idx="59">
                  <c:v>32834.200970344158</c:v>
                </c:pt>
                <c:pt idx="60">
                  <c:v>31995.908176129564</c:v>
                </c:pt>
                <c:pt idx="61">
                  <c:v>31182.05650144193</c:v>
                </c:pt>
                <c:pt idx="62">
                  <c:v>30368.189035296</c:v>
                </c:pt>
                <c:pt idx="63">
                  <c:v>29546.78832</c:v>
                </c:pt>
                <c:pt idx="64">
                  <c:v>28753.199999999997</c:v>
                </c:pt>
                <c:pt idx="65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2-4B5C-83E7-36F3AC2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135949"/>
        <c:axId val="2075638393"/>
      </c:lineChart>
      <c:catAx>
        <c:axId val="824135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5638393"/>
        <c:crosses val="autoZero"/>
        <c:auto val="1"/>
        <c:lblAlgn val="ctr"/>
        <c:lblOffset val="100"/>
        <c:noMultiLvlLbl val="1"/>
      </c:catAx>
      <c:valAx>
        <c:axId val="2075638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41359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Eparia!$D$1:$D$67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1.46E-2</c:v>
                </c:pt>
                <c:pt idx="2">
                  <c:v>1.4800000000000001E-2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1.52E-2</c:v>
                </c:pt>
                <c:pt idx="6">
                  <c:v>1.5599999999999999E-2</c:v>
                </c:pt>
                <c:pt idx="7">
                  <c:v>1.5800000000000002E-2</c:v>
                </c:pt>
                <c:pt idx="8">
                  <c:v>1.52E-2</c:v>
                </c:pt>
                <c:pt idx="9">
                  <c:v>1.4800000000000001E-2</c:v>
                </c:pt>
                <c:pt idx="10">
                  <c:v>1.4800000000000001E-2</c:v>
                </c:pt>
                <c:pt idx="11">
                  <c:v>1.46E-2</c:v>
                </c:pt>
                <c:pt idx="12">
                  <c:v>1.47E-2</c:v>
                </c:pt>
                <c:pt idx="13">
                  <c:v>1.5100000000000001E-2</c:v>
                </c:pt>
                <c:pt idx="14">
                  <c:v>1.54E-2</c:v>
                </c:pt>
                <c:pt idx="15">
                  <c:v>1.5599999999999999E-2</c:v>
                </c:pt>
                <c:pt idx="16">
                  <c:v>1.5900000000000001E-2</c:v>
                </c:pt>
                <c:pt idx="17">
                  <c:v>1.7100000000000001E-2</c:v>
                </c:pt>
                <c:pt idx="18">
                  <c:v>4.1200000000000001E-2</c:v>
                </c:pt>
                <c:pt idx="19">
                  <c:v>6.88E-2</c:v>
                </c:pt>
                <c:pt idx="20">
                  <c:v>7.5200000000000003E-2</c:v>
                </c:pt>
                <c:pt idx="21">
                  <c:v>8.1000000000000003E-2</c:v>
                </c:pt>
                <c:pt idx="22">
                  <c:v>6.9800000000000001E-2</c:v>
                </c:pt>
                <c:pt idx="23">
                  <c:v>6.0199999999999997E-2</c:v>
                </c:pt>
                <c:pt idx="24">
                  <c:v>5.3999999999999999E-2</c:v>
                </c:pt>
                <c:pt idx="25">
                  <c:v>4.1399999999999999E-2</c:v>
                </c:pt>
                <c:pt idx="26">
                  <c:v>4.1700000000000001E-2</c:v>
                </c:pt>
                <c:pt idx="27">
                  <c:v>3.7699999999999997E-2</c:v>
                </c:pt>
                <c:pt idx="28">
                  <c:v>3.7999999999999999E-2</c:v>
                </c:pt>
                <c:pt idx="29">
                  <c:v>4.24E-2</c:v>
                </c:pt>
                <c:pt idx="30">
                  <c:v>3.9199999999999999E-2</c:v>
                </c:pt>
                <c:pt idx="31">
                  <c:v>3.3399999999999999E-2</c:v>
                </c:pt>
                <c:pt idx="32">
                  <c:v>3.6400000000000002E-2</c:v>
                </c:pt>
                <c:pt idx="33">
                  <c:v>6.4000000000000003E-3</c:v>
                </c:pt>
                <c:pt idx="34">
                  <c:v>9.7999999999999997E-3</c:v>
                </c:pt>
                <c:pt idx="35">
                  <c:v>8.0000000000000002E-3</c:v>
                </c:pt>
                <c:pt idx="36">
                  <c:v>-2.8E-3</c:v>
                </c:pt>
                <c:pt idx="37">
                  <c:v>5.1999999999999998E-3</c:v>
                </c:pt>
                <c:pt idx="38">
                  <c:v>2.1000000000000001E-2</c:v>
                </c:pt>
                <c:pt idx="39">
                  <c:v>2.1000000000000001E-2</c:v>
                </c:pt>
                <c:pt idx="40">
                  <c:v>2.1000000000000001E-2</c:v>
                </c:pt>
                <c:pt idx="41">
                  <c:v>2.1600000000000001E-2</c:v>
                </c:pt>
                <c:pt idx="42">
                  <c:v>-2.3900000000000001E-2</c:v>
                </c:pt>
                <c:pt idx="43">
                  <c:v>-8.4000000000000005E-2</c:v>
                </c:pt>
                <c:pt idx="44">
                  <c:v>-7.9100000000000004E-2</c:v>
                </c:pt>
                <c:pt idx="45">
                  <c:v>-7.0199999999999999E-2</c:v>
                </c:pt>
                <c:pt idx="46">
                  <c:v>-3.0200000000000001E-2</c:v>
                </c:pt>
                <c:pt idx="47">
                  <c:v>6.4000000000000003E-3</c:v>
                </c:pt>
                <c:pt idx="48">
                  <c:v>2.1000000000000001E-2</c:v>
                </c:pt>
                <c:pt idx="49">
                  <c:v>2.1000000000000001E-2</c:v>
                </c:pt>
                <c:pt idx="50">
                  <c:v>2.1000000000000001E-2</c:v>
                </c:pt>
                <c:pt idx="51">
                  <c:v>2.1000000000000001E-2</c:v>
                </c:pt>
                <c:pt idx="52">
                  <c:v>2.0899999999999998E-2</c:v>
                </c:pt>
                <c:pt idx="53">
                  <c:v>2.18E-2</c:v>
                </c:pt>
                <c:pt idx="54">
                  <c:v>2.24E-2</c:v>
                </c:pt>
                <c:pt idx="55">
                  <c:v>2.1999999999999999E-2</c:v>
                </c:pt>
                <c:pt idx="56">
                  <c:v>2.3E-2</c:v>
                </c:pt>
                <c:pt idx="57">
                  <c:v>2.4E-2</c:v>
                </c:pt>
                <c:pt idx="58">
                  <c:v>2.5000000000000001E-2</c:v>
                </c:pt>
                <c:pt idx="59">
                  <c:v>2.5499999999999998E-2</c:v>
                </c:pt>
                <c:pt idx="60">
                  <c:v>2.5999999999999999E-2</c:v>
                </c:pt>
                <c:pt idx="61">
                  <c:v>2.5999999999999999E-2</c:v>
                </c:pt>
                <c:pt idx="62">
                  <c:v>2.5999999999999999E-2</c:v>
                </c:pt>
                <c:pt idx="63">
                  <c:v>2.5499999999999998E-2</c:v>
                </c:pt>
                <c:pt idx="64">
                  <c:v>2.5000000000000001E-2</c:v>
                </c:pt>
                <c:pt idx="65">
                  <c:v>2.5000000000000001E-2</c:v>
                </c:pt>
                <c:pt idx="66">
                  <c:v>2.5000000000000001E-2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09-4734-8A96-297F68C73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281053"/>
        <c:axId val="2048890541"/>
      </c:lineChart>
      <c:catAx>
        <c:axId val="1747281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890541"/>
        <c:crosses val="autoZero"/>
        <c:auto val="1"/>
        <c:lblAlgn val="ctr"/>
        <c:lblOffset val="100"/>
        <c:noMultiLvlLbl val="1"/>
      </c:catAx>
      <c:valAx>
        <c:axId val="2048890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72810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Eparia!$C$1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Eparia!$C$2:$C$67</c:f>
              <c:numCache>
                <c:formatCode>#,##0</c:formatCode>
                <c:ptCount val="66"/>
                <c:pt idx="0">
                  <c:v>4071240.0298750438</c:v>
                </c:pt>
                <c:pt idx="1">
                  <c:v>4012655.2630347367</c:v>
                </c:pt>
                <c:pt idx="2">
                  <c:v>3954134.0786704151</c:v>
                </c:pt>
                <c:pt idx="3">
                  <c:v>3895698.5996752861</c:v>
                </c:pt>
                <c:pt idx="4">
                  <c:v>3838126.6991874743</c:v>
                </c:pt>
                <c:pt idx="5">
                  <c:v>3780660.6571980636</c:v>
                </c:pt>
                <c:pt idx="6">
                  <c:v>3722588.2800296014</c:v>
                </c:pt>
                <c:pt idx="7">
                  <c:v>3664686.2374774576</c:v>
                </c:pt>
                <c:pt idx="8">
                  <c:v>3609817.0187918218</c:v>
                </c:pt>
                <c:pt idx="9">
                  <c:v>3557170.8896253668</c:v>
                </c:pt>
                <c:pt idx="10">
                  <c:v>3505292.5597411972</c:v>
                </c:pt>
                <c:pt idx="11">
                  <c:v>3454851.7245625835</c:v>
                </c:pt>
                <c:pt idx="12">
                  <c:v>3404801.1476915185</c:v>
                </c:pt>
                <c:pt idx="13">
                  <c:v>3354153.4308851529</c:v>
                </c:pt>
                <c:pt idx="14">
                  <c:v>3303282.8746160651</c:v>
                </c:pt>
                <c:pt idx="15">
                  <c:v>3252543.200685373</c:v>
                </c:pt>
                <c:pt idx="16">
                  <c:v>3201637.1696873442</c:v>
                </c:pt>
                <c:pt idx="17">
                  <c:v>3147809.6250981661</c:v>
                </c:pt>
                <c:pt idx="18">
                  <c:v>3023251.6568365023</c:v>
                </c:pt>
                <c:pt idx="19">
                  <c:v>2828641.1459922367</c:v>
                </c:pt>
                <c:pt idx="20">
                  <c:v>2630804.6372695654</c:v>
                </c:pt>
                <c:pt idx="21">
                  <c:v>2433676.8152354909</c:v>
                </c:pt>
                <c:pt idx="22">
                  <c:v>2274889.5262997672</c:v>
                </c:pt>
                <c:pt idx="23">
                  <c:v>2145717.3422936872</c:v>
                </c:pt>
                <c:pt idx="24">
                  <c:v>2035784.9547378437</c:v>
                </c:pt>
                <c:pt idx="25">
                  <c:v>1954853.9991721178</c:v>
                </c:pt>
                <c:pt idx="26">
                  <c:v>1876599.7880120166</c:v>
                </c:pt>
                <c:pt idx="27">
                  <c:v>1808422.2684899454</c:v>
                </c:pt>
                <c:pt idx="28">
                  <c:v>1742217.9850577509</c:v>
                </c:pt>
                <c:pt idx="29">
                  <c:v>1671352.6334015261</c:v>
                </c:pt>
                <c:pt idx="30">
                  <c:v>1608306.9990391901</c:v>
                </c:pt>
                <c:pt idx="31">
                  <c:v>1556325.7199914746</c:v>
                </c:pt>
                <c:pt idx="32">
                  <c:v>1501665.1099879146</c:v>
                </c:pt>
                <c:pt idx="33">
                  <c:v>1492115.570337753</c:v>
                </c:pt>
                <c:pt idx="34">
                  <c:v>1477634.7497898128</c:v>
                </c:pt>
                <c:pt idx="35">
                  <c:v>1465907.489870846</c:v>
                </c:pt>
                <c:pt idx="36">
                  <c:v>1470023.5558271622</c:v>
                </c:pt>
                <c:pt idx="37">
                  <c:v>1462418.9771460029</c:v>
                </c:pt>
                <c:pt idx="38">
                  <c:v>1432339.8404955955</c:v>
                </c:pt>
                <c:pt idx="39">
                  <c:v>1402879.3736489674</c:v>
                </c:pt>
                <c:pt idx="40">
                  <c:v>1374024.8517619662</c:v>
                </c:pt>
                <c:pt idx="41">
                  <c:v>1344973.4257654329</c:v>
                </c:pt>
                <c:pt idx="42">
                  <c:v>1377905.3639641767</c:v>
                </c:pt>
                <c:pt idx="43">
                  <c:v>1504263.4977774855</c:v>
                </c:pt>
                <c:pt idx="44">
                  <c:v>1633471.0585052508</c:v>
                </c:pt>
                <c:pt idx="45">
                  <c:v>1756798.2991022272</c:v>
                </c:pt>
                <c:pt idx="46">
                  <c:v>1811505.7734607416</c:v>
                </c:pt>
                <c:pt idx="47">
                  <c:v>1799985.8639315795</c:v>
                </c:pt>
                <c:pt idx="48">
                  <c:v>1762963.6277488538</c:v>
                </c:pt>
                <c:pt idx="49">
                  <c:v>1726702.8675307091</c:v>
                </c:pt>
                <c:pt idx="50">
                  <c:v>1691187.9211858073</c:v>
                </c:pt>
                <c:pt idx="51">
                  <c:v>1656403.4487618094</c:v>
                </c:pt>
                <c:pt idx="52">
                  <c:v>1622493.3379976584</c:v>
                </c:pt>
                <c:pt idx="53">
                  <c:v>1587877.6061828719</c:v>
                </c:pt>
                <c:pt idx="54">
                  <c:v>1553088.4254527306</c:v>
                </c:pt>
                <c:pt idx="55">
                  <c:v>1519655.99359367</c:v>
                </c:pt>
                <c:pt idx="56">
                  <c:v>1485489.7298080842</c:v>
                </c:pt>
                <c:pt idx="57">
                  <c:v>1450673.5642657073</c:v>
                </c:pt>
                <c:pt idx="58">
                  <c:v>1415291.2822104462</c:v>
                </c:pt>
                <c:pt idx="59">
                  <c:v>1380098.7637351984</c:v>
                </c:pt>
                <c:pt idx="60">
                  <c:v>1345125.5007165677</c:v>
                </c:pt>
                <c:pt idx="61">
                  <c:v>1311038.4997237502</c:v>
                </c:pt>
                <c:pt idx="62">
                  <c:v>1277815.3018750001</c:v>
                </c:pt>
                <c:pt idx="63">
                  <c:v>1246041.25</c:v>
                </c:pt>
                <c:pt idx="64">
                  <c:v>1215650</c:v>
                </c:pt>
                <c:pt idx="65">
                  <c:v>1186000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C6-4E5C-A6A5-6B88365E7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877326"/>
        <c:axId val="768686136"/>
      </c:lineChart>
      <c:catAx>
        <c:axId val="1077877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8686136"/>
        <c:crosses val="autoZero"/>
        <c:auto val="1"/>
        <c:lblAlgn val="ctr"/>
        <c:lblOffset val="100"/>
        <c:noMultiLvlLbl val="1"/>
      </c:catAx>
      <c:valAx>
        <c:axId val="768686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78773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Erkizil!$D$1:$D$67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1.1900000000000001E-2</c:v>
                </c:pt>
                <c:pt idx="2">
                  <c:v>1.26E-2</c:v>
                </c:pt>
                <c:pt idx="3">
                  <c:v>1.3299999999999999E-2</c:v>
                </c:pt>
                <c:pt idx="4">
                  <c:v>1.37E-2</c:v>
                </c:pt>
                <c:pt idx="5">
                  <c:v>1.4200000000000001E-2</c:v>
                </c:pt>
                <c:pt idx="6">
                  <c:v>1.4500000000000001E-2</c:v>
                </c:pt>
                <c:pt idx="7">
                  <c:v>1.4500000000000001E-2</c:v>
                </c:pt>
                <c:pt idx="8">
                  <c:v>1.44E-2</c:v>
                </c:pt>
                <c:pt idx="9">
                  <c:v>1.5100000000000001E-2</c:v>
                </c:pt>
                <c:pt idx="10">
                  <c:v>1.5599999999999999E-2</c:v>
                </c:pt>
                <c:pt idx="11">
                  <c:v>1.6299999999999999E-2</c:v>
                </c:pt>
                <c:pt idx="12">
                  <c:v>1.7000000000000001E-2</c:v>
                </c:pt>
                <c:pt idx="13">
                  <c:v>1.7299999999999999E-2</c:v>
                </c:pt>
                <c:pt idx="14">
                  <c:v>1.8100000000000002E-2</c:v>
                </c:pt>
                <c:pt idx="15">
                  <c:v>1.8700000000000001E-2</c:v>
                </c:pt>
                <c:pt idx="16">
                  <c:v>1.8800000000000001E-2</c:v>
                </c:pt>
                <c:pt idx="17">
                  <c:v>1.9E-2</c:v>
                </c:pt>
                <c:pt idx="18">
                  <c:v>1.9400000000000001E-2</c:v>
                </c:pt>
                <c:pt idx="19">
                  <c:v>1.9699999999999999E-2</c:v>
                </c:pt>
                <c:pt idx="20">
                  <c:v>0.02</c:v>
                </c:pt>
                <c:pt idx="21">
                  <c:v>2.01E-2</c:v>
                </c:pt>
                <c:pt idx="22">
                  <c:v>2.0400000000000001E-2</c:v>
                </c:pt>
                <c:pt idx="23">
                  <c:v>2.1000000000000001E-2</c:v>
                </c:pt>
                <c:pt idx="24">
                  <c:v>2.1299999999999999E-2</c:v>
                </c:pt>
                <c:pt idx="25">
                  <c:v>2.1700000000000001E-2</c:v>
                </c:pt>
                <c:pt idx="26">
                  <c:v>2.2100000000000002E-2</c:v>
                </c:pt>
                <c:pt idx="27">
                  <c:v>2.23E-2</c:v>
                </c:pt>
                <c:pt idx="28">
                  <c:v>2.2499999999999999E-2</c:v>
                </c:pt>
                <c:pt idx="29">
                  <c:v>2.2800000000000001E-2</c:v>
                </c:pt>
                <c:pt idx="30">
                  <c:v>2.3099999999999999E-2</c:v>
                </c:pt>
                <c:pt idx="31">
                  <c:v>2.3300000000000001E-2</c:v>
                </c:pt>
                <c:pt idx="32">
                  <c:v>2.35E-2</c:v>
                </c:pt>
                <c:pt idx="33">
                  <c:v>2.3400000000000001E-2</c:v>
                </c:pt>
                <c:pt idx="34">
                  <c:v>2.3300000000000001E-2</c:v>
                </c:pt>
                <c:pt idx="35">
                  <c:v>2.35E-2</c:v>
                </c:pt>
                <c:pt idx="36">
                  <c:v>2.3800000000000002E-2</c:v>
                </c:pt>
                <c:pt idx="37">
                  <c:v>2.3300000000000001E-2</c:v>
                </c:pt>
                <c:pt idx="38">
                  <c:v>2.3E-2</c:v>
                </c:pt>
                <c:pt idx="39">
                  <c:v>2.3599999999999999E-2</c:v>
                </c:pt>
                <c:pt idx="40">
                  <c:v>2.35E-2</c:v>
                </c:pt>
                <c:pt idx="41">
                  <c:v>2.3599999999999999E-2</c:v>
                </c:pt>
                <c:pt idx="42">
                  <c:v>2.3E-2</c:v>
                </c:pt>
                <c:pt idx="43">
                  <c:v>2.2499999999999999E-2</c:v>
                </c:pt>
                <c:pt idx="44">
                  <c:v>2.1999999999999999E-2</c:v>
                </c:pt>
                <c:pt idx="45">
                  <c:v>2.2200000000000001E-2</c:v>
                </c:pt>
                <c:pt idx="46">
                  <c:v>2.2200000000000001E-2</c:v>
                </c:pt>
                <c:pt idx="47">
                  <c:v>2.1100000000000001E-2</c:v>
                </c:pt>
                <c:pt idx="48">
                  <c:v>2.1499999999999998E-2</c:v>
                </c:pt>
                <c:pt idx="49">
                  <c:v>2.1499999999999998E-2</c:v>
                </c:pt>
                <c:pt idx="50">
                  <c:v>2.1399999999999999E-2</c:v>
                </c:pt>
                <c:pt idx="51">
                  <c:v>2.2499999999999999E-2</c:v>
                </c:pt>
                <c:pt idx="52">
                  <c:v>2.3400000000000001E-2</c:v>
                </c:pt>
                <c:pt idx="53">
                  <c:v>2.35E-2</c:v>
                </c:pt>
                <c:pt idx="54">
                  <c:v>2.3699999999999999E-2</c:v>
                </c:pt>
                <c:pt idx="55">
                  <c:v>2.4E-2</c:v>
                </c:pt>
                <c:pt idx="56">
                  <c:v>2.3E-2</c:v>
                </c:pt>
                <c:pt idx="57">
                  <c:v>2.1999999999999999E-2</c:v>
                </c:pt>
                <c:pt idx="58">
                  <c:v>2.1000000000000001E-2</c:v>
                </c:pt>
                <c:pt idx="59">
                  <c:v>2.1000000000000001E-2</c:v>
                </c:pt>
                <c:pt idx="60">
                  <c:v>2.1000000000000001E-2</c:v>
                </c:pt>
                <c:pt idx="61">
                  <c:v>0.02</c:v>
                </c:pt>
                <c:pt idx="62">
                  <c:v>0.02</c:v>
                </c:pt>
                <c:pt idx="63">
                  <c:v>1.9E-2</c:v>
                </c:pt>
                <c:pt idx="64">
                  <c:v>1.7999999999999999E-2</c:v>
                </c:pt>
                <c:pt idx="65">
                  <c:v>1.7000000000000001E-2</c:v>
                </c:pt>
                <c:pt idx="66">
                  <c:v>1.6E-2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CF-40A4-8985-CF496B9AA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645971"/>
        <c:axId val="2122667768"/>
      </c:lineChart>
      <c:catAx>
        <c:axId val="149464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2667768"/>
        <c:crosses val="autoZero"/>
        <c:auto val="1"/>
        <c:lblAlgn val="ctr"/>
        <c:lblOffset val="100"/>
        <c:noMultiLvlLbl val="1"/>
      </c:catAx>
      <c:valAx>
        <c:axId val="2122667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46459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Erkizil!$C$1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Erkizil!$C$2:$C$67</c:f>
              <c:numCache>
                <c:formatCode>#,##0</c:formatCode>
                <c:ptCount val="66"/>
                <c:pt idx="0">
                  <c:v>90943580.102137834</c:v>
                </c:pt>
                <c:pt idx="1">
                  <c:v>89874078.567188293</c:v>
                </c:pt>
                <c:pt idx="2">
                  <c:v>88755756.041070804</c:v>
                </c:pt>
                <c:pt idx="3">
                  <c:v>87590798.422057435</c:v>
                </c:pt>
                <c:pt idx="4">
                  <c:v>86407022.217675284</c:v>
                </c:pt>
                <c:pt idx="5">
                  <c:v>85197221.669961825</c:v>
                </c:pt>
                <c:pt idx="6">
                  <c:v>83979518.649543449</c:v>
                </c:pt>
                <c:pt idx="7">
                  <c:v>82779219.960121691</c:v>
                </c:pt>
                <c:pt idx="8">
                  <c:v>81604120.623148352</c:v>
                </c:pt>
                <c:pt idx="9">
                  <c:v>80390228.177665606</c:v>
                </c:pt>
                <c:pt idx="10">
                  <c:v>79155403.877181575</c:v>
                </c:pt>
                <c:pt idx="11">
                  <c:v>77885864.289266527</c:v>
                </c:pt>
                <c:pt idx="12">
                  <c:v>76583937.354244381</c:v>
                </c:pt>
                <c:pt idx="13">
                  <c:v>75281566.2579813</c:v>
                </c:pt>
                <c:pt idx="14">
                  <c:v>73943194.438641876</c:v>
                </c:pt>
                <c:pt idx="15">
                  <c:v>72585839.244764775</c:v>
                </c:pt>
                <c:pt idx="16">
                  <c:v>71246406.796981528</c:v>
                </c:pt>
                <c:pt idx="17">
                  <c:v>69917965.453367546</c:v>
                </c:pt>
                <c:pt idx="18">
                  <c:v>68587370.466320917</c:v>
                </c:pt>
                <c:pt idx="19">
                  <c:v>67262303.095342666</c:v>
                </c:pt>
                <c:pt idx="20">
                  <c:v>65943434.40719869</c:v>
                </c:pt>
                <c:pt idx="21">
                  <c:v>64644088.233701296</c:v>
                </c:pt>
                <c:pt idx="22">
                  <c:v>63351713.282733537</c:v>
                </c:pt>
                <c:pt idx="23">
                  <c:v>62048690.776428543</c:v>
                </c:pt>
                <c:pt idx="24">
                  <c:v>60754617.425270282</c:v>
                </c:pt>
                <c:pt idx="25">
                  <c:v>59464243.344690494</c:v>
                </c:pt>
                <c:pt idx="26">
                  <c:v>58178498.527238525</c:v>
                </c:pt>
                <c:pt idx="27">
                  <c:v>56909418.49480439</c:v>
                </c:pt>
                <c:pt idx="28">
                  <c:v>55657133.002253681</c:v>
                </c:pt>
                <c:pt idx="29">
                  <c:v>54416438.211041927</c:v>
                </c:pt>
                <c:pt idx="30">
                  <c:v>53187800.030341052</c:v>
                </c:pt>
                <c:pt idx="31">
                  <c:v>51976741.943067573</c:v>
                </c:pt>
                <c:pt idx="32">
                  <c:v>50783333.603387952</c:v>
                </c:pt>
                <c:pt idx="33">
                  <c:v>49622174.715055645</c:v>
                </c:pt>
                <c:pt idx="34">
                  <c:v>48492304.031130306</c:v>
                </c:pt>
                <c:pt idx="35">
                  <c:v>47378899.883859605</c:v>
                </c:pt>
                <c:pt idx="36">
                  <c:v>46277495.491169766</c:v>
                </c:pt>
                <c:pt idx="37">
                  <c:v>45223781.384901553</c:v>
                </c:pt>
                <c:pt idx="38">
                  <c:v>44207019.926589988</c:v>
                </c:pt>
                <c:pt idx="39">
                  <c:v>43187788.126797564</c:v>
                </c:pt>
                <c:pt idx="40">
                  <c:v>42196177.945087992</c:v>
                </c:pt>
                <c:pt idx="41">
                  <c:v>41223307.87914028</c:v>
                </c:pt>
                <c:pt idx="42">
                  <c:v>40296488.640410833</c:v>
                </c:pt>
                <c:pt idx="43">
                  <c:v>39409768.841477588</c:v>
                </c:pt>
                <c:pt idx="44">
                  <c:v>38561417.653109185</c:v>
                </c:pt>
                <c:pt idx="45">
                  <c:v>37723946.050781831</c:v>
                </c:pt>
                <c:pt idx="46">
                  <c:v>36904662.542341843</c:v>
                </c:pt>
                <c:pt idx="47">
                  <c:v>36142064.971444368</c:v>
                </c:pt>
                <c:pt idx="48">
                  <c:v>35381365.610811912</c:v>
                </c:pt>
                <c:pt idx="49">
                  <c:v>34636677.054147735</c:v>
                </c:pt>
                <c:pt idx="50">
                  <c:v>33910982.038523331</c:v>
                </c:pt>
                <c:pt idx="51">
                  <c:v>33164774.609802768</c:v>
                </c:pt>
                <c:pt idx="52">
                  <c:v>32406463.367014624</c:v>
                </c:pt>
                <c:pt idx="53">
                  <c:v>31662397.036653269</c:v>
                </c:pt>
                <c:pt idx="54">
                  <c:v>30929370.945250824</c:v>
                </c:pt>
                <c:pt idx="55">
                  <c:v>30204463.813721508</c:v>
                </c:pt>
                <c:pt idx="56">
                  <c:v>29525380.072064038</c:v>
                </c:pt>
                <c:pt idx="57">
                  <c:v>28889804.375796515</c:v>
                </c:pt>
                <c:pt idx="58">
                  <c:v>28295596.842112161</c:v>
                </c:pt>
                <c:pt idx="59">
                  <c:v>27713611.010883607</c:v>
                </c:pt>
                <c:pt idx="60">
                  <c:v>27143595.50527288</c:v>
                </c:pt>
                <c:pt idx="61">
                  <c:v>26611368.142424393</c:v>
                </c:pt>
                <c:pt idx="62">
                  <c:v>26089576.610219993</c:v>
                </c:pt>
                <c:pt idx="63">
                  <c:v>25603117.379999995</c:v>
                </c:pt>
                <c:pt idx="64">
                  <c:v>25150409.999999996</c:v>
                </c:pt>
                <c:pt idx="65">
                  <c:v>24730000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7-4DA3-87FB-9268D369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30172"/>
        <c:axId val="1074533591"/>
      </c:lineChart>
      <c:catAx>
        <c:axId val="493330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4533591"/>
        <c:crosses val="autoZero"/>
        <c:auto val="1"/>
        <c:lblAlgn val="ctr"/>
        <c:lblOffset val="100"/>
        <c:noMultiLvlLbl val="1"/>
      </c:catAx>
      <c:valAx>
        <c:axId val="1074533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33301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Estijan!$D$1:$D$67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1.06E-2</c:v>
                </c:pt>
                <c:pt idx="2">
                  <c:v>1.0699999999999999E-2</c:v>
                </c:pt>
                <c:pt idx="3">
                  <c:v>1.04E-2</c:v>
                </c:pt>
                <c:pt idx="4">
                  <c:v>1.11E-2</c:v>
                </c:pt>
                <c:pt idx="5">
                  <c:v>1.1299999999999999E-2</c:v>
                </c:pt>
                <c:pt idx="6">
                  <c:v>1.14E-2</c:v>
                </c:pt>
                <c:pt idx="7">
                  <c:v>1.23E-2</c:v>
                </c:pt>
                <c:pt idx="8">
                  <c:v>1.24E-2</c:v>
                </c:pt>
                <c:pt idx="9">
                  <c:v>1.24E-2</c:v>
                </c:pt>
                <c:pt idx="10">
                  <c:v>1.3599999999999999E-2</c:v>
                </c:pt>
                <c:pt idx="11">
                  <c:v>1.26E-2</c:v>
                </c:pt>
                <c:pt idx="12">
                  <c:v>1.17E-2</c:v>
                </c:pt>
                <c:pt idx="13">
                  <c:v>1.1299999999999999E-2</c:v>
                </c:pt>
                <c:pt idx="14">
                  <c:v>1.11E-2</c:v>
                </c:pt>
                <c:pt idx="15">
                  <c:v>1.09E-2</c:v>
                </c:pt>
                <c:pt idx="16">
                  <c:v>1.09E-2</c:v>
                </c:pt>
                <c:pt idx="17">
                  <c:v>1.0800000000000001E-2</c:v>
                </c:pt>
                <c:pt idx="18">
                  <c:v>9.2999999999999992E-3</c:v>
                </c:pt>
                <c:pt idx="19">
                  <c:v>8.3999999999999995E-3</c:v>
                </c:pt>
                <c:pt idx="20">
                  <c:v>6.8999999999999999E-3</c:v>
                </c:pt>
                <c:pt idx="21">
                  <c:v>5.3E-3</c:v>
                </c:pt>
                <c:pt idx="22">
                  <c:v>2.8999999999999998E-3</c:v>
                </c:pt>
                <c:pt idx="23">
                  <c:v>-1.6000000000000001E-3</c:v>
                </c:pt>
                <c:pt idx="24">
                  <c:v>-1.1000000000000001E-3</c:v>
                </c:pt>
                <c:pt idx="25">
                  <c:v>2.3E-3</c:v>
                </c:pt>
                <c:pt idx="26">
                  <c:v>6.0000000000000001E-3</c:v>
                </c:pt>
                <c:pt idx="27">
                  <c:v>1.11E-2</c:v>
                </c:pt>
                <c:pt idx="28">
                  <c:v>1.2E-2</c:v>
                </c:pt>
                <c:pt idx="29">
                  <c:v>1.21E-2</c:v>
                </c:pt>
                <c:pt idx="30">
                  <c:v>1.38E-2</c:v>
                </c:pt>
                <c:pt idx="31">
                  <c:v>1.2399999999999998E-2</c:v>
                </c:pt>
                <c:pt idx="32">
                  <c:v>1.21E-2</c:v>
                </c:pt>
                <c:pt idx="33">
                  <c:v>1.21E-2</c:v>
                </c:pt>
                <c:pt idx="34">
                  <c:v>1.1299999999999998E-2</c:v>
                </c:pt>
                <c:pt idx="35">
                  <c:v>1.0699999999999998E-2</c:v>
                </c:pt>
                <c:pt idx="36">
                  <c:v>1.03E-2</c:v>
                </c:pt>
                <c:pt idx="37">
                  <c:v>9.9999999999999985E-3</c:v>
                </c:pt>
                <c:pt idx="38">
                  <c:v>1.0200000000000001E-2</c:v>
                </c:pt>
                <c:pt idx="39">
                  <c:v>9.7000000000000003E-3</c:v>
                </c:pt>
                <c:pt idx="40">
                  <c:v>9.1000000000000004E-3</c:v>
                </c:pt>
                <c:pt idx="41">
                  <c:v>9.2999999999999992E-3</c:v>
                </c:pt>
                <c:pt idx="42">
                  <c:v>9.1999999999999998E-3</c:v>
                </c:pt>
                <c:pt idx="43">
                  <c:v>9.0000000000000011E-3</c:v>
                </c:pt>
                <c:pt idx="44">
                  <c:v>8.4000000000000012E-3</c:v>
                </c:pt>
                <c:pt idx="45">
                  <c:v>9.5000000000000015E-3</c:v>
                </c:pt>
                <c:pt idx="46">
                  <c:v>1.3299999999999999E-2</c:v>
                </c:pt>
                <c:pt idx="47">
                  <c:v>1.2200000000000001E-2</c:v>
                </c:pt>
                <c:pt idx="48">
                  <c:v>1.46E-2</c:v>
                </c:pt>
                <c:pt idx="49">
                  <c:v>1.5899999999999997E-2</c:v>
                </c:pt>
                <c:pt idx="50">
                  <c:v>1.7099999999999997E-2</c:v>
                </c:pt>
                <c:pt idx="51">
                  <c:v>1.8500000000000003E-2</c:v>
                </c:pt>
                <c:pt idx="52">
                  <c:v>1.9999999999999997E-2</c:v>
                </c:pt>
                <c:pt idx="53">
                  <c:v>2.1499999999999998E-2</c:v>
                </c:pt>
                <c:pt idx="54">
                  <c:v>2.2699999999999998E-2</c:v>
                </c:pt>
                <c:pt idx="55">
                  <c:v>2.3799999999999995E-2</c:v>
                </c:pt>
                <c:pt idx="56">
                  <c:v>2.5000000000000001E-2</c:v>
                </c:pt>
                <c:pt idx="57">
                  <c:v>2.5999999999999995E-2</c:v>
                </c:pt>
                <c:pt idx="58">
                  <c:v>2.7999999999999997E-2</c:v>
                </c:pt>
                <c:pt idx="59">
                  <c:v>0.03</c:v>
                </c:pt>
                <c:pt idx="60">
                  <c:v>3.2000000000000001E-2</c:v>
                </c:pt>
                <c:pt idx="61">
                  <c:v>0.03</c:v>
                </c:pt>
                <c:pt idx="62">
                  <c:v>2.5000000000000001E-2</c:v>
                </c:pt>
                <c:pt idx="63">
                  <c:v>2.1999999999999999E-2</c:v>
                </c:pt>
                <c:pt idx="64">
                  <c:v>1.9999999999999997E-2</c:v>
                </c:pt>
                <c:pt idx="65">
                  <c:v>1.7000000000000001E-2</c:v>
                </c:pt>
                <c:pt idx="66">
                  <c:v>1.5000000000000001E-2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3E-4D10-BA22-5293D9262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11005"/>
        <c:axId val="623845662"/>
      </c:lineChart>
      <c:catAx>
        <c:axId val="137411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3845662"/>
        <c:crosses val="autoZero"/>
        <c:auto val="1"/>
        <c:lblAlgn val="ctr"/>
        <c:lblOffset val="100"/>
        <c:noMultiLvlLbl val="1"/>
      </c:catAx>
      <c:valAx>
        <c:axId val="623845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4110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Estijan!$C$1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Estijan!$C$2:$C$67</c:f>
              <c:numCache>
                <c:formatCode>#,##0</c:formatCode>
                <c:ptCount val="66"/>
                <c:pt idx="0">
                  <c:v>260856406.4317582</c:v>
                </c:pt>
                <c:pt idx="1">
                  <c:v>258120330.9239642</c:v>
                </c:pt>
                <c:pt idx="2">
                  <c:v>255387682.71887228</c:v>
                </c:pt>
                <c:pt idx="3">
                  <c:v>252758989.23087123</c:v>
                </c:pt>
                <c:pt idx="4">
                  <c:v>249984164.99937811</c:v>
                </c:pt>
                <c:pt idx="5">
                  <c:v>247190907.74189469</c:v>
                </c:pt>
                <c:pt idx="6">
                  <c:v>244404694.22769889</c:v>
                </c:pt>
                <c:pt idx="7">
                  <c:v>241435043.19638339</c:v>
                </c:pt>
                <c:pt idx="8">
                  <c:v>238477917.02527004</c:v>
                </c:pt>
                <c:pt idx="9">
                  <c:v>235557010.10002968</c:v>
                </c:pt>
                <c:pt idx="10">
                  <c:v>232396418.80429131</c:v>
                </c:pt>
                <c:pt idx="11">
                  <c:v>229504660.08719268</c:v>
                </c:pt>
                <c:pt idx="12">
                  <c:v>226850509.13036737</c:v>
                </c:pt>
                <c:pt idx="13">
                  <c:v>224315741.25419495</c:v>
                </c:pt>
                <c:pt idx="14">
                  <c:v>221853171.05547911</c:v>
                </c:pt>
                <c:pt idx="15">
                  <c:v>219461045.65780902</c:v>
                </c:pt>
                <c:pt idx="16">
                  <c:v>217094713.28302407</c:v>
                </c:pt>
                <c:pt idx="17">
                  <c:v>214775141.75210139</c:v>
                </c:pt>
                <c:pt idx="18">
                  <c:v>212796137.67175406</c:v>
                </c:pt>
                <c:pt idx="19">
                  <c:v>211023539.93628925</c:v>
                </c:pt>
                <c:pt idx="20">
                  <c:v>209577455.49338493</c:v>
                </c:pt>
                <c:pt idx="21">
                  <c:v>208472550.97322682</c:v>
                </c:pt>
                <c:pt idx="22">
                  <c:v>207869728.75982335</c:v>
                </c:pt>
                <c:pt idx="23">
                  <c:v>208202853.32514361</c:v>
                </c:pt>
                <c:pt idx="24">
                  <c:v>208432128.66667694</c:v>
                </c:pt>
                <c:pt idx="25">
                  <c:v>207953834.84652993</c:v>
                </c:pt>
                <c:pt idx="26">
                  <c:v>206713553.52537766</c:v>
                </c:pt>
                <c:pt idx="27">
                  <c:v>204444222.65391913</c:v>
                </c:pt>
                <c:pt idx="28">
                  <c:v>202019982.85960388</c:v>
                </c:pt>
                <c:pt idx="29">
                  <c:v>199604765.2006757</c:v>
                </c:pt>
                <c:pt idx="30">
                  <c:v>196887714.73730093</c:v>
                </c:pt>
                <c:pt idx="31">
                  <c:v>194476209.7365675</c:v>
                </c:pt>
                <c:pt idx="32">
                  <c:v>192151180.45308515</c:v>
                </c:pt>
                <c:pt idx="33">
                  <c:v>189853947.68608356</c:v>
                </c:pt>
                <c:pt idx="34">
                  <c:v>187732569.64904928</c:v>
                </c:pt>
                <c:pt idx="35">
                  <c:v>185745097.1099726</c:v>
                </c:pt>
                <c:pt idx="36">
                  <c:v>183851427.40767357</c:v>
                </c:pt>
                <c:pt idx="37">
                  <c:v>182031116.24522135</c:v>
                </c:pt>
                <c:pt idx="38">
                  <c:v>180193146.15444601</c:v>
                </c:pt>
                <c:pt idx="39">
                  <c:v>178462064.1323621</c:v>
                </c:pt>
                <c:pt idx="40">
                  <c:v>176852704.52121899</c:v>
                </c:pt>
                <c:pt idx="41">
                  <c:v>175223129.41763496</c:v>
                </c:pt>
                <c:pt idx="42">
                  <c:v>173625772.31236121</c:v>
                </c:pt>
                <c:pt idx="43">
                  <c:v>172077078.60491699</c:v>
                </c:pt>
                <c:pt idx="44">
                  <c:v>170643671.76211524</c:v>
                </c:pt>
                <c:pt idx="45">
                  <c:v>169037812.54295713</c:v>
                </c:pt>
                <c:pt idx="46">
                  <c:v>166819118.26996654</c:v>
                </c:pt>
                <c:pt idx="47">
                  <c:v>164808455.11753264</c:v>
                </c:pt>
                <c:pt idx="48">
                  <c:v>162436876.71745777</c:v>
                </c:pt>
                <c:pt idx="49">
                  <c:v>159894553.31967494</c:v>
                </c:pt>
                <c:pt idx="50">
                  <c:v>157206325.15944839</c:v>
                </c:pt>
                <c:pt idx="51">
                  <c:v>154350834.71718055</c:v>
                </c:pt>
                <c:pt idx="52">
                  <c:v>151324347.7619417</c:v>
                </c:pt>
                <c:pt idx="53">
                  <c:v>148139351.70038345</c:v>
                </c:pt>
                <c:pt idx="54">
                  <c:v>144851228.80647644</c:v>
                </c:pt>
                <c:pt idx="55">
                  <c:v>141483911.70783007</c:v>
                </c:pt>
                <c:pt idx="56">
                  <c:v>138033084.59300497</c:v>
                </c:pt>
                <c:pt idx="57">
                  <c:v>134535170.16862082</c:v>
                </c:pt>
                <c:pt idx="58">
                  <c:v>130870788.10177124</c:v>
                </c:pt>
                <c:pt idx="59">
                  <c:v>127059017.57453518</c:v>
                </c:pt>
                <c:pt idx="60">
                  <c:v>123119203.07609998</c:v>
                </c:pt>
                <c:pt idx="61">
                  <c:v>119533206.86999997</c:v>
                </c:pt>
                <c:pt idx="62">
                  <c:v>116617762.79999998</c:v>
                </c:pt>
                <c:pt idx="63">
                  <c:v>114107399.99999999</c:v>
                </c:pt>
                <c:pt idx="64">
                  <c:v>111869999.99999999</c:v>
                </c:pt>
                <c:pt idx="65">
                  <c:v>110000000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0-4638-A038-5033D9688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156381"/>
        <c:axId val="898758352"/>
      </c:lineChart>
      <c:catAx>
        <c:axId val="952156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8758352"/>
        <c:crosses val="autoZero"/>
        <c:auto val="1"/>
        <c:lblAlgn val="ctr"/>
        <c:lblOffset val="100"/>
        <c:noMultiLvlLbl val="1"/>
      </c:catAx>
      <c:valAx>
        <c:axId val="898758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21563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Etirha!$D$1:$D$67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1.2999999999999999E-3</c:v>
                </c:pt>
                <c:pt idx="2">
                  <c:v>1.8E-3</c:v>
                </c:pt>
                <c:pt idx="3">
                  <c:v>2.3999999999999998E-3</c:v>
                </c:pt>
                <c:pt idx="4">
                  <c:v>2.8E-3</c:v>
                </c:pt>
                <c:pt idx="5">
                  <c:v>1.6000000000000001E-3</c:v>
                </c:pt>
                <c:pt idx="6">
                  <c:v>2.3999999999999998E-3</c:v>
                </c:pt>
                <c:pt idx="7">
                  <c:v>2.7000000000000001E-3</c:v>
                </c:pt>
                <c:pt idx="8">
                  <c:v>3.5999999999999999E-3</c:v>
                </c:pt>
                <c:pt idx="9">
                  <c:v>4.5999999999999999E-3</c:v>
                </c:pt>
                <c:pt idx="10">
                  <c:v>4.7000000000000002E-3</c:v>
                </c:pt>
                <c:pt idx="11">
                  <c:v>5.8999999999999999E-3</c:v>
                </c:pt>
                <c:pt idx="12">
                  <c:v>6.3E-3</c:v>
                </c:pt>
                <c:pt idx="13">
                  <c:v>7.1999999999999998E-3</c:v>
                </c:pt>
                <c:pt idx="14">
                  <c:v>6.8999999999999999E-3</c:v>
                </c:pt>
                <c:pt idx="15">
                  <c:v>7.9000000000000008E-3</c:v>
                </c:pt>
                <c:pt idx="16">
                  <c:v>9.7999999999999997E-3</c:v>
                </c:pt>
                <c:pt idx="17">
                  <c:v>1.2699999999999999E-2</c:v>
                </c:pt>
                <c:pt idx="18">
                  <c:v>1.0500000000000001E-2</c:v>
                </c:pt>
                <c:pt idx="19">
                  <c:v>1.2500000000000001E-2</c:v>
                </c:pt>
                <c:pt idx="20">
                  <c:v>1.0200000000000001E-2</c:v>
                </c:pt>
                <c:pt idx="21">
                  <c:v>8.6E-3</c:v>
                </c:pt>
                <c:pt idx="22">
                  <c:v>1.4E-2</c:v>
                </c:pt>
                <c:pt idx="23">
                  <c:v>1.1900000000000001E-2</c:v>
                </c:pt>
                <c:pt idx="24">
                  <c:v>1.32E-2</c:v>
                </c:pt>
                <c:pt idx="25">
                  <c:v>1.0800000000000001E-2</c:v>
                </c:pt>
                <c:pt idx="26">
                  <c:v>7.1000000000000004E-3</c:v>
                </c:pt>
                <c:pt idx="27">
                  <c:v>7.7000000000000002E-3</c:v>
                </c:pt>
                <c:pt idx="28">
                  <c:v>6.8999999999999999E-3</c:v>
                </c:pt>
                <c:pt idx="29">
                  <c:v>7.4999999999999997E-3</c:v>
                </c:pt>
                <c:pt idx="30">
                  <c:v>7.6E-3</c:v>
                </c:pt>
                <c:pt idx="31">
                  <c:v>8.2000000000000007E-3</c:v>
                </c:pt>
                <c:pt idx="32">
                  <c:v>1.0500000000000001E-2</c:v>
                </c:pt>
                <c:pt idx="33">
                  <c:v>9.1999999999999998E-3</c:v>
                </c:pt>
                <c:pt idx="34">
                  <c:v>1.2200000000000001E-2</c:v>
                </c:pt>
                <c:pt idx="35">
                  <c:v>1.4800000000000001E-2</c:v>
                </c:pt>
                <c:pt idx="36">
                  <c:v>1.6899999999999998E-2</c:v>
                </c:pt>
                <c:pt idx="37">
                  <c:v>1.7399999999999999E-2</c:v>
                </c:pt>
                <c:pt idx="38">
                  <c:v>1.3100000000000001E-2</c:v>
                </c:pt>
                <c:pt idx="39">
                  <c:v>1.6299999999999999E-2</c:v>
                </c:pt>
                <c:pt idx="40">
                  <c:v>1.61E-2</c:v>
                </c:pt>
                <c:pt idx="41">
                  <c:v>1.5800000000000002E-2</c:v>
                </c:pt>
                <c:pt idx="42">
                  <c:v>1.52E-2</c:v>
                </c:pt>
                <c:pt idx="43">
                  <c:v>1.49E-2</c:v>
                </c:pt>
                <c:pt idx="44">
                  <c:v>1.52E-2</c:v>
                </c:pt>
                <c:pt idx="45">
                  <c:v>1.5900000000000001E-2</c:v>
                </c:pt>
                <c:pt idx="46">
                  <c:v>1.66E-2</c:v>
                </c:pt>
                <c:pt idx="47">
                  <c:v>1.7399999999999999E-2</c:v>
                </c:pt>
                <c:pt idx="48">
                  <c:v>1.83E-2</c:v>
                </c:pt>
                <c:pt idx="49">
                  <c:v>1.95E-2</c:v>
                </c:pt>
                <c:pt idx="50">
                  <c:v>2.0799999999999999E-2</c:v>
                </c:pt>
                <c:pt idx="51">
                  <c:v>1.6299999999999999E-2</c:v>
                </c:pt>
                <c:pt idx="52">
                  <c:v>1.41E-2</c:v>
                </c:pt>
                <c:pt idx="53">
                  <c:v>1.61E-2</c:v>
                </c:pt>
                <c:pt idx="54">
                  <c:v>1.84E-2</c:v>
                </c:pt>
                <c:pt idx="55">
                  <c:v>5.9999999999999995E-4</c:v>
                </c:pt>
                <c:pt idx="56">
                  <c:v>2.5000000000000001E-2</c:v>
                </c:pt>
                <c:pt idx="57">
                  <c:v>1.9999999999999997E-2</c:v>
                </c:pt>
                <c:pt idx="58">
                  <c:v>2.0999999999999998E-2</c:v>
                </c:pt>
                <c:pt idx="59">
                  <c:v>2.1999999999999999E-2</c:v>
                </c:pt>
                <c:pt idx="60">
                  <c:v>2.3E-2</c:v>
                </c:pt>
                <c:pt idx="61">
                  <c:v>1.9999999999999997E-2</c:v>
                </c:pt>
                <c:pt idx="62">
                  <c:v>2.0999999999999998E-2</c:v>
                </c:pt>
                <c:pt idx="63">
                  <c:v>2.1999999999999999E-2</c:v>
                </c:pt>
                <c:pt idx="64">
                  <c:v>2.3E-2</c:v>
                </c:pt>
                <c:pt idx="65">
                  <c:v>2.4E-2</c:v>
                </c:pt>
                <c:pt idx="66">
                  <c:v>2.4E-2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51-46EF-B640-1898D2A0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388771"/>
        <c:axId val="1820368695"/>
      </c:lineChart>
      <c:catAx>
        <c:axId val="1641388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0368695"/>
        <c:crosses val="autoZero"/>
        <c:auto val="1"/>
        <c:lblAlgn val="ctr"/>
        <c:lblOffset val="100"/>
        <c:noMultiLvlLbl val="1"/>
      </c:catAx>
      <c:valAx>
        <c:axId val="1820368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13887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Etirha!$C$1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Etirha!$C$2:$C$67</c:f>
              <c:numCache>
                <c:formatCode>#,##0</c:formatCode>
                <c:ptCount val="66"/>
                <c:pt idx="0">
                  <c:v>74668534.21618323</c:v>
                </c:pt>
                <c:pt idx="1">
                  <c:v>74571591.14769122</c:v>
                </c:pt>
                <c:pt idx="2">
                  <c:v>74437603.46146059</c:v>
                </c:pt>
                <c:pt idx="3">
                  <c:v>74259380.947187349</c:v>
                </c:pt>
                <c:pt idx="4">
                  <c:v>74052035.248491585</c:v>
                </c:pt>
                <c:pt idx="5">
                  <c:v>73933741.262471631</c:v>
                </c:pt>
                <c:pt idx="6">
                  <c:v>73756725.122178406</c:v>
                </c:pt>
                <c:pt idx="7">
                  <c:v>73558118.203030229</c:v>
                </c:pt>
                <c:pt idx="8">
                  <c:v>73294258.871094286</c:v>
                </c:pt>
                <c:pt idx="9">
                  <c:v>72958649.085301906</c:v>
                </c:pt>
                <c:pt idx="10">
                  <c:v>72617347.551808417</c:v>
                </c:pt>
                <c:pt idx="11">
                  <c:v>72191418.184519753</c:v>
                </c:pt>
                <c:pt idx="12">
                  <c:v>71739459.589108378</c:v>
                </c:pt>
                <c:pt idx="13">
                  <c:v>71226627.868455485</c:v>
                </c:pt>
                <c:pt idx="14">
                  <c:v>70738531.997671559</c:v>
                </c:pt>
                <c:pt idx="15">
                  <c:v>70184077.783184394</c:v>
                </c:pt>
                <c:pt idx="16">
                  <c:v>69502948.884120017</c:v>
                </c:pt>
                <c:pt idx="17">
                  <c:v>68631330.980665565</c:v>
                </c:pt>
                <c:pt idx="18">
                  <c:v>67918189.985814512</c:v>
                </c:pt>
                <c:pt idx="19">
                  <c:v>67079693.813150145</c:v>
                </c:pt>
                <c:pt idx="20">
                  <c:v>66402389.440853439</c:v>
                </c:pt>
                <c:pt idx="21">
                  <c:v>65836198.136876307</c:v>
                </c:pt>
                <c:pt idx="22">
                  <c:v>64927217.09751115</c:v>
                </c:pt>
                <c:pt idx="23">
                  <c:v>64163669.431278929</c:v>
                </c:pt>
                <c:pt idx="24">
                  <c:v>63327743.220764831</c:v>
                </c:pt>
                <c:pt idx="25">
                  <c:v>62651111.219593227</c:v>
                </c:pt>
                <c:pt idx="26">
                  <c:v>62209424.307013422</c:v>
                </c:pt>
                <c:pt idx="27">
                  <c:v>61734071.952975512</c:v>
                </c:pt>
                <c:pt idx="28">
                  <c:v>61311025.87444187</c:v>
                </c:pt>
                <c:pt idx="29">
                  <c:v>60854616.252547756</c:v>
                </c:pt>
                <c:pt idx="30">
                  <c:v>60395609.619440012</c:v>
                </c:pt>
                <c:pt idx="31">
                  <c:v>59904393.591985732</c:v>
                </c:pt>
                <c:pt idx="32">
                  <c:v>59281933.292415373</c:v>
                </c:pt>
                <c:pt idx="33">
                  <c:v>58741511.387649</c:v>
                </c:pt>
                <c:pt idx="34">
                  <c:v>58033502.655254893</c:v>
                </c:pt>
                <c:pt idx="35">
                  <c:v>57187133.085588194</c:v>
                </c:pt>
                <c:pt idx="36">
                  <c:v>56236732.309556693</c:v>
                </c:pt>
                <c:pt idx="37">
                  <c:v>55274948.21069067</c:v>
                </c:pt>
                <c:pt idx="38">
                  <c:v>54560209.466677189</c:v>
                </c:pt>
                <c:pt idx="39">
                  <c:v>53685141.657657377</c:v>
                </c:pt>
                <c:pt idx="40">
                  <c:v>52834506.109297685</c:v>
                </c:pt>
                <c:pt idx="41">
                  <c:v>52012705.364537984</c:v>
                </c:pt>
                <c:pt idx="42">
                  <c:v>51233949.334651276</c:v>
                </c:pt>
                <c:pt idx="43">
                  <c:v>50481770.947533041</c:v>
                </c:pt>
                <c:pt idx="44">
                  <c:v>49725936.709547907</c:v>
                </c:pt>
                <c:pt idx="45">
                  <c:v>48947668.776009358</c:v>
                </c:pt>
                <c:pt idx="46">
                  <c:v>48148405.248877987</c:v>
                </c:pt>
                <c:pt idx="47">
                  <c:v>47324951.099742465</c:v>
                </c:pt>
                <c:pt idx="48">
                  <c:v>46474468.329315983</c:v>
                </c:pt>
                <c:pt idx="49">
                  <c:v>45585550.102320723</c:v>
                </c:pt>
                <c:pt idx="50">
                  <c:v>44656690.930956826</c:v>
                </c:pt>
                <c:pt idx="51">
                  <c:v>43940461.409974247</c:v>
                </c:pt>
                <c:pt idx="52">
                  <c:v>43329515.245019473</c:v>
                </c:pt>
                <c:pt idx="53">
                  <c:v>42642963.532151826</c:v>
                </c:pt>
                <c:pt idx="54">
                  <c:v>41872509.359929129</c:v>
                </c:pt>
                <c:pt idx="55">
                  <c:v>41847400.919377506</c:v>
                </c:pt>
                <c:pt idx="56">
                  <c:v>40826732.604270741</c:v>
                </c:pt>
                <c:pt idx="57">
                  <c:v>40026208.435559548</c:v>
                </c:pt>
                <c:pt idx="58">
                  <c:v>39202946.55784481</c:v>
                </c:pt>
                <c:pt idx="59">
                  <c:v>38359047.51256831</c:v>
                </c:pt>
                <c:pt idx="60">
                  <c:v>37496625.13447538</c:v>
                </c:pt>
                <c:pt idx="61">
                  <c:v>36761397.190662138</c:v>
                </c:pt>
                <c:pt idx="62">
                  <c:v>36005286.180863999</c:v>
                </c:pt>
                <c:pt idx="63">
                  <c:v>35230221.311999999</c:v>
                </c:pt>
                <c:pt idx="64">
                  <c:v>34438144</c:v>
                </c:pt>
                <c:pt idx="65">
                  <c:v>33631000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A9-4530-BEBE-3F565FA2B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49179"/>
        <c:axId val="545668295"/>
      </c:lineChart>
      <c:catAx>
        <c:axId val="1492549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5668295"/>
        <c:crosses val="autoZero"/>
        <c:auto val="1"/>
        <c:lblAlgn val="ctr"/>
        <c:lblOffset val="100"/>
        <c:noMultiLvlLbl val="1"/>
      </c:catAx>
      <c:valAx>
        <c:axId val="545668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25491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Etretes!$D$1:$D$67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9.8000000000000014E-3</c:v>
                </c:pt>
                <c:pt idx="2">
                  <c:v>9.1999999999999981E-3</c:v>
                </c:pt>
                <c:pt idx="3">
                  <c:v>8.7000000000000011E-3</c:v>
                </c:pt>
                <c:pt idx="4">
                  <c:v>8.4999999999999989E-3</c:v>
                </c:pt>
                <c:pt idx="5">
                  <c:v>8.4999999999999989E-3</c:v>
                </c:pt>
                <c:pt idx="6">
                  <c:v>8.3000000000000001E-3</c:v>
                </c:pt>
                <c:pt idx="7">
                  <c:v>1.3900000000000001E-2</c:v>
                </c:pt>
                <c:pt idx="8">
                  <c:v>7.7999999999999996E-3</c:v>
                </c:pt>
                <c:pt idx="9">
                  <c:v>7.7999999999999996E-3</c:v>
                </c:pt>
                <c:pt idx="10">
                  <c:v>7.7000000000000002E-3</c:v>
                </c:pt>
                <c:pt idx="11">
                  <c:v>7.6000000000000009E-3</c:v>
                </c:pt>
                <c:pt idx="12">
                  <c:v>7.7000000000000002E-3</c:v>
                </c:pt>
                <c:pt idx="13">
                  <c:v>8.1000000000000013E-3</c:v>
                </c:pt>
                <c:pt idx="14">
                  <c:v>1.01E-2</c:v>
                </c:pt>
                <c:pt idx="15">
                  <c:v>1.3599999999999999E-2</c:v>
                </c:pt>
                <c:pt idx="16">
                  <c:v>1.6399999999999998E-2</c:v>
                </c:pt>
                <c:pt idx="17">
                  <c:v>1.5499999999999998E-2</c:v>
                </c:pt>
                <c:pt idx="18">
                  <c:v>1.29E-2</c:v>
                </c:pt>
                <c:pt idx="19">
                  <c:v>1.5000000000000001E-2</c:v>
                </c:pt>
                <c:pt idx="20">
                  <c:v>1.6199999999999999E-2</c:v>
                </c:pt>
                <c:pt idx="21">
                  <c:v>1.67E-2</c:v>
                </c:pt>
                <c:pt idx="22">
                  <c:v>1.5899999999999997E-2</c:v>
                </c:pt>
                <c:pt idx="23">
                  <c:v>1.6599999999999997E-2</c:v>
                </c:pt>
                <c:pt idx="24">
                  <c:v>2.4599999999999997E-2</c:v>
                </c:pt>
                <c:pt idx="25">
                  <c:v>5.0199999999999995E-2</c:v>
                </c:pt>
                <c:pt idx="26">
                  <c:v>2.0900000000000002E-2</c:v>
                </c:pt>
                <c:pt idx="27">
                  <c:v>7.000000000000001E-3</c:v>
                </c:pt>
                <c:pt idx="28">
                  <c:v>6.6E-3</c:v>
                </c:pt>
                <c:pt idx="29">
                  <c:v>6.1999999999999989E-3</c:v>
                </c:pt>
                <c:pt idx="30">
                  <c:v>5.4999999999999997E-3</c:v>
                </c:pt>
                <c:pt idx="31">
                  <c:v>7.6000000000000009E-3</c:v>
                </c:pt>
                <c:pt idx="32">
                  <c:v>3.1000000000000003E-3</c:v>
                </c:pt>
                <c:pt idx="33">
                  <c:v>8.2000000000000007E-3</c:v>
                </c:pt>
                <c:pt idx="34">
                  <c:v>8.8000000000000005E-3</c:v>
                </c:pt>
                <c:pt idx="35">
                  <c:v>9.9000000000000008E-3</c:v>
                </c:pt>
                <c:pt idx="36">
                  <c:v>1.4E-2</c:v>
                </c:pt>
                <c:pt idx="37">
                  <c:v>1.5699999999999999E-2</c:v>
                </c:pt>
                <c:pt idx="38">
                  <c:v>1.11E-2</c:v>
                </c:pt>
                <c:pt idx="39">
                  <c:v>1.24E-2</c:v>
                </c:pt>
                <c:pt idx="40">
                  <c:v>1.23E-2</c:v>
                </c:pt>
                <c:pt idx="41">
                  <c:v>1.2800000000000001E-2</c:v>
                </c:pt>
                <c:pt idx="42">
                  <c:v>1.9799999999999998E-2</c:v>
                </c:pt>
                <c:pt idx="43">
                  <c:v>3.0499999999999999E-2</c:v>
                </c:pt>
                <c:pt idx="44">
                  <c:v>1.5399999999999999E-2</c:v>
                </c:pt>
                <c:pt idx="45">
                  <c:v>2.1399999999999995E-2</c:v>
                </c:pt>
                <c:pt idx="46">
                  <c:v>2.3199999999999998E-2</c:v>
                </c:pt>
                <c:pt idx="47">
                  <c:v>1.6100000000000003E-2</c:v>
                </c:pt>
                <c:pt idx="48">
                  <c:v>1.0899999999999998E-2</c:v>
                </c:pt>
                <c:pt idx="49">
                  <c:v>3.32E-2</c:v>
                </c:pt>
                <c:pt idx="50">
                  <c:v>1.5399999999999999E-2</c:v>
                </c:pt>
                <c:pt idx="51">
                  <c:v>2.4899999999999999E-2</c:v>
                </c:pt>
                <c:pt idx="52">
                  <c:v>2.9600000000000001E-2</c:v>
                </c:pt>
                <c:pt idx="53">
                  <c:v>2.6799999999999997E-2</c:v>
                </c:pt>
                <c:pt idx="54">
                  <c:v>3.8199999999999998E-2</c:v>
                </c:pt>
                <c:pt idx="55">
                  <c:v>2.3E-2</c:v>
                </c:pt>
                <c:pt idx="56">
                  <c:v>2.5000000000000001E-2</c:v>
                </c:pt>
                <c:pt idx="57">
                  <c:v>1.9999999999999997E-2</c:v>
                </c:pt>
                <c:pt idx="58">
                  <c:v>2.5000000000000001E-2</c:v>
                </c:pt>
                <c:pt idx="59">
                  <c:v>4.8000000000000001E-2</c:v>
                </c:pt>
                <c:pt idx="60">
                  <c:v>0.04</c:v>
                </c:pt>
                <c:pt idx="61">
                  <c:v>0.03</c:v>
                </c:pt>
                <c:pt idx="62">
                  <c:v>1.9999999999999997E-2</c:v>
                </c:pt>
                <c:pt idx="63">
                  <c:v>1.5000000000000001E-2</c:v>
                </c:pt>
                <c:pt idx="64">
                  <c:v>2.5000000000000001E-2</c:v>
                </c:pt>
                <c:pt idx="65">
                  <c:v>0.03</c:v>
                </c:pt>
                <c:pt idx="66">
                  <c:v>1.9999999999999997E-2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00-40EC-A832-B58EAF22D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660447"/>
        <c:axId val="962330336"/>
      </c:lineChart>
      <c:catAx>
        <c:axId val="1535660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2330336"/>
        <c:crosses val="autoZero"/>
        <c:auto val="1"/>
        <c:lblAlgn val="ctr"/>
        <c:lblOffset val="100"/>
        <c:noMultiLvlLbl val="1"/>
      </c:catAx>
      <c:valAx>
        <c:axId val="962330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56604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Etretes!$C$1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Etretes!$C$2:$C$67</c:f>
              <c:numCache>
                <c:formatCode>#,##0</c:formatCode>
                <c:ptCount val="66"/>
                <c:pt idx="0">
                  <c:v>21372715.598931681</c:v>
                </c:pt>
                <c:pt idx="1">
                  <c:v>21165295.701061279</c:v>
                </c:pt>
                <c:pt idx="2">
                  <c:v>20972350.08032231</c:v>
                </c:pt>
                <c:pt idx="3">
                  <c:v>20791464.340559445</c:v>
                </c:pt>
                <c:pt idx="4">
                  <c:v>20616226.416023247</c:v>
                </c:pt>
                <c:pt idx="5">
                  <c:v>20442465.459616508</c:v>
                </c:pt>
                <c:pt idx="6">
                  <c:v>20274189.685229108</c:v>
                </c:pt>
                <c:pt idx="7">
                  <c:v>19996241.922506269</c:v>
                </c:pt>
                <c:pt idx="8">
                  <c:v>19841478.391056031</c:v>
                </c:pt>
                <c:pt idx="9">
                  <c:v>19687912.672212772</c:v>
                </c:pt>
                <c:pt idx="10">
                  <c:v>19537474.121477395</c:v>
                </c:pt>
                <c:pt idx="11">
                  <c:v>19390109.290866807</c:v>
                </c:pt>
                <c:pt idx="12">
                  <c:v>19241946.304323517</c:v>
                </c:pt>
                <c:pt idx="13">
                  <c:v>19087338.859561071</c:v>
                </c:pt>
                <c:pt idx="14">
                  <c:v>18896484.367449827</c:v>
                </c:pt>
                <c:pt idx="15">
                  <c:v>18642940.37830488</c:v>
                </c:pt>
                <c:pt idx="16">
                  <c:v>18342129.455238961</c:v>
                </c:pt>
                <c:pt idx="17">
                  <c:v>18062165.884036396</c:v>
                </c:pt>
                <c:pt idx="18">
                  <c:v>17832131.38911679</c:v>
                </c:pt>
                <c:pt idx="19">
                  <c:v>17568602.353809647</c:v>
                </c:pt>
                <c:pt idx="20">
                  <c:v>17288528.197017957</c:v>
                </c:pt>
                <c:pt idx="21">
                  <c:v>17004552.175684035</c:v>
                </c:pt>
                <c:pt idx="22">
                  <c:v>16738411.433885258</c:v>
                </c:pt>
                <c:pt idx="23">
                  <c:v>16465090.924537929</c:v>
                </c:pt>
                <c:pt idx="24">
                  <c:v>16069774.472514084</c:v>
                </c:pt>
                <c:pt idx="25">
                  <c:v>15301632.520009601</c:v>
                </c:pt>
                <c:pt idx="26">
                  <c:v>14988375.472631602</c:v>
                </c:pt>
                <c:pt idx="27">
                  <c:v>14884186.169445485</c:v>
                </c:pt>
                <c:pt idx="28">
                  <c:v>14786594.644789873</c:v>
                </c:pt>
                <c:pt idx="29">
                  <c:v>14695482.652345331</c:v>
                </c:pt>
                <c:pt idx="30">
                  <c:v>14615099.604520468</c:v>
                </c:pt>
                <c:pt idx="31">
                  <c:v>14504862.648392683</c:v>
                </c:pt>
                <c:pt idx="32">
                  <c:v>14460036.535133766</c:v>
                </c:pt>
                <c:pt idx="33">
                  <c:v>14342428.620446108</c:v>
                </c:pt>
                <c:pt idx="34">
                  <c:v>14217316.237555619</c:v>
                </c:pt>
                <c:pt idx="35">
                  <c:v>14077944.586152708</c:v>
                </c:pt>
                <c:pt idx="36">
                  <c:v>13883574.542556912</c:v>
                </c:pt>
                <c:pt idx="37">
                  <c:v>13668971.687069913</c:v>
                </c:pt>
                <c:pt idx="38">
                  <c:v>13518911.766462181</c:v>
                </c:pt>
                <c:pt idx="39">
                  <c:v>13353330.468650909</c:v>
                </c:pt>
                <c:pt idx="40">
                  <c:v>13191080.182407299</c:v>
                </c:pt>
                <c:pt idx="41">
                  <c:v>13024368.268569609</c:v>
                </c:pt>
                <c:pt idx="42">
                  <c:v>12771492.712855078</c:v>
                </c:pt>
                <c:pt idx="43">
                  <c:v>12393491.230330013</c:v>
                </c:pt>
                <c:pt idx="44">
                  <c:v>12205526.127959436</c:v>
                </c:pt>
                <c:pt idx="45">
                  <c:v>11949800.399412017</c:v>
                </c:pt>
                <c:pt idx="46">
                  <c:v>11678851.054937467</c:v>
                </c:pt>
                <c:pt idx="47">
                  <c:v>11493800.861074172</c:v>
                </c:pt>
                <c:pt idx="48">
                  <c:v>11369869.285858318</c:v>
                </c:pt>
                <c:pt idx="49">
                  <c:v>11004519.246862484</c:v>
                </c:pt>
                <c:pt idx="50">
                  <c:v>10837619.900396379</c:v>
                </c:pt>
                <c:pt idx="51">
                  <c:v>10574319.348615846</c:v>
                </c:pt>
                <c:pt idx="52">
                  <c:v>10270317.937661078</c:v>
                </c:pt>
                <c:pt idx="53">
                  <c:v>10002257.438314257</c:v>
                </c:pt>
                <c:pt idx="54">
                  <c:v>9634229.8577482738</c:v>
                </c:pt>
                <c:pt idx="55">
                  <c:v>9417624.4943775907</c:v>
                </c:pt>
                <c:pt idx="56">
                  <c:v>9187926.3359781373</c:v>
                </c:pt>
                <c:pt idx="57">
                  <c:v>9007770.9176256247</c:v>
                </c:pt>
                <c:pt idx="58">
                  <c:v>8788069.1879274398</c:v>
                </c:pt>
                <c:pt idx="59">
                  <c:v>8385562.2022208385</c:v>
                </c:pt>
                <c:pt idx="60">
                  <c:v>8063040.5790584981</c:v>
                </c:pt>
                <c:pt idx="61">
                  <c:v>7828194.736949998</c:v>
                </c:pt>
                <c:pt idx="62">
                  <c:v>7674700.7224999983</c:v>
                </c:pt>
                <c:pt idx="63">
                  <c:v>7561281.4999999991</c:v>
                </c:pt>
                <c:pt idx="64">
                  <c:v>7376860</c:v>
                </c:pt>
                <c:pt idx="65">
                  <c:v>7162000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F-4A37-B51E-F12C6DBC1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040811"/>
        <c:axId val="31442157"/>
      </c:lineChart>
      <c:catAx>
        <c:axId val="1193040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442157"/>
        <c:crosses val="autoZero"/>
        <c:auto val="1"/>
        <c:lblAlgn val="ctr"/>
        <c:lblOffset val="100"/>
        <c:noMultiLvlLbl val="1"/>
      </c:catAx>
      <c:valAx>
        <c:axId val="31442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30408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Exilium!$D$1:$D$67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1.17E-2</c:v>
                </c:pt>
                <c:pt idx="2">
                  <c:v>1.2E-2</c:v>
                </c:pt>
                <c:pt idx="3">
                  <c:v>1.21E-2</c:v>
                </c:pt>
                <c:pt idx="4">
                  <c:v>1.17E-2</c:v>
                </c:pt>
                <c:pt idx="5">
                  <c:v>1.12E-2</c:v>
                </c:pt>
                <c:pt idx="6">
                  <c:v>1.0500000000000001E-2</c:v>
                </c:pt>
                <c:pt idx="7">
                  <c:v>0.01</c:v>
                </c:pt>
                <c:pt idx="8">
                  <c:v>9.9000000000000008E-3</c:v>
                </c:pt>
                <c:pt idx="9">
                  <c:v>1.0500000000000001E-2</c:v>
                </c:pt>
                <c:pt idx="10">
                  <c:v>9.2999999999999992E-3</c:v>
                </c:pt>
                <c:pt idx="11">
                  <c:v>8.8999999999999999E-3</c:v>
                </c:pt>
                <c:pt idx="12">
                  <c:v>9.4999999999999998E-3</c:v>
                </c:pt>
                <c:pt idx="13">
                  <c:v>9.7000000000000003E-3</c:v>
                </c:pt>
                <c:pt idx="14">
                  <c:v>1.06E-2</c:v>
                </c:pt>
                <c:pt idx="15">
                  <c:v>1.3899999999999999E-2</c:v>
                </c:pt>
                <c:pt idx="16">
                  <c:v>1.7899999999999999E-2</c:v>
                </c:pt>
                <c:pt idx="17">
                  <c:v>1.9699999999999999E-2</c:v>
                </c:pt>
                <c:pt idx="18">
                  <c:v>2.06E-2</c:v>
                </c:pt>
                <c:pt idx="19">
                  <c:v>2.1600000000000001E-2</c:v>
                </c:pt>
                <c:pt idx="20">
                  <c:v>2.2700000000000001E-2</c:v>
                </c:pt>
                <c:pt idx="21">
                  <c:v>2.3900000000000001E-2</c:v>
                </c:pt>
                <c:pt idx="22">
                  <c:v>2.4E-2</c:v>
                </c:pt>
                <c:pt idx="23">
                  <c:v>2.5899999999999999E-2</c:v>
                </c:pt>
                <c:pt idx="24">
                  <c:v>2.5499999999999998E-2</c:v>
                </c:pt>
                <c:pt idx="25">
                  <c:v>2.4500000000000001E-2</c:v>
                </c:pt>
                <c:pt idx="26">
                  <c:v>2.3900000000000001E-2</c:v>
                </c:pt>
                <c:pt idx="27">
                  <c:v>2.4199999999999999E-2</c:v>
                </c:pt>
                <c:pt idx="28">
                  <c:v>2.5100000000000001E-2</c:v>
                </c:pt>
                <c:pt idx="29">
                  <c:v>2.4299999999999999E-2</c:v>
                </c:pt>
                <c:pt idx="30">
                  <c:v>2.4E-2</c:v>
                </c:pt>
                <c:pt idx="31">
                  <c:v>2.4299999999999999E-2</c:v>
                </c:pt>
                <c:pt idx="32">
                  <c:v>2.3900000000000001E-2</c:v>
                </c:pt>
                <c:pt idx="33">
                  <c:v>2.3599999999999999E-2</c:v>
                </c:pt>
                <c:pt idx="34">
                  <c:v>2.3400000000000001E-2</c:v>
                </c:pt>
                <c:pt idx="35">
                  <c:v>2.3599999999999999E-2</c:v>
                </c:pt>
                <c:pt idx="36">
                  <c:v>2.4299999999999999E-2</c:v>
                </c:pt>
                <c:pt idx="37">
                  <c:v>2.5000000000000001E-2</c:v>
                </c:pt>
                <c:pt idx="38">
                  <c:v>2.5100000000000001E-2</c:v>
                </c:pt>
                <c:pt idx="39">
                  <c:v>2.5899999999999999E-2</c:v>
                </c:pt>
                <c:pt idx="40">
                  <c:v>2.6499999999999999E-2</c:v>
                </c:pt>
                <c:pt idx="41">
                  <c:v>2.6200000000000001E-2</c:v>
                </c:pt>
                <c:pt idx="42">
                  <c:v>2.6200000000000001E-2</c:v>
                </c:pt>
                <c:pt idx="43">
                  <c:v>2.6100000000000002E-2</c:v>
                </c:pt>
                <c:pt idx="44">
                  <c:v>2.5499999999999998E-2</c:v>
                </c:pt>
                <c:pt idx="45">
                  <c:v>2.4199999999999999E-2</c:v>
                </c:pt>
                <c:pt idx="46">
                  <c:v>2.3199999999999998E-2</c:v>
                </c:pt>
                <c:pt idx="47">
                  <c:v>2.2700000000000001E-2</c:v>
                </c:pt>
                <c:pt idx="48">
                  <c:v>2.1999999999999999E-2</c:v>
                </c:pt>
                <c:pt idx="49">
                  <c:v>2.1299999999999999E-2</c:v>
                </c:pt>
                <c:pt idx="50">
                  <c:v>2.0400000000000001E-2</c:v>
                </c:pt>
                <c:pt idx="51">
                  <c:v>1.9699999999999999E-2</c:v>
                </c:pt>
                <c:pt idx="52">
                  <c:v>1.9199999999999998E-2</c:v>
                </c:pt>
                <c:pt idx="53">
                  <c:v>1.8800000000000001E-2</c:v>
                </c:pt>
                <c:pt idx="54">
                  <c:v>1.8599999999999998E-2</c:v>
                </c:pt>
                <c:pt idx="55">
                  <c:v>1.8499999999999999E-2</c:v>
                </c:pt>
                <c:pt idx="56">
                  <c:v>1.8499999999999999E-2</c:v>
                </c:pt>
                <c:pt idx="57">
                  <c:v>1.8499999999999999E-2</c:v>
                </c:pt>
                <c:pt idx="58">
                  <c:v>1.8499999999999999E-2</c:v>
                </c:pt>
                <c:pt idx="59">
                  <c:v>1.8499999999999999E-2</c:v>
                </c:pt>
                <c:pt idx="60">
                  <c:v>1.8499999999999999E-2</c:v>
                </c:pt>
                <c:pt idx="61">
                  <c:v>1.8499999999999999E-2</c:v>
                </c:pt>
                <c:pt idx="62">
                  <c:v>1.8499999999999999E-2</c:v>
                </c:pt>
                <c:pt idx="63">
                  <c:v>1.7999999999999999E-2</c:v>
                </c:pt>
                <c:pt idx="64">
                  <c:v>1.7999999999999999E-2</c:v>
                </c:pt>
                <c:pt idx="65">
                  <c:v>1.7999999999999999E-2</c:v>
                </c:pt>
                <c:pt idx="66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05-49FB-B464-757428BCB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46706"/>
        <c:axId val="1218639935"/>
      </c:lineChart>
      <c:catAx>
        <c:axId val="54646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8639935"/>
        <c:crosses val="autoZero"/>
        <c:auto val="1"/>
        <c:lblAlgn val="ctr"/>
        <c:lblOffset val="100"/>
        <c:noMultiLvlLbl val="1"/>
      </c:catAx>
      <c:valAx>
        <c:axId val="1218639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646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Exilium!$C$1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Exilium!$C$2:$C$67</c:f>
              <c:numCache>
                <c:formatCode>#,##0</c:formatCode>
                <c:ptCount val="66"/>
                <c:pt idx="0">
                  <c:v>25083181.24625165</c:v>
                </c:pt>
                <c:pt idx="1">
                  <c:v>24793101.953396905</c:v>
                </c:pt>
                <c:pt idx="2">
                  <c:v>24499112.602170855</c:v>
                </c:pt>
                <c:pt idx="3">
                  <c:v>24206217.371970017</c:v>
                </c:pt>
                <c:pt idx="4">
                  <c:v>23926279.897173092</c:v>
                </c:pt>
                <c:pt idx="5">
                  <c:v>23661273.632489212</c:v>
                </c:pt>
                <c:pt idx="6">
                  <c:v>23415411.808499962</c:v>
                </c:pt>
                <c:pt idx="7">
                  <c:v>23183576.048019763</c:v>
                </c:pt>
                <c:pt idx="8">
                  <c:v>22956308.592949562</c:v>
                </c:pt>
                <c:pt idx="9">
                  <c:v>22717771.987085167</c:v>
                </c:pt>
                <c:pt idx="10">
                  <c:v>22508443.462880377</c:v>
                </c:pt>
                <c:pt idx="11">
                  <c:v>22309885.48208978</c:v>
                </c:pt>
                <c:pt idx="12">
                  <c:v>22099936.089241982</c:v>
                </c:pt>
                <c:pt idx="13">
                  <c:v>21887626.115917578</c:v>
                </c:pt>
                <c:pt idx="14">
                  <c:v>21658050.777674232</c:v>
                </c:pt>
                <c:pt idx="15">
                  <c:v>21361131.055995889</c:v>
                </c:pt>
                <c:pt idx="16">
                  <c:v>20985490.77119156</c:v>
                </c:pt>
                <c:pt idx="17">
                  <c:v>20580063.519850504</c:v>
                </c:pt>
                <c:pt idx="18">
                  <c:v>20164671.291250739</c:v>
                </c:pt>
                <c:pt idx="19">
                  <c:v>19738323.503573548</c:v>
                </c:pt>
                <c:pt idx="20">
                  <c:v>19300208.76461675</c:v>
                </c:pt>
                <c:pt idx="21">
                  <c:v>18849700.912800811</c:v>
                </c:pt>
                <c:pt idx="22">
                  <c:v>18407911.047657043</c:v>
                </c:pt>
                <c:pt idx="23">
                  <c:v>17943182.617854606</c:v>
                </c:pt>
                <c:pt idx="24">
                  <c:v>17497008.891130771</c:v>
                </c:pt>
                <c:pt idx="25">
                  <c:v>17078583.593099825</c:v>
                </c:pt>
                <c:pt idx="26">
                  <c:v>16679933.189862121</c:v>
                </c:pt>
                <c:pt idx="27">
                  <c:v>16285816.432202812</c:v>
                </c:pt>
                <c:pt idx="28">
                  <c:v>15887051.441032888</c:v>
                </c:pt>
                <c:pt idx="29">
                  <c:v>15510154.682254113</c:v>
                </c:pt>
                <c:pt idx="30">
                  <c:v>15146635.431888781</c:v>
                </c:pt>
                <c:pt idx="31">
                  <c:v>14787303.946000958</c:v>
                </c:pt>
                <c:pt idx="32">
                  <c:v>14442136.874695729</c:v>
                </c:pt>
                <c:pt idx="33">
                  <c:v>14109160.682586683</c:v>
                </c:pt>
                <c:pt idx="34">
                  <c:v>13786555.288828105</c:v>
                </c:pt>
                <c:pt idx="35">
                  <c:v>13468694.107882086</c:v>
                </c:pt>
                <c:pt idx="36">
                  <c:v>13149169.294036988</c:v>
                </c:pt>
                <c:pt idx="37">
                  <c:v>12828457.847840965</c:v>
                </c:pt>
                <c:pt idx="38">
                  <c:v>12514347.720067278</c:v>
                </c:pt>
                <c:pt idx="39">
                  <c:v>12198408.92881107</c:v>
                </c:pt>
                <c:pt idx="40">
                  <c:v>11883496.277458422</c:v>
                </c:pt>
                <c:pt idx="41">
                  <c:v>11580097.717266051</c:v>
                </c:pt>
                <c:pt idx="42">
                  <c:v>11284445.251672238</c:v>
                </c:pt>
                <c:pt idx="43">
                  <c:v>10997412.778162204</c:v>
                </c:pt>
                <c:pt idx="44">
                  <c:v>10723952.002108438</c:v>
                </c:pt>
                <c:pt idx="45">
                  <c:v>10470564.344960397</c:v>
                </c:pt>
                <c:pt idx="46">
                  <c:v>10233155.145582873</c:v>
                </c:pt>
                <c:pt idx="47">
                  <c:v>10006018.525063923</c:v>
                </c:pt>
                <c:pt idx="48">
                  <c:v>9790624.7799059898</c:v>
                </c:pt>
                <c:pt idx="49">
                  <c:v>9586433.7412180454</c:v>
                </c:pt>
                <c:pt idx="50">
                  <c:v>9394780.2246354818</c:v>
                </c:pt>
                <c:pt idx="51">
                  <c:v>9213278.6355158202</c:v>
                </c:pt>
                <c:pt idx="52">
                  <c:v>9039716.0866520982</c:v>
                </c:pt>
                <c:pt idx="53">
                  <c:v>8872905.4639302101</c:v>
                </c:pt>
                <c:pt idx="54">
                  <c:v>8710883.0393974185</c:v>
                </c:pt>
                <c:pt idx="55">
                  <c:v>8552658.8506602049</c:v>
                </c:pt>
                <c:pt idx="56">
                  <c:v>8397308.6408053078</c:v>
                </c:pt>
                <c:pt idx="57">
                  <c:v>8244780.206976248</c:v>
                </c:pt>
                <c:pt idx="58">
                  <c:v>8095022.2945274897</c:v>
                </c:pt>
                <c:pt idx="59">
                  <c:v>7947984.5798011683</c:v>
                </c:pt>
                <c:pt idx="60">
                  <c:v>7803617.65321666</c:v>
                </c:pt>
                <c:pt idx="61">
                  <c:v>7661873.0026673153</c:v>
                </c:pt>
                <c:pt idx="62">
                  <c:v>7522702.9972187681</c:v>
                </c:pt>
                <c:pt idx="63">
                  <c:v>7389688.602376</c:v>
                </c:pt>
                <c:pt idx="64">
                  <c:v>7259026.1320000002</c:v>
                </c:pt>
                <c:pt idx="65">
                  <c:v>7130674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7-4DD2-B64A-AACD12824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409463"/>
        <c:axId val="842482112"/>
      </c:lineChart>
      <c:catAx>
        <c:axId val="283409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2482112"/>
        <c:crosses val="autoZero"/>
        <c:auto val="1"/>
        <c:lblAlgn val="ctr"/>
        <c:lblOffset val="100"/>
        <c:noMultiLvlLbl val="1"/>
      </c:catAx>
      <c:valAx>
        <c:axId val="842482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34094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'Far Lands'!$D$1:$D$67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9.4000000000000004E-3</c:v>
                </c:pt>
                <c:pt idx="2">
                  <c:v>7.3000000000000001E-3</c:v>
                </c:pt>
                <c:pt idx="3">
                  <c:v>5.3E-3</c:v>
                </c:pt>
                <c:pt idx="4">
                  <c:v>4.1999999999999997E-3</c:v>
                </c:pt>
                <c:pt idx="5">
                  <c:v>4.4000000000000003E-3</c:v>
                </c:pt>
                <c:pt idx="6">
                  <c:v>5.4000000000000003E-3</c:v>
                </c:pt>
                <c:pt idx="7">
                  <c:v>1.0200000000000001E-2</c:v>
                </c:pt>
                <c:pt idx="8">
                  <c:v>2.0400000000000001E-2</c:v>
                </c:pt>
                <c:pt idx="9">
                  <c:v>2.8899999999999999E-2</c:v>
                </c:pt>
                <c:pt idx="10">
                  <c:v>2.7E-2</c:v>
                </c:pt>
                <c:pt idx="11">
                  <c:v>2.18E-2</c:v>
                </c:pt>
                <c:pt idx="12">
                  <c:v>1.83E-2</c:v>
                </c:pt>
                <c:pt idx="13">
                  <c:v>1.6299999999999999E-2</c:v>
                </c:pt>
                <c:pt idx="14">
                  <c:v>1.6899999999999998E-2</c:v>
                </c:pt>
                <c:pt idx="15">
                  <c:v>1.5900000000000001E-2</c:v>
                </c:pt>
                <c:pt idx="16">
                  <c:v>1.3299999999999999E-2</c:v>
                </c:pt>
                <c:pt idx="17">
                  <c:v>1.1299999999999999E-2</c:v>
                </c:pt>
                <c:pt idx="18">
                  <c:v>1.04E-2</c:v>
                </c:pt>
                <c:pt idx="19">
                  <c:v>0.01</c:v>
                </c:pt>
                <c:pt idx="20">
                  <c:v>7.9000000000000008E-3</c:v>
                </c:pt>
                <c:pt idx="21">
                  <c:v>5.1000000000000004E-3</c:v>
                </c:pt>
                <c:pt idx="22">
                  <c:v>3.8999999999999998E-3</c:v>
                </c:pt>
                <c:pt idx="23">
                  <c:v>5.0000000000000001E-3</c:v>
                </c:pt>
                <c:pt idx="24">
                  <c:v>6.7999999999999996E-3</c:v>
                </c:pt>
                <c:pt idx="25">
                  <c:v>5.7000000000000002E-3</c:v>
                </c:pt>
                <c:pt idx="26">
                  <c:v>8.0000000000000004E-4</c:v>
                </c:pt>
                <c:pt idx="27">
                  <c:v>-4.0000000000000001E-3</c:v>
                </c:pt>
                <c:pt idx="28">
                  <c:v>-4.3E-3</c:v>
                </c:pt>
                <c:pt idx="29">
                  <c:v>1E-4</c:v>
                </c:pt>
                <c:pt idx="30">
                  <c:v>5.0000000000000001E-4</c:v>
                </c:pt>
                <c:pt idx="31">
                  <c:v>1.6000000000000001E-3</c:v>
                </c:pt>
                <c:pt idx="32">
                  <c:v>6.1999999999999998E-3</c:v>
                </c:pt>
                <c:pt idx="33">
                  <c:v>7.1000000000000004E-3</c:v>
                </c:pt>
                <c:pt idx="34">
                  <c:v>9.4999999999999998E-3</c:v>
                </c:pt>
                <c:pt idx="35">
                  <c:v>1.17E-2</c:v>
                </c:pt>
                <c:pt idx="36">
                  <c:v>1.15E-2</c:v>
                </c:pt>
                <c:pt idx="37">
                  <c:v>1.3299999999999999E-2</c:v>
                </c:pt>
                <c:pt idx="38">
                  <c:v>1.4200000000000001E-2</c:v>
                </c:pt>
                <c:pt idx="39">
                  <c:v>1.35E-2</c:v>
                </c:pt>
                <c:pt idx="40">
                  <c:v>1.5100000000000001E-2</c:v>
                </c:pt>
                <c:pt idx="41">
                  <c:v>1.6500000000000001E-2</c:v>
                </c:pt>
                <c:pt idx="42">
                  <c:v>1.66E-2</c:v>
                </c:pt>
                <c:pt idx="43">
                  <c:v>1.6E-2</c:v>
                </c:pt>
                <c:pt idx="44">
                  <c:v>1.49E-2</c:v>
                </c:pt>
                <c:pt idx="45">
                  <c:v>1.17E-2</c:v>
                </c:pt>
                <c:pt idx="46">
                  <c:v>8.3999999999999995E-3</c:v>
                </c:pt>
                <c:pt idx="47">
                  <c:v>5.7999999999999996E-3</c:v>
                </c:pt>
                <c:pt idx="48">
                  <c:v>4.4999999999999997E-3</c:v>
                </c:pt>
                <c:pt idx="49">
                  <c:v>4.7000000000000002E-3</c:v>
                </c:pt>
                <c:pt idx="50">
                  <c:v>4.0000000000000001E-3</c:v>
                </c:pt>
                <c:pt idx="51">
                  <c:v>3.7000000000000002E-3</c:v>
                </c:pt>
                <c:pt idx="52">
                  <c:v>4.8999999999999998E-3</c:v>
                </c:pt>
                <c:pt idx="53">
                  <c:v>5.7999999999999996E-3</c:v>
                </c:pt>
                <c:pt idx="54">
                  <c:v>4.1000000000000003E-3</c:v>
                </c:pt>
                <c:pt idx="55">
                  <c:v>-1.5E-3</c:v>
                </c:pt>
                <c:pt idx="56">
                  <c:v>-2E-3</c:v>
                </c:pt>
                <c:pt idx="57">
                  <c:v>-3.0000000000000001E-3</c:v>
                </c:pt>
                <c:pt idx="58">
                  <c:v>-5.0000000000000001E-3</c:v>
                </c:pt>
                <c:pt idx="59">
                  <c:v>-8.0000000000000002E-3</c:v>
                </c:pt>
                <c:pt idx="60">
                  <c:v>-7.0000000000000001E-3</c:v>
                </c:pt>
                <c:pt idx="61">
                  <c:v>-7.0000000000000001E-3</c:v>
                </c:pt>
                <c:pt idx="62">
                  <c:v>-7.0000000000000001E-3</c:v>
                </c:pt>
                <c:pt idx="63">
                  <c:v>-6.0000000000000001E-3</c:v>
                </c:pt>
                <c:pt idx="64">
                  <c:v>-5.0000000000000001E-3</c:v>
                </c:pt>
                <c:pt idx="65">
                  <c:v>-5.0000000000000001E-3</c:v>
                </c:pt>
                <c:pt idx="66">
                  <c:v>-4.0000000000000001E-3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7E-4CCA-A9C5-68DEFF821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666102"/>
        <c:axId val="1822108801"/>
      </c:lineChart>
      <c:catAx>
        <c:axId val="1601666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22108801"/>
        <c:crosses val="autoZero"/>
        <c:auto val="1"/>
        <c:lblAlgn val="ctr"/>
        <c:lblOffset val="100"/>
        <c:noMultiLvlLbl val="1"/>
      </c:catAx>
      <c:valAx>
        <c:axId val="1822108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16661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'Far Lands'!$C$1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'Far Lands'!$C$2:$C$67</c:f>
              <c:numCache>
                <c:formatCode>#,##0</c:formatCode>
                <c:ptCount val="66"/>
                <c:pt idx="0">
                  <c:v>1440839.0172801921</c:v>
                </c:pt>
                <c:pt idx="1">
                  <c:v>1427421.2574600673</c:v>
                </c:pt>
                <c:pt idx="2">
                  <c:v>1417076.5982925317</c:v>
                </c:pt>
                <c:pt idx="3">
                  <c:v>1409605.6881453611</c:v>
                </c:pt>
                <c:pt idx="4">
                  <c:v>1403710.1057014153</c:v>
                </c:pt>
                <c:pt idx="5">
                  <c:v>1397560.8380141531</c:v>
                </c:pt>
                <c:pt idx="6">
                  <c:v>1390054.5434793644</c:v>
                </c:pt>
                <c:pt idx="7">
                  <c:v>1376019.1481680502</c:v>
                </c:pt>
                <c:pt idx="8">
                  <c:v>1348509.5532811156</c:v>
                </c:pt>
                <c:pt idx="9">
                  <c:v>1310632.2803781861</c:v>
                </c:pt>
                <c:pt idx="10">
                  <c:v>1276175.5407772018</c:v>
                </c:pt>
                <c:pt idx="11">
                  <c:v>1248948.4642564119</c:v>
                </c:pt>
                <c:pt idx="12">
                  <c:v>1226503.4511012589</c:v>
                </c:pt>
                <c:pt idx="13">
                  <c:v>1206832.0880657865</c:v>
                </c:pt>
                <c:pt idx="14">
                  <c:v>1186775.5807510931</c:v>
                </c:pt>
                <c:pt idx="15">
                  <c:v>1168201.1819579615</c:v>
                </c:pt>
                <c:pt idx="16">
                  <c:v>1152868.037064997</c:v>
                </c:pt>
                <c:pt idx="17">
                  <c:v>1139986.1930831573</c:v>
                </c:pt>
                <c:pt idx="18">
                  <c:v>1128252.3684512642</c:v>
                </c:pt>
                <c:pt idx="19">
                  <c:v>1117081.5529220437</c:v>
                </c:pt>
                <c:pt idx="20">
                  <c:v>1108325.7792658436</c:v>
                </c:pt>
                <c:pt idx="21">
                  <c:v>1102701.9990705834</c:v>
                </c:pt>
                <c:pt idx="22">
                  <c:v>1098418.1682145465</c:v>
                </c:pt>
                <c:pt idx="23">
                  <c:v>1092953.4012085041</c:v>
                </c:pt>
                <c:pt idx="24">
                  <c:v>1085571.5149071356</c:v>
                </c:pt>
                <c:pt idx="25">
                  <c:v>1079418.8275898732</c:v>
                </c:pt>
                <c:pt idx="26">
                  <c:v>1078555.9828036304</c:v>
                </c:pt>
                <c:pt idx="27">
                  <c:v>1082887.5329353719</c:v>
                </c:pt>
                <c:pt idx="28">
                  <c:v>1087564.0583864334</c:v>
                </c:pt>
                <c:pt idx="29">
                  <c:v>1087455.312855148</c:v>
                </c:pt>
                <c:pt idx="30">
                  <c:v>1086911.8569266847</c:v>
                </c:pt>
                <c:pt idx="31">
                  <c:v>1085175.5760050765</c:v>
                </c:pt>
                <c:pt idx="32">
                  <c:v>1078488.9445488735</c:v>
                </c:pt>
                <c:pt idx="33">
                  <c:v>1070885.6563885149</c:v>
                </c:pt>
                <c:pt idx="34">
                  <c:v>1060807.9805730707</c:v>
                </c:pt>
                <c:pt idx="35">
                  <c:v>1048540.0618494322</c:v>
                </c:pt>
                <c:pt idx="36">
                  <c:v>1036618.9439935068</c:v>
                </c:pt>
                <c:pt idx="37">
                  <c:v>1023012.8727854601</c:v>
                </c:pt>
                <c:pt idx="38">
                  <c:v>1008689.4821390851</c:v>
                </c:pt>
                <c:pt idx="39">
                  <c:v>995253.55909135181</c:v>
                </c:pt>
                <c:pt idx="40">
                  <c:v>980448.78247596486</c:v>
                </c:pt>
                <c:pt idx="41">
                  <c:v>964533.9719389719</c:v>
                </c:pt>
                <c:pt idx="42">
                  <c:v>948784.1549665276</c:v>
                </c:pt>
                <c:pt idx="43">
                  <c:v>933842.67221114924</c:v>
                </c:pt>
                <c:pt idx="44">
                  <c:v>920132.69505483226</c:v>
                </c:pt>
                <c:pt idx="45">
                  <c:v>909491.64283367817</c:v>
                </c:pt>
                <c:pt idx="46">
                  <c:v>901915.55219523818</c:v>
                </c:pt>
                <c:pt idx="47">
                  <c:v>896714.60747190111</c:v>
                </c:pt>
                <c:pt idx="48">
                  <c:v>892697.46886202204</c:v>
                </c:pt>
                <c:pt idx="49">
                  <c:v>888521.41819649853</c:v>
                </c:pt>
                <c:pt idx="50">
                  <c:v>884981.4922275882</c:v>
                </c:pt>
                <c:pt idx="51">
                  <c:v>881719.13144125557</c:v>
                </c:pt>
                <c:pt idx="52">
                  <c:v>877419.77454598038</c:v>
                </c:pt>
                <c:pt idx="53">
                  <c:v>872360.08604690828</c:v>
                </c:pt>
                <c:pt idx="54">
                  <c:v>868798.01418873447</c:v>
                </c:pt>
                <c:pt idx="55">
                  <c:v>870103.16894214763</c:v>
                </c:pt>
                <c:pt idx="56">
                  <c:v>871846.86266748258</c:v>
                </c:pt>
                <c:pt idx="57">
                  <c:v>874470.27348794637</c:v>
                </c:pt>
                <c:pt idx="58">
                  <c:v>878864.5964702979</c:v>
                </c:pt>
                <c:pt idx="59">
                  <c:v>885952.21418376802</c:v>
                </c:pt>
                <c:pt idx="60">
                  <c:v>892197.59736532532</c:v>
                </c:pt>
                <c:pt idx="61">
                  <c:v>898487.00641019666</c:v>
                </c:pt>
                <c:pt idx="62">
                  <c:v>904820.75167189992</c:v>
                </c:pt>
                <c:pt idx="63">
                  <c:v>910282.44634999998</c:v>
                </c:pt>
                <c:pt idx="64">
                  <c:v>914856.73</c:v>
                </c:pt>
                <c:pt idx="65">
                  <c:v>919454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A-48E6-984B-7EE68B61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874219"/>
        <c:axId val="1133159027"/>
      </c:lineChart>
      <c:catAx>
        <c:axId val="1757874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159027"/>
        <c:crosses val="autoZero"/>
        <c:auto val="1"/>
        <c:lblAlgn val="ctr"/>
        <c:lblOffset val="100"/>
        <c:noMultiLvlLbl val="1"/>
      </c:catAx>
      <c:valAx>
        <c:axId val="1133159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78742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'Feio Lie'!$D$1:$D$67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3.1099999999999999E-2</c:v>
                </c:pt>
                <c:pt idx="2">
                  <c:v>3.3599999999999998E-2</c:v>
                </c:pt>
                <c:pt idx="3">
                  <c:v>3.5200000000000002E-2</c:v>
                </c:pt>
                <c:pt idx="4">
                  <c:v>3.5799999999999998E-2</c:v>
                </c:pt>
                <c:pt idx="5">
                  <c:v>3.5499999999999997E-2</c:v>
                </c:pt>
                <c:pt idx="6">
                  <c:v>3.4500000000000003E-2</c:v>
                </c:pt>
                <c:pt idx="7">
                  <c:v>3.3300000000000003E-2</c:v>
                </c:pt>
                <c:pt idx="8">
                  <c:v>3.2199999999999999E-2</c:v>
                </c:pt>
                <c:pt idx="9">
                  <c:v>3.1300000000000001E-2</c:v>
                </c:pt>
                <c:pt idx="10">
                  <c:v>3.0200000000000001E-2</c:v>
                </c:pt>
                <c:pt idx="11">
                  <c:v>2.9000000000000001E-2</c:v>
                </c:pt>
                <c:pt idx="12">
                  <c:v>2.8000000000000001E-2</c:v>
                </c:pt>
                <c:pt idx="13">
                  <c:v>2.7300000000000001E-2</c:v>
                </c:pt>
                <c:pt idx="14">
                  <c:v>2.6800000000000001E-2</c:v>
                </c:pt>
                <c:pt idx="15">
                  <c:v>2.63E-2</c:v>
                </c:pt>
                <c:pt idx="16">
                  <c:v>2.5899999999999999E-2</c:v>
                </c:pt>
                <c:pt idx="17">
                  <c:v>2.5499999999999998E-2</c:v>
                </c:pt>
                <c:pt idx="18">
                  <c:v>2.53E-2</c:v>
                </c:pt>
                <c:pt idx="19">
                  <c:v>2.52E-2</c:v>
                </c:pt>
                <c:pt idx="20">
                  <c:v>2.53E-2</c:v>
                </c:pt>
                <c:pt idx="21">
                  <c:v>2.5700000000000001E-2</c:v>
                </c:pt>
                <c:pt idx="22">
                  <c:v>2.6200000000000001E-2</c:v>
                </c:pt>
                <c:pt idx="23">
                  <c:v>2.6599999999999999E-2</c:v>
                </c:pt>
                <c:pt idx="24">
                  <c:v>2.69E-2</c:v>
                </c:pt>
                <c:pt idx="25">
                  <c:v>2.7199999999999998E-2</c:v>
                </c:pt>
                <c:pt idx="26">
                  <c:v>2.7400000000000001E-2</c:v>
                </c:pt>
                <c:pt idx="27">
                  <c:v>2.7699999999999999E-2</c:v>
                </c:pt>
                <c:pt idx="28">
                  <c:v>2.7699999999999999E-2</c:v>
                </c:pt>
                <c:pt idx="29">
                  <c:v>2.7799999999999998E-2</c:v>
                </c:pt>
                <c:pt idx="30">
                  <c:v>2.7699999999999999E-2</c:v>
                </c:pt>
                <c:pt idx="31">
                  <c:v>2.76E-2</c:v>
                </c:pt>
                <c:pt idx="32">
                  <c:v>2.75E-2</c:v>
                </c:pt>
                <c:pt idx="33">
                  <c:v>2.7400000000000001E-2</c:v>
                </c:pt>
                <c:pt idx="34">
                  <c:v>2.7099999999999999E-2</c:v>
                </c:pt>
                <c:pt idx="35">
                  <c:v>2.6800000000000001E-2</c:v>
                </c:pt>
                <c:pt idx="36">
                  <c:v>2.64E-2</c:v>
                </c:pt>
                <c:pt idx="37">
                  <c:v>2.5700000000000001E-2</c:v>
                </c:pt>
                <c:pt idx="38">
                  <c:v>2.52E-2</c:v>
                </c:pt>
                <c:pt idx="39">
                  <c:v>2.46E-2</c:v>
                </c:pt>
                <c:pt idx="40">
                  <c:v>2.3900000000000001E-2</c:v>
                </c:pt>
                <c:pt idx="41">
                  <c:v>2.3E-2</c:v>
                </c:pt>
                <c:pt idx="42">
                  <c:v>2.2100000000000002E-2</c:v>
                </c:pt>
                <c:pt idx="43">
                  <c:v>2.1399999999999999E-2</c:v>
                </c:pt>
                <c:pt idx="44">
                  <c:v>2.0799999999999999E-2</c:v>
                </c:pt>
                <c:pt idx="45">
                  <c:v>2.0500000000000001E-2</c:v>
                </c:pt>
                <c:pt idx="46">
                  <c:v>2.0799999999999999E-2</c:v>
                </c:pt>
                <c:pt idx="47">
                  <c:v>2.1299999999999999E-2</c:v>
                </c:pt>
                <c:pt idx="48">
                  <c:v>1.9099999999999999E-2</c:v>
                </c:pt>
                <c:pt idx="49">
                  <c:v>1.61E-2</c:v>
                </c:pt>
                <c:pt idx="50">
                  <c:v>1.55E-2</c:v>
                </c:pt>
                <c:pt idx="51">
                  <c:v>1.4800000000000001E-2</c:v>
                </c:pt>
                <c:pt idx="52">
                  <c:v>1.41E-2</c:v>
                </c:pt>
                <c:pt idx="53">
                  <c:v>1.35E-2</c:v>
                </c:pt>
                <c:pt idx="54">
                  <c:v>1.29E-2</c:v>
                </c:pt>
                <c:pt idx="55">
                  <c:v>1.2200000000000001E-2</c:v>
                </c:pt>
                <c:pt idx="56">
                  <c:v>1.15E-2</c:v>
                </c:pt>
                <c:pt idx="57">
                  <c:v>1.0999999999999999E-2</c:v>
                </c:pt>
                <c:pt idx="58">
                  <c:v>0.01</c:v>
                </c:pt>
                <c:pt idx="59">
                  <c:v>0.01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8.0000000000000002E-3</c:v>
                </c:pt>
                <c:pt idx="63">
                  <c:v>8.0000000000000002E-3</c:v>
                </c:pt>
                <c:pt idx="64">
                  <c:v>8.0000000000000002E-3</c:v>
                </c:pt>
                <c:pt idx="65">
                  <c:v>7.0000000000000001E-3</c:v>
                </c:pt>
                <c:pt idx="66">
                  <c:v>7.0000000000000001E-3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4-4975-AA4B-DE2502579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678944"/>
        <c:axId val="1271637718"/>
      </c:lineChart>
      <c:catAx>
        <c:axId val="95267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1637718"/>
        <c:crosses val="autoZero"/>
        <c:auto val="1"/>
        <c:lblAlgn val="ctr"/>
        <c:lblOffset val="100"/>
        <c:noMultiLvlLbl val="1"/>
      </c:catAx>
      <c:valAx>
        <c:axId val="1271637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26789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'Feio Lie'!$C$1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'Feio Lie'!$C$2:$C$67</c:f>
              <c:numCache>
                <c:formatCode>#,##0</c:formatCode>
                <c:ptCount val="66"/>
                <c:pt idx="0">
                  <c:v>7849206.5948258359</c:v>
                </c:pt>
                <c:pt idx="1">
                  <c:v>7612459.1163086379</c:v>
                </c:pt>
                <c:pt idx="2">
                  <c:v>7364995.2750664065</c:v>
                </c:pt>
                <c:pt idx="3">
                  <c:v>7114562.6691136081</c:v>
                </c:pt>
                <c:pt idx="4">
                  <c:v>6868664.4807043904</c:v>
                </c:pt>
                <c:pt idx="5">
                  <c:v>6633186.3647555672</c:v>
                </c:pt>
                <c:pt idx="6">
                  <c:v>6411973.2863756092</c:v>
                </c:pt>
                <c:pt idx="7">
                  <c:v>6205335.6105444776</c:v>
                </c:pt>
                <c:pt idx="8">
                  <c:v>6011757.0340481279</c:v>
                </c:pt>
                <c:pt idx="9">
                  <c:v>5829299.9457462691</c:v>
                </c:pt>
                <c:pt idx="10">
                  <c:v>5658415.7889208589</c:v>
                </c:pt>
                <c:pt idx="11">
                  <c:v>5498946.3449182305</c:v>
                </c:pt>
                <c:pt idx="12">
                  <c:v>5349169.5962239597</c:v>
                </c:pt>
                <c:pt idx="13">
                  <c:v>5207018.0046957647</c:v>
                </c:pt>
                <c:pt idx="14">
                  <c:v>5071112.197794863</c:v>
                </c:pt>
                <c:pt idx="15">
                  <c:v>4941159.6977441907</c:v>
                </c:pt>
                <c:pt idx="16">
                  <c:v>4816414.5606240286</c:v>
                </c:pt>
                <c:pt idx="17">
                  <c:v>4696649.9859814998</c:v>
                </c:pt>
                <c:pt idx="18">
                  <c:v>4580756.8379805908</c:v>
                </c:pt>
                <c:pt idx="19">
                  <c:v>4468159.2254980402</c:v>
                </c:pt>
                <c:pt idx="20">
                  <c:v>4357904.2480230564</c:v>
                </c:pt>
                <c:pt idx="21">
                  <c:v>4248712.3408628805</c:v>
                </c:pt>
                <c:pt idx="22">
                  <c:v>4140238.1025754046</c:v>
                </c:pt>
                <c:pt idx="23">
                  <c:v>4032961.3311663792</c:v>
                </c:pt>
                <c:pt idx="24">
                  <c:v>3927316.516862771</c:v>
                </c:pt>
                <c:pt idx="25">
                  <c:v>3823322.1542667169</c:v>
                </c:pt>
                <c:pt idx="26">
                  <c:v>3721356.973201009</c:v>
                </c:pt>
                <c:pt idx="27">
                  <c:v>3621053.7834008066</c:v>
                </c:pt>
                <c:pt idx="28">
                  <c:v>3523454.1047005998</c:v>
                </c:pt>
                <c:pt idx="29">
                  <c:v>3428151.4931899197</c:v>
                </c:pt>
                <c:pt idx="30">
                  <c:v>3335751.1853555702</c:v>
                </c:pt>
                <c:pt idx="31">
                  <c:v>3246157.2453829991</c:v>
                </c:pt>
                <c:pt idx="32">
                  <c:v>3159277.1244603395</c:v>
                </c:pt>
                <c:pt idx="33">
                  <c:v>3075021.5344173051</c:v>
                </c:pt>
                <c:pt idx="34">
                  <c:v>2993887.1915269257</c:v>
                </c:pt>
                <c:pt idx="35">
                  <c:v>2915745.2196405591</c:v>
                </c:pt>
                <c:pt idx="36">
                  <c:v>2840749.4345679646</c:v>
                </c:pt>
                <c:pt idx="37">
                  <c:v>2769571.4483454856</c:v>
                </c:pt>
                <c:pt idx="38">
                  <c:v>2701493.8044727719</c:v>
                </c:pt>
                <c:pt idx="39">
                  <c:v>2636632.6414920674</c:v>
                </c:pt>
                <c:pt idx="40">
                  <c:v>2575088.0373982489</c:v>
                </c:pt>
                <c:pt idx="41">
                  <c:v>2517192.6074274187</c:v>
                </c:pt>
                <c:pt idx="42">
                  <c:v>2462765.4900962906</c:v>
                </c:pt>
                <c:pt idx="43">
                  <c:v>2411166.5264306739</c:v>
                </c:pt>
                <c:pt idx="44">
                  <c:v>2362036.1740112402</c:v>
                </c:pt>
                <c:pt idx="45">
                  <c:v>2314587.1376886237</c:v>
                </c:pt>
                <c:pt idx="46">
                  <c:v>2267424.7038485734</c:v>
                </c:pt>
                <c:pt idx="47">
                  <c:v>2220135.8110727239</c:v>
                </c:pt>
                <c:pt idx="48">
                  <c:v>2178525.9651385774</c:v>
                </c:pt>
                <c:pt idx="49">
                  <c:v>2144007.4452697346</c:v>
                </c:pt>
                <c:pt idx="50">
                  <c:v>2111282.5655044159</c:v>
                </c:pt>
                <c:pt idx="51">
                  <c:v>2080491.2943480648</c:v>
                </c:pt>
                <c:pt idx="52">
                  <c:v>2051564.23858403</c:v>
                </c:pt>
                <c:pt idx="53">
                  <c:v>2024237.0385634236</c:v>
                </c:pt>
                <c:pt idx="54">
                  <c:v>1998456.9439860042</c:v>
                </c:pt>
                <c:pt idx="55">
                  <c:v>1974369.634445766</c:v>
                </c:pt>
                <c:pt idx="56">
                  <c:v>1951922.5254036242</c:v>
                </c:pt>
                <c:pt idx="57">
                  <c:v>1930684.990508036</c:v>
                </c:pt>
                <c:pt idx="58">
                  <c:v>1911569.2975327088</c:v>
                </c:pt>
                <c:pt idx="59">
                  <c:v>1892642.8688442663</c:v>
                </c:pt>
                <c:pt idx="60">
                  <c:v>1875761.019667261</c:v>
                </c:pt>
                <c:pt idx="61">
                  <c:v>1859029.7519001598</c:v>
                </c:pt>
                <c:pt idx="62">
                  <c:v>1844275.5475199998</c:v>
                </c:pt>
                <c:pt idx="63">
                  <c:v>1829638.4399999997</c:v>
                </c:pt>
                <c:pt idx="64">
                  <c:v>1815117.4999999998</c:v>
                </c:pt>
                <c:pt idx="65">
                  <c:v>1802500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3-495A-90C4-F22CA7DBB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905579"/>
        <c:axId val="1613471086"/>
      </c:lineChart>
      <c:catAx>
        <c:axId val="1522905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3471086"/>
        <c:crosses val="autoZero"/>
        <c:auto val="1"/>
        <c:lblAlgn val="ctr"/>
        <c:lblOffset val="100"/>
        <c:noMultiLvlLbl val="1"/>
      </c:catAx>
      <c:valAx>
        <c:axId val="1613471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29055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Fermori!$D$1:$D$67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2.8E-3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2.5000000000000001E-3</c:v>
                </c:pt>
                <c:pt idx="5">
                  <c:v>1.1999999999999999E-3</c:v>
                </c:pt>
                <c:pt idx="6">
                  <c:v>4.0000000000000002E-4</c:v>
                </c:pt>
                <c:pt idx="7">
                  <c:v>2.9999999999999997E-4</c:v>
                </c:pt>
                <c:pt idx="8">
                  <c:v>-4.0000000000000002E-4</c:v>
                </c:pt>
                <c:pt idx="9">
                  <c:v>-1.6999999999999999E-3</c:v>
                </c:pt>
                <c:pt idx="10">
                  <c:v>-3.3E-3</c:v>
                </c:pt>
                <c:pt idx="11">
                  <c:v>-3.8E-3</c:v>
                </c:pt>
                <c:pt idx="12">
                  <c:v>-4.0000000000000001E-3</c:v>
                </c:pt>
                <c:pt idx="13">
                  <c:v>-4.4999999999999997E-3</c:v>
                </c:pt>
                <c:pt idx="14">
                  <c:v>-4.5999999999999999E-3</c:v>
                </c:pt>
                <c:pt idx="15">
                  <c:v>-4.1999999999999997E-3</c:v>
                </c:pt>
                <c:pt idx="16">
                  <c:v>-4.1999999999999997E-3</c:v>
                </c:pt>
                <c:pt idx="17">
                  <c:v>-3.0999999999999999E-3</c:v>
                </c:pt>
                <c:pt idx="18">
                  <c:v>-1.6999999999999999E-3</c:v>
                </c:pt>
                <c:pt idx="19">
                  <c:v>-1.6999999999999999E-3</c:v>
                </c:pt>
                <c:pt idx="20">
                  <c:v>-1.5E-3</c:v>
                </c:pt>
                <c:pt idx="21">
                  <c:v>-2.0000000000000001E-4</c:v>
                </c:pt>
                <c:pt idx="22">
                  <c:v>-2.9999999999999997E-4</c:v>
                </c:pt>
                <c:pt idx="23">
                  <c:v>-5.0000000000000001E-4</c:v>
                </c:pt>
                <c:pt idx="24">
                  <c:v>1E-3</c:v>
                </c:pt>
                <c:pt idx="25">
                  <c:v>2.8999999999999998E-3</c:v>
                </c:pt>
                <c:pt idx="26">
                  <c:v>1.6999999999999999E-3</c:v>
                </c:pt>
                <c:pt idx="27">
                  <c:v>5.8999999999999999E-3</c:v>
                </c:pt>
                <c:pt idx="28">
                  <c:v>6.4999999999999997E-3</c:v>
                </c:pt>
                <c:pt idx="29">
                  <c:v>7.0000000000000001E-3</c:v>
                </c:pt>
                <c:pt idx="30">
                  <c:v>7.1999999999999998E-3</c:v>
                </c:pt>
                <c:pt idx="31">
                  <c:v>7.7999999999999996E-3</c:v>
                </c:pt>
                <c:pt idx="32">
                  <c:v>7.6E-3</c:v>
                </c:pt>
                <c:pt idx="33">
                  <c:v>6.0000000000000001E-3</c:v>
                </c:pt>
                <c:pt idx="34">
                  <c:v>6.3E-3</c:v>
                </c:pt>
                <c:pt idx="35">
                  <c:v>6.7000000000000002E-3</c:v>
                </c:pt>
                <c:pt idx="36">
                  <c:v>7.1000000000000004E-3</c:v>
                </c:pt>
                <c:pt idx="37">
                  <c:v>7.0000000000000001E-3</c:v>
                </c:pt>
                <c:pt idx="38">
                  <c:v>7.0000000000000001E-3</c:v>
                </c:pt>
                <c:pt idx="39">
                  <c:v>7.0000000000000001E-3</c:v>
                </c:pt>
                <c:pt idx="40">
                  <c:v>7.0000000000000001E-3</c:v>
                </c:pt>
                <c:pt idx="41">
                  <c:v>5.7000000000000002E-3</c:v>
                </c:pt>
                <c:pt idx="42">
                  <c:v>5.7000000000000002E-3</c:v>
                </c:pt>
                <c:pt idx="43">
                  <c:v>5.7000000000000002E-3</c:v>
                </c:pt>
                <c:pt idx="44">
                  <c:v>5.7000000000000002E-3</c:v>
                </c:pt>
                <c:pt idx="45">
                  <c:v>5.7000000000000002E-3</c:v>
                </c:pt>
                <c:pt idx="46">
                  <c:v>5.7000000000000002E-3</c:v>
                </c:pt>
                <c:pt idx="47">
                  <c:v>5.7000000000000002E-3</c:v>
                </c:pt>
                <c:pt idx="48">
                  <c:v>5.7000000000000002E-3</c:v>
                </c:pt>
                <c:pt idx="49">
                  <c:v>5.7000000000000002E-3</c:v>
                </c:pt>
                <c:pt idx="50">
                  <c:v>5.7000000000000002E-3</c:v>
                </c:pt>
                <c:pt idx="51">
                  <c:v>1.11E-2</c:v>
                </c:pt>
                <c:pt idx="52">
                  <c:v>1.11E-2</c:v>
                </c:pt>
                <c:pt idx="53">
                  <c:v>1.11E-2</c:v>
                </c:pt>
                <c:pt idx="54">
                  <c:v>1.11E-2</c:v>
                </c:pt>
                <c:pt idx="55">
                  <c:v>1.11E-2</c:v>
                </c:pt>
                <c:pt idx="56">
                  <c:v>1.2E-2</c:v>
                </c:pt>
                <c:pt idx="57">
                  <c:v>1.2E-2</c:v>
                </c:pt>
                <c:pt idx="58">
                  <c:v>1.2999999999999999E-2</c:v>
                </c:pt>
                <c:pt idx="59">
                  <c:v>1.4E-2</c:v>
                </c:pt>
                <c:pt idx="60">
                  <c:v>1.4999999999999999E-2</c:v>
                </c:pt>
                <c:pt idx="61">
                  <c:v>1.4999999999999999E-2</c:v>
                </c:pt>
                <c:pt idx="62">
                  <c:v>1.4999999999999999E-2</c:v>
                </c:pt>
                <c:pt idx="63">
                  <c:v>1.4999999999999999E-2</c:v>
                </c:pt>
                <c:pt idx="64">
                  <c:v>1.6E-2</c:v>
                </c:pt>
                <c:pt idx="65">
                  <c:v>1.6E-2</c:v>
                </c:pt>
                <c:pt idx="66">
                  <c:v>1.6E-2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E3-4A77-BC2C-4D67983B3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306835"/>
        <c:axId val="430530109"/>
      </c:lineChart>
      <c:catAx>
        <c:axId val="1843306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0530109"/>
        <c:crosses val="autoZero"/>
        <c:auto val="1"/>
        <c:lblAlgn val="ctr"/>
        <c:lblOffset val="100"/>
        <c:noMultiLvlLbl val="1"/>
      </c:catAx>
      <c:valAx>
        <c:axId val="430530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33068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Fermori!$C$1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Fermori!$C$2:$C$67</c:f>
              <c:numCache>
                <c:formatCode>#,##0</c:formatCode>
                <c:ptCount val="66"/>
                <c:pt idx="0">
                  <c:v>12299311.234167134</c:v>
                </c:pt>
                <c:pt idx="1">
                  <c:v>12264969.320070937</c:v>
                </c:pt>
                <c:pt idx="2">
                  <c:v>12228284.466670927</c:v>
                </c:pt>
                <c:pt idx="3">
                  <c:v>12191709.338654963</c:v>
                </c:pt>
                <c:pt idx="4">
                  <c:v>12161306.073471285</c:v>
                </c:pt>
                <c:pt idx="5">
                  <c:v>12146729.997474315</c:v>
                </c:pt>
                <c:pt idx="6">
                  <c:v>12141873.248175045</c:v>
                </c:pt>
                <c:pt idx="7">
                  <c:v>12138231.778641453</c:v>
                </c:pt>
                <c:pt idx="8">
                  <c:v>12143089.014247151</c:v>
                </c:pt>
                <c:pt idx="9">
                  <c:v>12163767.418859212</c:v>
                </c:pt>
                <c:pt idx="10">
                  <c:v>12204040.753345251</c:v>
                </c:pt>
                <c:pt idx="11">
                  <c:v>12250593.006770981</c:v>
                </c:pt>
                <c:pt idx="12">
                  <c:v>12299792.175472872</c:v>
                </c:pt>
                <c:pt idx="13">
                  <c:v>12355391.436939098</c:v>
                </c:pt>
                <c:pt idx="14">
                  <c:v>12412488.885813842</c:v>
                </c:pt>
                <c:pt idx="15">
                  <c:v>12464841.218933361</c:v>
                </c:pt>
                <c:pt idx="16">
                  <c:v>12517414.359242178</c:v>
                </c:pt>
                <c:pt idx="17">
                  <c:v>12556339.010173718</c:v>
                </c:pt>
                <c:pt idx="18">
                  <c:v>12577721.136105096</c:v>
                </c:pt>
                <c:pt idx="19">
                  <c:v>12599139.673550131</c:v>
                </c:pt>
                <c:pt idx="20">
                  <c:v>12618066.773710696</c:v>
                </c:pt>
                <c:pt idx="21">
                  <c:v>12620590.891889073</c:v>
                </c:pt>
                <c:pt idx="22">
                  <c:v>12624378.205350678</c:v>
                </c:pt>
                <c:pt idx="23">
                  <c:v>12630693.552126741</c:v>
                </c:pt>
                <c:pt idx="24">
                  <c:v>12618075.476650093</c:v>
                </c:pt>
                <c:pt idx="25">
                  <c:v>12581588.868930196</c:v>
                </c:pt>
                <c:pt idx="26">
                  <c:v>12560236.466936404</c:v>
                </c:pt>
                <c:pt idx="27">
                  <c:v>12486565.729134509</c:v>
                </c:pt>
                <c:pt idx="28">
                  <c:v>12405927.202319434</c:v>
                </c:pt>
                <c:pt idx="29">
                  <c:v>12319689.376682656</c:v>
                </c:pt>
                <c:pt idx="30">
                  <c:v>12231621.70043949</c:v>
                </c:pt>
                <c:pt idx="31">
                  <c:v>12136953.463424778</c:v>
                </c:pt>
                <c:pt idx="32">
                  <c:v>12045408.359889615</c:v>
                </c:pt>
                <c:pt idx="33">
                  <c:v>11973566.95814077</c:v>
                </c:pt>
                <c:pt idx="34">
                  <c:v>11898605.741966382</c:v>
                </c:pt>
                <c:pt idx="35">
                  <c:v>11819415.657064054</c:v>
                </c:pt>
                <c:pt idx="36">
                  <c:v>11736089.42216667</c:v>
                </c:pt>
                <c:pt idx="37">
                  <c:v>11654507.867096992</c:v>
                </c:pt>
                <c:pt idx="38">
                  <c:v>11573493.413204562</c:v>
                </c:pt>
                <c:pt idx="39">
                  <c:v>11493042.118375931</c:v>
                </c:pt>
                <c:pt idx="40">
                  <c:v>11413150.067900628</c:v>
                </c:pt>
                <c:pt idx="41">
                  <c:v>11348463.824103238</c:v>
                </c:pt>
                <c:pt idx="42">
                  <c:v>11284144.202150976</c:v>
                </c:pt>
                <c:pt idx="43">
                  <c:v>11220189.124143358</c:v>
                </c:pt>
                <c:pt idx="44">
                  <c:v>11156596.523956804</c:v>
                </c:pt>
                <c:pt idx="45">
                  <c:v>11093364.347177889</c:v>
                </c:pt>
                <c:pt idx="46">
                  <c:v>11030490.551036978</c:v>
                </c:pt>
                <c:pt idx="47">
                  <c:v>10967973.104342228</c:v>
                </c:pt>
                <c:pt idx="48">
                  <c:v>10905809.987413967</c:v>
                </c:pt>
                <c:pt idx="49">
                  <c:v>10843999.192019455</c:v>
                </c:pt>
                <c:pt idx="50">
                  <c:v>10782538.721307999</c:v>
                </c:pt>
                <c:pt idx="51">
                  <c:v>10664166.473452672</c:v>
                </c:pt>
                <c:pt idx="52">
                  <c:v>10547093.733016191</c:v>
                </c:pt>
                <c:pt idx="53">
                  <c:v>10431306.233820779</c:v>
                </c:pt>
                <c:pt idx="54">
                  <c:v>10316789.866304794</c:v>
                </c:pt>
                <c:pt idx="55">
                  <c:v>10203530.675803376</c:v>
                </c:pt>
                <c:pt idx="56">
                  <c:v>10082540.193481596</c:v>
                </c:pt>
                <c:pt idx="57">
                  <c:v>9962984.3809106685</c:v>
                </c:pt>
                <c:pt idx="58">
                  <c:v>9835127.7205436025</c:v>
                </c:pt>
                <c:pt idx="59">
                  <c:v>9699337.0025084838</c:v>
                </c:pt>
                <c:pt idx="60">
                  <c:v>9555997.0468063895</c:v>
                </c:pt>
                <c:pt idx="61">
                  <c:v>9414775.4155727979</c:v>
                </c:pt>
                <c:pt idx="62">
                  <c:v>9275640.8035199996</c:v>
                </c:pt>
                <c:pt idx="63">
                  <c:v>9138562.3680000007</c:v>
                </c:pt>
                <c:pt idx="64">
                  <c:v>8994648</c:v>
                </c:pt>
                <c:pt idx="65">
                  <c:v>8853000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E-4E45-BFB9-684F36BE2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141667"/>
        <c:axId val="757734913"/>
      </c:lineChart>
      <c:catAx>
        <c:axId val="1660141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7734913"/>
        <c:crosses val="autoZero"/>
        <c:auto val="1"/>
        <c:lblAlgn val="ctr"/>
        <c:lblOffset val="100"/>
        <c:noMultiLvlLbl val="1"/>
      </c:catAx>
      <c:valAx>
        <c:axId val="757734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01416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Finae!$D$1:$D$67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1.0999999999999999E-2</c:v>
                </c:pt>
                <c:pt idx="2">
                  <c:v>1.15E-2</c:v>
                </c:pt>
                <c:pt idx="3">
                  <c:v>1.2E-2</c:v>
                </c:pt>
                <c:pt idx="4">
                  <c:v>1.26E-2</c:v>
                </c:pt>
                <c:pt idx="5">
                  <c:v>1.29E-2</c:v>
                </c:pt>
                <c:pt idx="6">
                  <c:v>1.2800000000000001E-2</c:v>
                </c:pt>
                <c:pt idx="7">
                  <c:v>1.2999999999999999E-2</c:v>
                </c:pt>
                <c:pt idx="8">
                  <c:v>1.3299999999999999E-2</c:v>
                </c:pt>
                <c:pt idx="9">
                  <c:v>1.3599999999999999E-2</c:v>
                </c:pt>
                <c:pt idx="10">
                  <c:v>1.35E-2</c:v>
                </c:pt>
                <c:pt idx="11">
                  <c:v>1.34E-2</c:v>
                </c:pt>
                <c:pt idx="12">
                  <c:v>1.2699999999999999E-2</c:v>
                </c:pt>
                <c:pt idx="13">
                  <c:v>1.37E-2</c:v>
                </c:pt>
                <c:pt idx="14">
                  <c:v>1.3899999999999999E-2</c:v>
                </c:pt>
                <c:pt idx="15">
                  <c:v>1.4200000000000001E-2</c:v>
                </c:pt>
                <c:pt idx="16">
                  <c:v>1.4500000000000001E-2</c:v>
                </c:pt>
                <c:pt idx="17">
                  <c:v>1.4800000000000001E-2</c:v>
                </c:pt>
                <c:pt idx="18">
                  <c:v>1.54E-2</c:v>
                </c:pt>
                <c:pt idx="19">
                  <c:v>1.6E-2</c:v>
                </c:pt>
                <c:pt idx="20">
                  <c:v>1.61E-2</c:v>
                </c:pt>
                <c:pt idx="21">
                  <c:v>1.6299999999999999E-2</c:v>
                </c:pt>
                <c:pt idx="22">
                  <c:v>1.6400000000000001E-2</c:v>
                </c:pt>
                <c:pt idx="23">
                  <c:v>1.66E-2</c:v>
                </c:pt>
                <c:pt idx="24">
                  <c:v>1.6799999999999999E-2</c:v>
                </c:pt>
                <c:pt idx="25">
                  <c:v>1.7399999999999999E-2</c:v>
                </c:pt>
                <c:pt idx="26">
                  <c:v>1.7399999999999999E-2</c:v>
                </c:pt>
                <c:pt idx="27">
                  <c:v>1.7999999999999999E-2</c:v>
                </c:pt>
                <c:pt idx="28">
                  <c:v>1.8499999999999999E-2</c:v>
                </c:pt>
                <c:pt idx="29">
                  <c:v>1.89E-2</c:v>
                </c:pt>
                <c:pt idx="30">
                  <c:v>1.9300000000000001E-2</c:v>
                </c:pt>
                <c:pt idx="31">
                  <c:v>2.0199999999999999E-2</c:v>
                </c:pt>
                <c:pt idx="32">
                  <c:v>2.1499999999999998E-2</c:v>
                </c:pt>
                <c:pt idx="33">
                  <c:v>2.2100000000000002E-2</c:v>
                </c:pt>
                <c:pt idx="34">
                  <c:v>2.2700000000000001E-2</c:v>
                </c:pt>
                <c:pt idx="35">
                  <c:v>2.29E-2</c:v>
                </c:pt>
                <c:pt idx="36">
                  <c:v>2.3400000000000001E-2</c:v>
                </c:pt>
                <c:pt idx="37">
                  <c:v>2.3699999999999999E-2</c:v>
                </c:pt>
                <c:pt idx="38">
                  <c:v>2.3900000000000001E-2</c:v>
                </c:pt>
                <c:pt idx="39">
                  <c:v>2.4E-2</c:v>
                </c:pt>
                <c:pt idx="40">
                  <c:v>2.4299999999999999E-2</c:v>
                </c:pt>
                <c:pt idx="41">
                  <c:v>2.47E-2</c:v>
                </c:pt>
                <c:pt idx="42">
                  <c:v>2.4899999999999999E-2</c:v>
                </c:pt>
                <c:pt idx="43">
                  <c:v>2.5399999999999999E-2</c:v>
                </c:pt>
                <c:pt idx="44">
                  <c:v>2.5600000000000001E-2</c:v>
                </c:pt>
                <c:pt idx="45">
                  <c:v>2.58E-2</c:v>
                </c:pt>
                <c:pt idx="46">
                  <c:v>2.6200000000000001E-2</c:v>
                </c:pt>
                <c:pt idx="47">
                  <c:v>2.6499999999999999E-2</c:v>
                </c:pt>
                <c:pt idx="48">
                  <c:v>2.6700000000000002E-2</c:v>
                </c:pt>
                <c:pt idx="49">
                  <c:v>2.7E-2</c:v>
                </c:pt>
                <c:pt idx="50">
                  <c:v>2.5899999999999999E-2</c:v>
                </c:pt>
                <c:pt idx="51">
                  <c:v>2.23E-2</c:v>
                </c:pt>
                <c:pt idx="52">
                  <c:v>2.7300000000000001E-2</c:v>
                </c:pt>
                <c:pt idx="53">
                  <c:v>2.7099999999999999E-2</c:v>
                </c:pt>
                <c:pt idx="54">
                  <c:v>2.7E-2</c:v>
                </c:pt>
                <c:pt idx="55">
                  <c:v>2.6700000000000002E-2</c:v>
                </c:pt>
                <c:pt idx="56">
                  <c:v>2.64E-2</c:v>
                </c:pt>
                <c:pt idx="57">
                  <c:v>2.5999999999999999E-2</c:v>
                </c:pt>
                <c:pt idx="58">
                  <c:v>2.5399999999999999E-2</c:v>
                </c:pt>
                <c:pt idx="59">
                  <c:v>2.4899999999999999E-2</c:v>
                </c:pt>
                <c:pt idx="60">
                  <c:v>2.4199999999999999E-2</c:v>
                </c:pt>
                <c:pt idx="61">
                  <c:v>2.3400000000000001E-2</c:v>
                </c:pt>
                <c:pt idx="62">
                  <c:v>2.2700000000000001E-2</c:v>
                </c:pt>
                <c:pt idx="63">
                  <c:v>2.18E-2</c:v>
                </c:pt>
                <c:pt idx="64">
                  <c:v>2.0899999999999998E-2</c:v>
                </c:pt>
                <c:pt idx="65">
                  <c:v>1.9800000000000002E-2</c:v>
                </c:pt>
                <c:pt idx="66">
                  <c:v>1.9E-2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25-4DEC-A1A8-64EF59CF7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77572"/>
        <c:axId val="42098339"/>
      </c:lineChart>
      <c:catAx>
        <c:axId val="343277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098339"/>
        <c:crosses val="autoZero"/>
        <c:auto val="1"/>
        <c:lblAlgn val="ctr"/>
        <c:lblOffset val="100"/>
        <c:noMultiLvlLbl val="1"/>
      </c:catAx>
      <c:valAx>
        <c:axId val="42098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32775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Finae!$C$2:$C$67</c:f>
              <c:numCache>
                <c:formatCode>#,##0</c:formatCode>
                <c:ptCount val="66"/>
                <c:pt idx="0">
                  <c:v>31747301.151105549</c:v>
                </c:pt>
                <c:pt idx="1">
                  <c:v>31401880.465979774</c:v>
                </c:pt>
                <c:pt idx="2">
                  <c:v>31044864.523954298</c:v>
                </c:pt>
                <c:pt idx="3">
                  <c:v>30676743.600745354</c:v>
                </c:pt>
                <c:pt idx="4">
                  <c:v>30295026.269746549</c:v>
                </c:pt>
                <c:pt idx="5">
                  <c:v>29909197.620442841</c:v>
                </c:pt>
                <c:pt idx="6">
                  <c:v>29531198.282427769</c:v>
                </c:pt>
                <c:pt idx="7">
                  <c:v>29152219.429839853</c:v>
                </c:pt>
                <c:pt idx="8">
                  <c:v>28769583.963130217</c:v>
                </c:pt>
                <c:pt idx="9">
                  <c:v>28383567.445866432</c:v>
                </c:pt>
                <c:pt idx="10">
                  <c:v>28005493.286498699</c:v>
                </c:pt>
                <c:pt idx="11">
                  <c:v>27635181.849712551</c:v>
                </c:pt>
                <c:pt idx="12">
                  <c:v>27288616.421163771</c:v>
                </c:pt>
                <c:pt idx="13">
                  <c:v>26919814.956262968</c:v>
                </c:pt>
                <c:pt idx="14">
                  <c:v>26550759.4005947</c:v>
                </c:pt>
                <c:pt idx="15">
                  <c:v>26179017.35416555</c:v>
                </c:pt>
                <c:pt idx="16">
                  <c:v>25804847.071626961</c:v>
                </c:pt>
                <c:pt idx="17">
                  <c:v>25428505.19474474</c:v>
                </c:pt>
                <c:pt idx="18">
                  <c:v>25042845.37595503</c:v>
                </c:pt>
                <c:pt idx="19">
                  <c:v>24648469.858223453</c:v>
                </c:pt>
                <c:pt idx="20">
                  <c:v>24257917.388272271</c:v>
                </c:pt>
                <c:pt idx="21">
                  <c:v>23868855.050941918</c:v>
                </c:pt>
                <c:pt idx="22">
                  <c:v>23483722.009978276</c:v>
                </c:pt>
                <c:pt idx="23">
                  <c:v>23100257.731633168</c:v>
                </c:pt>
                <c:pt idx="24">
                  <c:v>22718585.495311931</c:v>
                </c:pt>
                <c:pt idx="25">
                  <c:v>22330042.751436926</c:v>
                </c:pt>
                <c:pt idx="26">
                  <c:v>21948145.027950585</c:v>
                </c:pt>
                <c:pt idx="27">
                  <c:v>21560063.878143992</c:v>
                </c:pt>
                <c:pt idx="28">
                  <c:v>21168447.597588602</c:v>
                </c:pt>
                <c:pt idx="29">
                  <c:v>20775785.256245565</c:v>
                </c:pt>
                <c:pt idx="30">
                  <c:v>20382404.842779912</c:v>
                </c:pt>
                <c:pt idx="31">
                  <c:v>19978832.427739572</c:v>
                </c:pt>
                <c:pt idx="32">
                  <c:v>19558328.3678312</c:v>
                </c:pt>
                <c:pt idx="33">
                  <c:v>19135435.248832013</c:v>
                </c:pt>
                <c:pt idx="34">
                  <c:v>18710702.306475032</c:v>
                </c:pt>
                <c:pt idx="35">
                  <c:v>18291819.636792485</c:v>
                </c:pt>
                <c:pt idx="36">
                  <c:v>17873577.913613919</c:v>
                </c:pt>
                <c:pt idx="37">
                  <c:v>17459781.101508174</c:v>
                </c:pt>
                <c:pt idx="38">
                  <c:v>17052232.739044998</c:v>
                </c:pt>
                <c:pt idx="39">
                  <c:v>16652571.034223631</c:v>
                </c:pt>
                <c:pt idx="40">
                  <c:v>16257513.457213348</c:v>
                </c:pt>
                <c:pt idx="41">
                  <c:v>15865632.338453546</c:v>
                </c:pt>
                <c:pt idx="42">
                  <c:v>15480175.957121229</c:v>
                </c:pt>
                <c:pt idx="43">
                  <c:v>15096719.287225695</c:v>
                </c:pt>
                <c:pt idx="44">
                  <c:v>14719890.100649077</c:v>
                </c:pt>
                <c:pt idx="45">
                  <c:v>14349668.649492178</c:v>
                </c:pt>
                <c:pt idx="46">
                  <c:v>13983306.031467725</c:v>
                </c:pt>
                <c:pt idx="47">
                  <c:v>13622314.692126377</c:v>
                </c:pt>
                <c:pt idx="48">
                  <c:v>13268057.55539727</c:v>
                </c:pt>
                <c:pt idx="49">
                  <c:v>12919238.125995396</c:v>
                </c:pt>
                <c:pt idx="50">
                  <c:v>12593077.420796759</c:v>
                </c:pt>
                <c:pt idx="51">
                  <c:v>12318377.600309851</c:v>
                </c:pt>
                <c:pt idx="52">
                  <c:v>11991022.681115398</c:v>
                </c:pt>
                <c:pt idx="53">
                  <c:v>11674639.938774608</c:v>
                </c:pt>
                <c:pt idx="54">
                  <c:v>11367711.722273232</c:v>
                </c:pt>
                <c:pt idx="55">
                  <c:v>11072086.999389533</c:v>
                </c:pt>
                <c:pt idx="56">
                  <c:v>10787302.220761431</c:v>
                </c:pt>
                <c:pt idx="57">
                  <c:v>10513939.786317185</c:v>
                </c:pt>
                <c:pt idx="58">
                  <c:v>10253500.86436238</c:v>
                </c:pt>
                <c:pt idx="59">
                  <c:v>10004391.515623359</c:v>
                </c:pt>
                <c:pt idx="60">
                  <c:v>9768005.7758478411</c:v>
                </c:pt>
                <c:pt idx="61">
                  <c:v>9544660.7151141688</c:v>
                </c:pt>
                <c:pt idx="62">
                  <c:v>9332806.0184943471</c:v>
                </c:pt>
                <c:pt idx="63">
                  <c:v>9133691.5428599995</c:v>
                </c:pt>
                <c:pt idx="64">
                  <c:v>8946705.4000000004</c:v>
                </c:pt>
                <c:pt idx="65">
                  <c:v>8773000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7-4379-821E-1C5473443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721103"/>
        <c:axId val="153865820"/>
      </c:lineChart>
      <c:catAx>
        <c:axId val="1474721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865820"/>
        <c:crosses val="autoZero"/>
        <c:auto val="1"/>
        <c:lblAlgn val="ctr"/>
        <c:lblOffset val="100"/>
        <c:noMultiLvlLbl val="1"/>
      </c:catAx>
      <c:valAx>
        <c:axId val="153865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47211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Fincen!$D$1:$D$67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3.3E-3</c:v>
                </c:pt>
                <c:pt idx="6">
                  <c:v>7.1999999999999998E-3</c:v>
                </c:pt>
                <c:pt idx="7">
                  <c:v>9.4999999999999998E-3</c:v>
                </c:pt>
                <c:pt idx="8">
                  <c:v>1.04E-2</c:v>
                </c:pt>
                <c:pt idx="9">
                  <c:v>1.11E-2</c:v>
                </c:pt>
                <c:pt idx="10">
                  <c:v>1.1599999999999999E-2</c:v>
                </c:pt>
                <c:pt idx="11">
                  <c:v>1.2E-2</c:v>
                </c:pt>
                <c:pt idx="12">
                  <c:v>1.26E-2</c:v>
                </c:pt>
                <c:pt idx="13">
                  <c:v>1.3599999999999999E-2</c:v>
                </c:pt>
                <c:pt idx="14">
                  <c:v>1.47E-2</c:v>
                </c:pt>
                <c:pt idx="15">
                  <c:v>1.54E-2</c:v>
                </c:pt>
                <c:pt idx="16">
                  <c:v>1.52E-2</c:v>
                </c:pt>
                <c:pt idx="17">
                  <c:v>1.5299999999999999E-2</c:v>
                </c:pt>
                <c:pt idx="18">
                  <c:v>1.61E-2</c:v>
                </c:pt>
                <c:pt idx="19">
                  <c:v>1.7000000000000001E-2</c:v>
                </c:pt>
                <c:pt idx="20">
                  <c:v>1.7899999999999999E-2</c:v>
                </c:pt>
                <c:pt idx="21">
                  <c:v>1.9199999999999998E-2</c:v>
                </c:pt>
                <c:pt idx="22">
                  <c:v>2.06E-2</c:v>
                </c:pt>
                <c:pt idx="23">
                  <c:v>2.1700000000000001E-2</c:v>
                </c:pt>
                <c:pt idx="24">
                  <c:v>2.3E-2</c:v>
                </c:pt>
                <c:pt idx="25">
                  <c:v>2.4400000000000002E-2</c:v>
                </c:pt>
                <c:pt idx="26">
                  <c:v>2.07E-2</c:v>
                </c:pt>
                <c:pt idx="27">
                  <c:v>1.5100000000000001E-2</c:v>
                </c:pt>
                <c:pt idx="28">
                  <c:v>1.41E-2</c:v>
                </c:pt>
                <c:pt idx="29">
                  <c:v>1.4200000000000001E-2</c:v>
                </c:pt>
                <c:pt idx="30">
                  <c:v>1.4200000000000001E-2</c:v>
                </c:pt>
                <c:pt idx="31">
                  <c:v>1.4200000000000001E-2</c:v>
                </c:pt>
                <c:pt idx="32">
                  <c:v>1.4200000000000001E-2</c:v>
                </c:pt>
                <c:pt idx="33">
                  <c:v>1.44E-2</c:v>
                </c:pt>
                <c:pt idx="34">
                  <c:v>1.4800000000000001E-2</c:v>
                </c:pt>
                <c:pt idx="35">
                  <c:v>1.49E-2</c:v>
                </c:pt>
                <c:pt idx="36">
                  <c:v>1.41E-2</c:v>
                </c:pt>
                <c:pt idx="37">
                  <c:v>1.2E-2</c:v>
                </c:pt>
                <c:pt idx="38">
                  <c:v>1.0500000000000001E-2</c:v>
                </c:pt>
                <c:pt idx="39">
                  <c:v>1.06E-2</c:v>
                </c:pt>
                <c:pt idx="40">
                  <c:v>1.09E-2</c:v>
                </c:pt>
                <c:pt idx="41">
                  <c:v>1.18E-2</c:v>
                </c:pt>
                <c:pt idx="42">
                  <c:v>1.0800000000000001E-2</c:v>
                </c:pt>
                <c:pt idx="43">
                  <c:v>8.9999999999999993E-3</c:v>
                </c:pt>
                <c:pt idx="44">
                  <c:v>8.3999999999999995E-3</c:v>
                </c:pt>
                <c:pt idx="45">
                  <c:v>1.14E-2</c:v>
                </c:pt>
                <c:pt idx="46">
                  <c:v>2.1399999999999999E-2</c:v>
                </c:pt>
                <c:pt idx="47">
                  <c:v>3.09E-2</c:v>
                </c:pt>
                <c:pt idx="48">
                  <c:v>3.3599999999999998E-2</c:v>
                </c:pt>
                <c:pt idx="49">
                  <c:v>3.3500000000000002E-2</c:v>
                </c:pt>
                <c:pt idx="50">
                  <c:v>3.3300000000000003E-2</c:v>
                </c:pt>
                <c:pt idx="51">
                  <c:v>3.32E-2</c:v>
                </c:pt>
                <c:pt idx="52">
                  <c:v>3.3099999999999997E-2</c:v>
                </c:pt>
                <c:pt idx="53">
                  <c:v>3.3300000000000003E-2</c:v>
                </c:pt>
                <c:pt idx="54">
                  <c:v>3.3599999999999998E-2</c:v>
                </c:pt>
                <c:pt idx="55">
                  <c:v>3.1800000000000002E-2</c:v>
                </c:pt>
                <c:pt idx="56">
                  <c:v>2.41E-2</c:v>
                </c:pt>
                <c:pt idx="57">
                  <c:v>1.78E-2</c:v>
                </c:pt>
                <c:pt idx="58">
                  <c:v>1.61E-2</c:v>
                </c:pt>
                <c:pt idx="59">
                  <c:v>1.4E-2</c:v>
                </c:pt>
                <c:pt idx="60">
                  <c:v>1.23E-2</c:v>
                </c:pt>
                <c:pt idx="61">
                  <c:v>1.14E-2</c:v>
                </c:pt>
                <c:pt idx="62">
                  <c:v>1.0699999999999999E-2</c:v>
                </c:pt>
                <c:pt idx="63">
                  <c:v>1.0500000000000001E-2</c:v>
                </c:pt>
                <c:pt idx="64">
                  <c:v>1.12E-2</c:v>
                </c:pt>
                <c:pt idx="65">
                  <c:v>1.1900000000000001E-2</c:v>
                </c:pt>
                <c:pt idx="66">
                  <c:v>1.1599999999999999E-2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48-47AE-8F1E-C63D3D8E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2190327"/>
        <c:axId val="829351878"/>
      </c:lineChart>
      <c:catAx>
        <c:axId val="2032190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9351878"/>
        <c:crosses val="autoZero"/>
        <c:auto val="1"/>
        <c:lblAlgn val="ctr"/>
        <c:lblOffset val="100"/>
        <c:noMultiLvlLbl val="1"/>
      </c:catAx>
      <c:valAx>
        <c:axId val="82935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21903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Fincen!$C$1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Fincen!$C$2:$C$67</c:f>
              <c:numCache>
                <c:formatCode>#,##0</c:formatCode>
                <c:ptCount val="66"/>
                <c:pt idx="0">
                  <c:v>4620304.1560445707</c:v>
                </c:pt>
                <c:pt idx="1">
                  <c:v>4619842.171827388</c:v>
                </c:pt>
                <c:pt idx="2">
                  <c:v>4618918.3881497579</c:v>
                </c:pt>
                <c:pt idx="3">
                  <c:v>4616610.0831082044</c:v>
                </c:pt>
                <c:pt idx="4">
                  <c:v>4611998.0850231815</c:v>
                </c:pt>
                <c:pt idx="5">
                  <c:v>4596828.5508055231</c:v>
                </c:pt>
                <c:pt idx="6">
                  <c:v>4563967.9813398756</c:v>
                </c:pt>
                <c:pt idx="7">
                  <c:v>4521018.3074193913</c:v>
                </c:pt>
                <c:pt idx="8">
                  <c:v>4474483.6771767531</c:v>
                </c:pt>
                <c:pt idx="9">
                  <c:v>4425362.1572314827</c:v>
                </c:pt>
                <c:pt idx="10">
                  <c:v>4374616.6046179142</c:v>
                </c:pt>
                <c:pt idx="11">
                  <c:v>4322743.6804524846</c:v>
                </c:pt>
                <c:pt idx="12">
                  <c:v>4268954.8493506666</c:v>
                </c:pt>
                <c:pt idx="13">
                  <c:v>4211676.0550026307</c:v>
                </c:pt>
                <c:pt idx="14">
                  <c:v>4150661.3334016274</c:v>
                </c:pt>
                <c:pt idx="15">
                  <c:v>4087710.5903108399</c:v>
                </c:pt>
                <c:pt idx="16">
                  <c:v>4026507.6736710398</c:v>
                </c:pt>
                <c:pt idx="17">
                  <c:v>3965830.4675180139</c:v>
                </c:pt>
                <c:pt idx="18">
                  <c:v>3902992.2916228855</c:v>
                </c:pt>
                <c:pt idx="19">
                  <c:v>3837750.5325692091</c:v>
                </c:pt>
                <c:pt idx="20">
                  <c:v>3770262.8279489232</c:v>
                </c:pt>
                <c:pt idx="21">
                  <c:v>3699237.468552711</c:v>
                </c:pt>
                <c:pt idx="22">
                  <c:v>3624571.2997772987</c:v>
                </c:pt>
                <c:pt idx="23">
                  <c:v>3547588.6265805014</c:v>
                </c:pt>
                <c:pt idx="24">
                  <c:v>3467828.5694824066</c:v>
                </c:pt>
                <c:pt idx="25">
                  <c:v>3385228.9823139464</c:v>
                </c:pt>
                <c:pt idx="26">
                  <c:v>3316575.8619711441</c:v>
                </c:pt>
                <c:pt idx="27">
                  <c:v>3267240.5299686184</c:v>
                </c:pt>
                <c:pt idx="28">
                  <c:v>3221812.9671320566</c:v>
                </c:pt>
                <c:pt idx="29">
                  <c:v>3176703.7735476797</c:v>
                </c:pt>
                <c:pt idx="30">
                  <c:v>3132226.1620466178</c:v>
                </c:pt>
                <c:pt idx="31">
                  <c:v>3088371.2897324176</c:v>
                </c:pt>
                <c:pt idx="32">
                  <c:v>3045130.4375196388</c:v>
                </c:pt>
                <c:pt idx="33">
                  <c:v>3001903.0338324518</c:v>
                </c:pt>
                <c:pt idx="34">
                  <c:v>2958122.816153382</c:v>
                </c:pt>
                <c:pt idx="35">
                  <c:v>2914693.8773804139</c:v>
                </c:pt>
                <c:pt idx="36">
                  <c:v>2874168.107070717</c:v>
                </c:pt>
                <c:pt idx="37">
                  <c:v>2840087.0623228429</c:v>
                </c:pt>
                <c:pt idx="38">
                  <c:v>2810576.0141740157</c:v>
                </c:pt>
                <c:pt idx="39">
                  <c:v>2781096.3924144232</c:v>
                </c:pt>
                <c:pt idx="40">
                  <c:v>2751109.301033162</c:v>
                </c:pt>
                <c:pt idx="41">
                  <c:v>2719024.8082952779</c:v>
                </c:pt>
                <c:pt idx="42">
                  <c:v>2689973.0988279362</c:v>
                </c:pt>
                <c:pt idx="43">
                  <c:v>2665979.2852605912</c:v>
                </c:pt>
                <c:pt idx="44">
                  <c:v>2643771.6037887656</c:v>
                </c:pt>
                <c:pt idx="45">
                  <c:v>2613972.319348196</c:v>
                </c:pt>
                <c:pt idx="46">
                  <c:v>2559205.3253849577</c:v>
                </c:pt>
                <c:pt idx="47">
                  <c:v>2482496.1930206208</c:v>
                </c:pt>
                <c:pt idx="48">
                  <c:v>2401795.8523806315</c:v>
                </c:pt>
                <c:pt idx="49">
                  <c:v>2323943.7371849357</c:v>
                </c:pt>
                <c:pt idx="50">
                  <c:v>2249050.360190589</c:v>
                </c:pt>
                <c:pt idx="51">
                  <c:v>2176781.2235681275</c:v>
                </c:pt>
                <c:pt idx="52">
                  <c:v>2107038.2572530517</c:v>
                </c:pt>
                <c:pt idx="53">
                  <c:v>2039135.0597629454</c:v>
                </c:pt>
                <c:pt idx="54">
                  <c:v>1972847.3875415493</c:v>
                </c:pt>
                <c:pt idx="55">
                  <c:v>1912044.3763728912</c:v>
                </c:pt>
                <c:pt idx="56">
                  <c:v>1867048.5073458562</c:v>
                </c:pt>
                <c:pt idx="57">
                  <c:v>1834396.2540242248</c:v>
                </c:pt>
                <c:pt idx="58">
                  <c:v>1805330.4340362414</c:v>
                </c:pt>
                <c:pt idx="59">
                  <c:v>1780404.7672941235</c:v>
                </c:pt>
                <c:pt idx="60">
                  <c:v>1758771.8732531103</c:v>
                </c:pt>
                <c:pt idx="61">
                  <c:v>1738947.8675628933</c:v>
                </c:pt>
                <c:pt idx="62">
                  <c:v>1720538.1097881601</c:v>
                </c:pt>
                <c:pt idx="63">
                  <c:v>1702660.1779200002</c:v>
                </c:pt>
                <c:pt idx="64">
                  <c:v>1683801.6</c:v>
                </c:pt>
                <c:pt idx="65">
                  <c:v>1664000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2-4C0B-8B74-0AABEAFD9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187191"/>
        <c:axId val="755841170"/>
      </c:lineChart>
      <c:catAx>
        <c:axId val="261187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5841170"/>
        <c:crosses val="autoZero"/>
        <c:auto val="1"/>
        <c:lblAlgn val="ctr"/>
        <c:lblOffset val="100"/>
        <c:noMultiLvlLbl val="1"/>
      </c:catAx>
      <c:valAx>
        <c:axId val="755841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1871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'Fire Coast'!$D$1:$D$67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2.5100000000000001E-2</c:v>
                </c:pt>
                <c:pt idx="4">
                  <c:v>2.5399999999999999E-2</c:v>
                </c:pt>
                <c:pt idx="5">
                  <c:v>2.58E-2</c:v>
                </c:pt>
                <c:pt idx="6">
                  <c:v>2.6200000000000001E-2</c:v>
                </c:pt>
                <c:pt idx="7">
                  <c:v>2.6700000000000002E-2</c:v>
                </c:pt>
                <c:pt idx="8">
                  <c:v>2.7199999999999998E-2</c:v>
                </c:pt>
                <c:pt idx="9">
                  <c:v>2.7799999999999998E-2</c:v>
                </c:pt>
                <c:pt idx="10">
                  <c:v>2.8500000000000001E-2</c:v>
                </c:pt>
                <c:pt idx="11">
                  <c:v>2.9100000000000001E-2</c:v>
                </c:pt>
                <c:pt idx="12">
                  <c:v>2.9700000000000001E-2</c:v>
                </c:pt>
                <c:pt idx="13">
                  <c:v>3.0300000000000001E-2</c:v>
                </c:pt>
                <c:pt idx="14">
                  <c:v>3.0800000000000001E-2</c:v>
                </c:pt>
                <c:pt idx="15">
                  <c:v>3.1099999999999999E-2</c:v>
                </c:pt>
                <c:pt idx="16">
                  <c:v>3.1199999999999999E-2</c:v>
                </c:pt>
                <c:pt idx="17">
                  <c:v>3.1199999999999999E-2</c:v>
                </c:pt>
                <c:pt idx="18">
                  <c:v>3.1199999999999999E-2</c:v>
                </c:pt>
                <c:pt idx="19">
                  <c:v>3.1300000000000001E-2</c:v>
                </c:pt>
                <c:pt idx="20">
                  <c:v>3.1300000000000001E-2</c:v>
                </c:pt>
                <c:pt idx="21">
                  <c:v>3.15E-2</c:v>
                </c:pt>
                <c:pt idx="22">
                  <c:v>3.1699999999999999E-2</c:v>
                </c:pt>
                <c:pt idx="23">
                  <c:v>3.1899999999999998E-2</c:v>
                </c:pt>
                <c:pt idx="24">
                  <c:v>3.2099999999999997E-2</c:v>
                </c:pt>
                <c:pt idx="25">
                  <c:v>3.2199999999999999E-2</c:v>
                </c:pt>
                <c:pt idx="26">
                  <c:v>3.2300000000000002E-2</c:v>
                </c:pt>
                <c:pt idx="27">
                  <c:v>3.2300000000000002E-2</c:v>
                </c:pt>
                <c:pt idx="28">
                  <c:v>3.2099999999999997E-2</c:v>
                </c:pt>
                <c:pt idx="29">
                  <c:v>3.1800000000000002E-2</c:v>
                </c:pt>
                <c:pt idx="30">
                  <c:v>3.1300000000000001E-2</c:v>
                </c:pt>
                <c:pt idx="31">
                  <c:v>3.09E-2</c:v>
                </c:pt>
                <c:pt idx="32">
                  <c:v>3.0499999999999999E-2</c:v>
                </c:pt>
                <c:pt idx="33">
                  <c:v>3.0200000000000001E-2</c:v>
                </c:pt>
                <c:pt idx="34">
                  <c:v>3.0099999999999998E-2</c:v>
                </c:pt>
                <c:pt idx="35">
                  <c:v>3.0099999999999998E-2</c:v>
                </c:pt>
                <c:pt idx="36">
                  <c:v>3.0200000000000001E-2</c:v>
                </c:pt>
                <c:pt idx="37">
                  <c:v>3.04E-2</c:v>
                </c:pt>
                <c:pt idx="38">
                  <c:v>3.0599999999999999E-2</c:v>
                </c:pt>
                <c:pt idx="39">
                  <c:v>3.0800000000000001E-2</c:v>
                </c:pt>
                <c:pt idx="40">
                  <c:v>3.09E-2</c:v>
                </c:pt>
                <c:pt idx="41">
                  <c:v>3.1099999999999999E-2</c:v>
                </c:pt>
                <c:pt idx="42">
                  <c:v>3.1099999999999999E-2</c:v>
                </c:pt>
                <c:pt idx="43">
                  <c:v>3.1099999999999999E-2</c:v>
                </c:pt>
                <c:pt idx="44">
                  <c:v>3.1E-2</c:v>
                </c:pt>
                <c:pt idx="45">
                  <c:v>3.09E-2</c:v>
                </c:pt>
                <c:pt idx="46">
                  <c:v>3.0800000000000001E-2</c:v>
                </c:pt>
                <c:pt idx="47">
                  <c:v>3.0599999999999999E-2</c:v>
                </c:pt>
                <c:pt idx="48">
                  <c:v>3.04E-2</c:v>
                </c:pt>
                <c:pt idx="49">
                  <c:v>3.0099999999999998E-2</c:v>
                </c:pt>
                <c:pt idx="50">
                  <c:v>2.98E-2</c:v>
                </c:pt>
                <c:pt idx="51">
                  <c:v>2.9399999999999999E-2</c:v>
                </c:pt>
                <c:pt idx="52">
                  <c:v>2.9000000000000001E-2</c:v>
                </c:pt>
                <c:pt idx="53">
                  <c:v>2.86E-2</c:v>
                </c:pt>
                <c:pt idx="54">
                  <c:v>2.8199999999999999E-2</c:v>
                </c:pt>
                <c:pt idx="55">
                  <c:v>2.7799999999999998E-2</c:v>
                </c:pt>
                <c:pt idx="56">
                  <c:v>2.7300000000000001E-2</c:v>
                </c:pt>
                <c:pt idx="57">
                  <c:v>2.6800000000000001E-2</c:v>
                </c:pt>
                <c:pt idx="58">
                  <c:v>2.63E-2</c:v>
                </c:pt>
                <c:pt idx="59">
                  <c:v>2.5899999999999999E-2</c:v>
                </c:pt>
                <c:pt idx="60">
                  <c:v>2.5499999999999998E-2</c:v>
                </c:pt>
                <c:pt idx="61">
                  <c:v>2.53E-2</c:v>
                </c:pt>
                <c:pt idx="62">
                  <c:v>2.53E-2</c:v>
                </c:pt>
                <c:pt idx="63">
                  <c:v>2.5399999999999999E-2</c:v>
                </c:pt>
                <c:pt idx="64">
                  <c:v>2.5700000000000001E-2</c:v>
                </c:pt>
                <c:pt idx="65">
                  <c:v>2.5999999999999999E-2</c:v>
                </c:pt>
                <c:pt idx="66">
                  <c:v>2.64E-2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E9-47E2-B04B-EAD5C3612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523753"/>
        <c:axId val="919393019"/>
      </c:lineChart>
      <c:catAx>
        <c:axId val="319523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9393019"/>
        <c:crosses val="autoZero"/>
        <c:auto val="1"/>
        <c:lblAlgn val="ctr"/>
        <c:lblOffset val="100"/>
        <c:noMultiLvlLbl val="1"/>
      </c:catAx>
      <c:valAx>
        <c:axId val="919393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95237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'Fire Coast'!$C$1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'Fire Coast'!$C$2:$C$67</c:f>
              <c:numCache>
                <c:formatCode>#,##0</c:formatCode>
                <c:ptCount val="66"/>
                <c:pt idx="0">
                  <c:v>7181191.2628598064</c:v>
                </c:pt>
                <c:pt idx="1">
                  <c:v>7006040.2564485921</c:v>
                </c:pt>
                <c:pt idx="2">
                  <c:v>6835161.2258035047</c:v>
                </c:pt>
                <c:pt idx="3">
                  <c:v>6667799.4593732376</c:v>
                </c:pt>
                <c:pt idx="4">
                  <c:v>6502632.5915479194</c:v>
                </c:pt>
                <c:pt idx="5">
                  <c:v>6339084.2187053217</c:v>
                </c:pt>
                <c:pt idx="6">
                  <c:v>6177240.5171558391</c:v>
                </c:pt>
                <c:pt idx="7">
                  <c:v>6016597.3674450563</c:v>
                </c:pt>
                <c:pt idx="8">
                  <c:v>5857279.3686186299</c:v>
                </c:pt>
                <c:pt idx="9">
                  <c:v>5698851.3024115879</c:v>
                </c:pt>
                <c:pt idx="10">
                  <c:v>5540934.6644740766</c:v>
                </c:pt>
                <c:pt idx="11">
                  <c:v>5384252.9049403137</c:v>
                </c:pt>
                <c:pt idx="12">
                  <c:v>5228953.0008160761</c:v>
                </c:pt>
                <c:pt idx="13">
                  <c:v>5075175.1924838163</c:v>
                </c:pt>
                <c:pt idx="14">
                  <c:v>4923530.4544856586</c:v>
                </c:pt>
                <c:pt idx="15">
                  <c:v>4775027.1113234982</c:v>
                </c:pt>
                <c:pt idx="16">
                  <c:v>4630553.8317722054</c:v>
                </c:pt>
                <c:pt idx="17">
                  <c:v>4490451.7375603234</c:v>
                </c:pt>
                <c:pt idx="18">
                  <c:v>4354588.5740499645</c:v>
                </c:pt>
                <c:pt idx="19">
                  <c:v>4222426.6208183495</c:v>
                </c:pt>
                <c:pt idx="20">
                  <c:v>4094275.7886341019</c:v>
                </c:pt>
                <c:pt idx="21">
                  <c:v>3969244.5842308304</c:v>
                </c:pt>
                <c:pt idx="22">
                  <c:v>3847285.6297672098</c:v>
                </c:pt>
                <c:pt idx="23">
                  <c:v>3728351.225668388</c:v>
                </c:pt>
                <c:pt idx="24">
                  <c:v>3612393.397605259</c:v>
                </c:pt>
                <c:pt idx="25">
                  <c:v>3499702.9622217198</c:v>
                </c:pt>
                <c:pt idx="26">
                  <c:v>3390199.5177968806</c:v>
                </c:pt>
                <c:pt idx="27">
                  <c:v>3284122.3653946337</c:v>
                </c:pt>
                <c:pt idx="28">
                  <c:v>3181980.7822833387</c:v>
                </c:pt>
                <c:pt idx="29">
                  <c:v>3083912.368950706</c:v>
                </c:pt>
                <c:pt idx="30">
                  <c:v>2990315.4939888543</c:v>
                </c:pt>
                <c:pt idx="31">
                  <c:v>2900684.3476465754</c:v>
                </c:pt>
                <c:pt idx="32">
                  <c:v>2814831.9724857598</c:v>
                </c:pt>
                <c:pt idx="33">
                  <c:v>2732316.0284272567</c:v>
                </c:pt>
                <c:pt idx="34">
                  <c:v>2652476.4861928518</c:v>
                </c:pt>
                <c:pt idx="35">
                  <c:v>2574969.8924306883</c:v>
                </c:pt>
                <c:pt idx="36">
                  <c:v>2499485.4323730231</c:v>
                </c:pt>
                <c:pt idx="37">
                  <c:v>2425742.8497408996</c:v>
                </c:pt>
                <c:pt idx="38">
                  <c:v>2353719.0469055888</c:v>
                </c:pt>
                <c:pt idx="39">
                  <c:v>2283390.6159347971</c:v>
                </c:pt>
                <c:pt idx="40">
                  <c:v>2214948.7010716824</c:v>
                </c:pt>
                <c:pt idx="41">
                  <c:v>2148141.5004089638</c:v>
                </c:pt>
                <c:pt idx="42">
                  <c:v>2083349.3360575736</c:v>
                </c:pt>
                <c:pt idx="43">
                  <c:v>2020511.4305669419</c:v>
                </c:pt>
                <c:pt idx="44">
                  <c:v>1959758.9045266169</c:v>
                </c:pt>
                <c:pt idx="45">
                  <c:v>1901017.4648623699</c:v>
                </c:pt>
                <c:pt idx="46">
                  <c:v>1844215.6236538321</c:v>
                </c:pt>
                <c:pt idx="47">
                  <c:v>1789458.2026526607</c:v>
                </c:pt>
                <c:pt idx="48">
                  <c:v>1736663.6283507964</c:v>
                </c:pt>
                <c:pt idx="49">
                  <c:v>1685917.5112618157</c:v>
                </c:pt>
                <c:pt idx="50">
                  <c:v>1637131.0072458882</c:v>
                </c:pt>
                <c:pt idx="51">
                  <c:v>1590374.0113132778</c:v>
                </c:pt>
                <c:pt idx="52">
                  <c:v>1545552.9750371992</c:v>
                </c:pt>
                <c:pt idx="53">
                  <c:v>1502579.2096414538</c:v>
                </c:pt>
                <c:pt idx="54">
                  <c:v>1461368.6147067242</c:v>
                </c:pt>
                <c:pt idx="55">
                  <c:v>1421841.4231433393</c:v>
                </c:pt>
                <c:pt idx="56">
                  <c:v>1384056.6758915011</c:v>
                </c:pt>
                <c:pt idx="57">
                  <c:v>1347932.0957260432</c:v>
                </c:pt>
                <c:pt idx="58">
                  <c:v>1313389.9402962518</c:v>
                </c:pt>
                <c:pt idx="59">
                  <c:v>1280231.933225706</c:v>
                </c:pt>
                <c:pt idx="60">
                  <c:v>1248397.789591132</c:v>
                </c:pt>
                <c:pt idx="61">
                  <c:v>1217592.694422249</c:v>
                </c:pt>
                <c:pt idx="62">
                  <c:v>1187547.7366841401</c:v>
                </c:pt>
                <c:pt idx="63">
                  <c:v>1158131.2041</c:v>
                </c:pt>
                <c:pt idx="64">
                  <c:v>1129113</c:v>
                </c:pt>
                <c:pt idx="65">
                  <c:v>1100500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0-471B-AA18-84F8A79CF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813823"/>
        <c:axId val="1095731812"/>
      </c:lineChart>
      <c:catAx>
        <c:axId val="29081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731812"/>
        <c:crosses val="autoZero"/>
        <c:auto val="1"/>
        <c:lblAlgn val="ctr"/>
        <c:lblOffset val="100"/>
        <c:noMultiLvlLbl val="1"/>
      </c:catAx>
      <c:valAx>
        <c:axId val="1095731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08138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Gaeiya!$D$1:$D$67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7.9000000000000008E-3</c:v>
                </c:pt>
                <c:pt idx="2">
                  <c:v>8.2000000000000007E-3</c:v>
                </c:pt>
                <c:pt idx="3">
                  <c:v>8.0999999999999996E-3</c:v>
                </c:pt>
                <c:pt idx="4">
                  <c:v>8.0000000000000002E-3</c:v>
                </c:pt>
                <c:pt idx="5">
                  <c:v>8.0999999999999996E-3</c:v>
                </c:pt>
                <c:pt idx="6">
                  <c:v>8.3999999999999995E-3</c:v>
                </c:pt>
                <c:pt idx="7">
                  <c:v>8.3000000000000001E-3</c:v>
                </c:pt>
                <c:pt idx="8">
                  <c:v>7.7999999999999996E-3</c:v>
                </c:pt>
                <c:pt idx="9">
                  <c:v>6.4999999999999997E-3</c:v>
                </c:pt>
                <c:pt idx="10">
                  <c:v>6.0000000000000001E-3</c:v>
                </c:pt>
                <c:pt idx="11">
                  <c:v>5.7000000000000002E-3</c:v>
                </c:pt>
                <c:pt idx="12">
                  <c:v>5.3E-3</c:v>
                </c:pt>
                <c:pt idx="13">
                  <c:v>5.0000000000000001E-3</c:v>
                </c:pt>
                <c:pt idx="14">
                  <c:v>4.4999999999999997E-3</c:v>
                </c:pt>
                <c:pt idx="15">
                  <c:v>3.8999999999999998E-3</c:v>
                </c:pt>
                <c:pt idx="16">
                  <c:v>3.3999999999999998E-3</c:v>
                </c:pt>
                <c:pt idx="17">
                  <c:v>3.3E-3</c:v>
                </c:pt>
                <c:pt idx="18">
                  <c:v>3.3999999999999998E-3</c:v>
                </c:pt>
                <c:pt idx="19">
                  <c:v>3.5000000000000001E-3</c:v>
                </c:pt>
                <c:pt idx="20">
                  <c:v>3.3E-3</c:v>
                </c:pt>
                <c:pt idx="21">
                  <c:v>2.8E-3</c:v>
                </c:pt>
                <c:pt idx="22">
                  <c:v>2.5999999999999999E-3</c:v>
                </c:pt>
                <c:pt idx="23">
                  <c:v>2.3999999999999998E-3</c:v>
                </c:pt>
                <c:pt idx="24">
                  <c:v>2.2000000000000001E-3</c:v>
                </c:pt>
                <c:pt idx="25">
                  <c:v>2.2000000000000001E-3</c:v>
                </c:pt>
                <c:pt idx="26">
                  <c:v>2.3999999999999998E-3</c:v>
                </c:pt>
                <c:pt idx="27">
                  <c:v>2.5999999999999999E-3</c:v>
                </c:pt>
                <c:pt idx="28">
                  <c:v>2.3999999999999998E-3</c:v>
                </c:pt>
                <c:pt idx="29">
                  <c:v>1.9E-3</c:v>
                </c:pt>
                <c:pt idx="30">
                  <c:v>1.4E-3</c:v>
                </c:pt>
                <c:pt idx="31">
                  <c:v>8.9999999999999998E-4</c:v>
                </c:pt>
                <c:pt idx="32">
                  <c:v>5.9999999999999995E-4</c:v>
                </c:pt>
                <c:pt idx="33">
                  <c:v>8.0000000000000004E-4</c:v>
                </c:pt>
                <c:pt idx="34">
                  <c:v>1.1000000000000001E-3</c:v>
                </c:pt>
                <c:pt idx="35">
                  <c:v>1.4E-3</c:v>
                </c:pt>
                <c:pt idx="36">
                  <c:v>1.6000000000000001E-3</c:v>
                </c:pt>
                <c:pt idx="37">
                  <c:v>1.9E-3</c:v>
                </c:pt>
                <c:pt idx="38">
                  <c:v>2.3E-3</c:v>
                </c:pt>
                <c:pt idx="39">
                  <c:v>2.8E-3</c:v>
                </c:pt>
                <c:pt idx="40">
                  <c:v>3.3999999999999998E-3</c:v>
                </c:pt>
                <c:pt idx="41">
                  <c:v>4.1000000000000003E-3</c:v>
                </c:pt>
                <c:pt idx="42">
                  <c:v>5.0000000000000001E-3</c:v>
                </c:pt>
                <c:pt idx="43">
                  <c:v>5.8999999999999999E-3</c:v>
                </c:pt>
                <c:pt idx="44">
                  <c:v>6.7000000000000002E-3</c:v>
                </c:pt>
                <c:pt idx="45">
                  <c:v>7.4000000000000003E-3</c:v>
                </c:pt>
                <c:pt idx="46">
                  <c:v>8.0000000000000002E-3</c:v>
                </c:pt>
                <c:pt idx="47">
                  <c:v>8.3000000000000001E-3</c:v>
                </c:pt>
                <c:pt idx="48">
                  <c:v>8.3000000000000001E-3</c:v>
                </c:pt>
                <c:pt idx="49">
                  <c:v>7.9000000000000008E-3</c:v>
                </c:pt>
                <c:pt idx="50">
                  <c:v>7.1000000000000004E-3</c:v>
                </c:pt>
                <c:pt idx="51">
                  <c:v>6.3E-3</c:v>
                </c:pt>
                <c:pt idx="52">
                  <c:v>5.4999999999999997E-3</c:v>
                </c:pt>
                <c:pt idx="53">
                  <c:v>4.8999999999999998E-3</c:v>
                </c:pt>
                <c:pt idx="54">
                  <c:v>4.4000000000000003E-3</c:v>
                </c:pt>
                <c:pt idx="55">
                  <c:v>4.0000000000000001E-3</c:v>
                </c:pt>
                <c:pt idx="56">
                  <c:v>3.5000000000000001E-3</c:v>
                </c:pt>
                <c:pt idx="57">
                  <c:v>3.0000000000000001E-3</c:v>
                </c:pt>
                <c:pt idx="58">
                  <c:v>2.5999999999999999E-3</c:v>
                </c:pt>
                <c:pt idx="59">
                  <c:v>2.3999999999999998E-3</c:v>
                </c:pt>
                <c:pt idx="60">
                  <c:v>2.5999999999999999E-3</c:v>
                </c:pt>
                <c:pt idx="61">
                  <c:v>3.2000000000000002E-3</c:v>
                </c:pt>
                <c:pt idx="62">
                  <c:v>4.0000000000000001E-3</c:v>
                </c:pt>
                <c:pt idx="63">
                  <c:v>4.7000000000000002E-3</c:v>
                </c:pt>
                <c:pt idx="64">
                  <c:v>5.1999999999999998E-3</c:v>
                </c:pt>
                <c:pt idx="65">
                  <c:v>5.1000000000000004E-3</c:v>
                </c:pt>
                <c:pt idx="66">
                  <c:v>4.4000000000000003E-3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4A-40E6-A6DC-4A1E41B2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768395"/>
        <c:axId val="1843548175"/>
      </c:lineChart>
      <c:catAx>
        <c:axId val="809768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3548175"/>
        <c:crosses val="autoZero"/>
        <c:auto val="1"/>
        <c:lblAlgn val="ctr"/>
        <c:lblOffset val="100"/>
        <c:noMultiLvlLbl val="1"/>
      </c:catAx>
      <c:valAx>
        <c:axId val="1843548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7683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Gaeiya!$C$1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Gaeiya!$C$2:$C$67</c:f>
              <c:numCache>
                <c:formatCode>#,##0</c:formatCode>
                <c:ptCount val="66"/>
                <c:pt idx="0">
                  <c:v>9533758.5500416737</c:v>
                </c:pt>
                <c:pt idx="1">
                  <c:v>9459032.1956956778</c:v>
                </c:pt>
                <c:pt idx="2">
                  <c:v>9382098.9840266593</c:v>
                </c:pt>
                <c:pt idx="3">
                  <c:v>9306714.5958006736</c:v>
                </c:pt>
                <c:pt idx="4">
                  <c:v>9232851.7815482877</c:v>
                </c:pt>
                <c:pt idx="5">
                  <c:v>9158666.5822322071</c:v>
                </c:pt>
                <c:pt idx="6">
                  <c:v>9082374.6352957226</c:v>
                </c:pt>
                <c:pt idx="7">
                  <c:v>9007611.4601762593</c:v>
                </c:pt>
                <c:pt idx="8">
                  <c:v>8937895.8723717593</c:v>
                </c:pt>
                <c:pt idx="9">
                  <c:v>8880174.736583963</c:v>
                </c:pt>
                <c:pt idx="10">
                  <c:v>8827211.4677772988</c:v>
                </c:pt>
                <c:pt idx="11">
                  <c:v>8777181.5330389757</c:v>
                </c:pt>
                <c:pt idx="12">
                  <c:v>8730907.7221117821</c:v>
                </c:pt>
                <c:pt idx="13">
                  <c:v>8687470.3702604808</c:v>
                </c:pt>
                <c:pt idx="14">
                  <c:v>8648551.8867700156</c:v>
                </c:pt>
                <c:pt idx="15">
                  <c:v>8614953.5678553786</c:v>
                </c:pt>
                <c:pt idx="16">
                  <c:v>8585761.9771331251</c:v>
                </c:pt>
                <c:pt idx="17">
                  <c:v>8557522.1540248431</c:v>
                </c:pt>
                <c:pt idx="18">
                  <c:v>8528525.1684521046</c:v>
                </c:pt>
                <c:pt idx="19">
                  <c:v>8498779.4404106662</c:v>
                </c:pt>
                <c:pt idx="20">
                  <c:v>8470825.7155493535</c:v>
                </c:pt>
                <c:pt idx="21">
                  <c:v>8447173.6293870714</c:v>
                </c:pt>
                <c:pt idx="22">
                  <c:v>8425267.9327618908</c:v>
                </c:pt>
                <c:pt idx="23">
                  <c:v>8405095.703074513</c:v>
                </c:pt>
                <c:pt idx="24">
                  <c:v>8386645.0838899547</c:v>
                </c:pt>
                <c:pt idx="25">
                  <c:v>8368234.9669626374</c:v>
                </c:pt>
                <c:pt idx="26">
                  <c:v>8348199.2886698302</c:v>
                </c:pt>
                <c:pt idx="27">
                  <c:v>8326550.2579990337</c:v>
                </c:pt>
                <c:pt idx="28">
                  <c:v>8306614.3834786853</c:v>
                </c:pt>
                <c:pt idx="29">
                  <c:v>8290861.7461609794</c:v>
                </c:pt>
                <c:pt idx="30">
                  <c:v>8279270.7670870572</c:v>
                </c:pt>
                <c:pt idx="31">
                  <c:v>8271826.1235758401</c:v>
                </c:pt>
                <c:pt idx="32">
                  <c:v>8266866.003973457</c:v>
                </c:pt>
                <c:pt idx="33">
                  <c:v>8260257.7977352692</c:v>
                </c:pt>
                <c:pt idx="34">
                  <c:v>8251181.4980873726</c:v>
                </c:pt>
                <c:pt idx="35">
                  <c:v>8239645.9936961969</c:v>
                </c:pt>
                <c:pt idx="36">
                  <c:v>8226483.6199043496</c:v>
                </c:pt>
                <c:pt idx="37">
                  <c:v>8210882.9423139533</c:v>
                </c:pt>
                <c:pt idx="38">
                  <c:v>8192041.2474448308</c:v>
                </c:pt>
                <c:pt idx="39">
                  <c:v>8169167.5782257989</c:v>
                </c:pt>
                <c:pt idx="40">
                  <c:v>8141486.524044049</c:v>
                </c:pt>
                <c:pt idx="41">
                  <c:v>8108242.7288557403</c:v>
                </c:pt>
                <c:pt idx="42">
                  <c:v>8067903.2127917819</c:v>
                </c:pt>
                <c:pt idx="43">
                  <c:v>8020581.7802880816</c:v>
                </c:pt>
                <c:pt idx="44">
                  <c:v>7967201.530036835</c:v>
                </c:pt>
                <c:pt idx="45">
                  <c:v>7908677.317884489</c:v>
                </c:pt>
                <c:pt idx="46">
                  <c:v>7845910.0375838187</c:v>
                </c:pt>
                <c:pt idx="47">
                  <c:v>7781325.0397538617</c:v>
                </c:pt>
                <c:pt idx="48">
                  <c:v>7717271.6847702684</c:v>
                </c:pt>
                <c:pt idx="49">
                  <c:v>7656783.0982937478</c:v>
                </c:pt>
                <c:pt idx="50">
                  <c:v>7602803.1956049521</c:v>
                </c:pt>
                <c:pt idx="51">
                  <c:v>7555205.4015750298</c:v>
                </c:pt>
                <c:pt idx="52">
                  <c:v>7513879.0667081345</c:v>
                </c:pt>
                <c:pt idx="53">
                  <c:v>7477240.5878277794</c:v>
                </c:pt>
                <c:pt idx="54">
                  <c:v>7444484.8544681203</c:v>
                </c:pt>
                <c:pt idx="55">
                  <c:v>7414825.5522590838</c:v>
                </c:pt>
                <c:pt idx="56">
                  <c:v>7388964.1776373526</c:v>
                </c:pt>
                <c:pt idx="57">
                  <c:v>7366863.586876723</c:v>
                </c:pt>
                <c:pt idx="58">
                  <c:v>7347759.412404472</c:v>
                </c:pt>
                <c:pt idx="59">
                  <c:v>7330167.0115766879</c:v>
                </c:pt>
                <c:pt idx="60">
                  <c:v>7311158.0007746741</c:v>
                </c:pt>
                <c:pt idx="61">
                  <c:v>7287836.9226222821</c:v>
                </c:pt>
                <c:pt idx="62">
                  <c:v>7258801.7157592447</c:v>
                </c:pt>
                <c:pt idx="63">
                  <c:v>7224844.9445200013</c:v>
                </c:pt>
                <c:pt idx="64">
                  <c:v>7187470.1000000006</c:v>
                </c:pt>
                <c:pt idx="65">
                  <c:v>7151000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C-449C-BCA8-307D0B01C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348408"/>
        <c:axId val="184473636"/>
      </c:lineChart>
      <c:catAx>
        <c:axId val="164934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473636"/>
        <c:crosses val="autoZero"/>
        <c:auto val="1"/>
        <c:lblAlgn val="ctr"/>
        <c:lblOffset val="100"/>
        <c:noMultiLvlLbl val="1"/>
      </c:catAx>
      <c:valAx>
        <c:axId val="184473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93484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Galca!$D$1:$D$67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1.15E-2</c:v>
                </c:pt>
                <c:pt idx="2">
                  <c:v>1.1900000000000001E-2</c:v>
                </c:pt>
                <c:pt idx="3">
                  <c:v>1.2200000000000001E-2</c:v>
                </c:pt>
                <c:pt idx="4">
                  <c:v>1.2500000000000001E-2</c:v>
                </c:pt>
                <c:pt idx="5">
                  <c:v>1.2699999999999999E-2</c:v>
                </c:pt>
                <c:pt idx="6">
                  <c:v>1.2800000000000001E-2</c:v>
                </c:pt>
                <c:pt idx="7">
                  <c:v>1.2699999999999999E-2</c:v>
                </c:pt>
                <c:pt idx="8">
                  <c:v>1.23E-2</c:v>
                </c:pt>
                <c:pt idx="9">
                  <c:v>1.2200000000000001E-2</c:v>
                </c:pt>
                <c:pt idx="10">
                  <c:v>1.2500000000000001E-2</c:v>
                </c:pt>
                <c:pt idx="11">
                  <c:v>1.3100000000000001E-2</c:v>
                </c:pt>
                <c:pt idx="12">
                  <c:v>1.37E-2</c:v>
                </c:pt>
                <c:pt idx="13">
                  <c:v>1.44E-2</c:v>
                </c:pt>
                <c:pt idx="14">
                  <c:v>1.4999999999999999E-2</c:v>
                </c:pt>
                <c:pt idx="15">
                  <c:v>1.5699999999999999E-2</c:v>
                </c:pt>
                <c:pt idx="16">
                  <c:v>1.6199999999999999E-2</c:v>
                </c:pt>
                <c:pt idx="17">
                  <c:v>1.6199999999999999E-2</c:v>
                </c:pt>
                <c:pt idx="18">
                  <c:v>1.61E-2</c:v>
                </c:pt>
                <c:pt idx="19">
                  <c:v>1.7000000000000001E-2</c:v>
                </c:pt>
                <c:pt idx="20">
                  <c:v>1.6899999999999998E-2</c:v>
                </c:pt>
                <c:pt idx="21">
                  <c:v>1.7500000000000002E-2</c:v>
                </c:pt>
                <c:pt idx="22">
                  <c:v>1.7999999999999999E-2</c:v>
                </c:pt>
                <c:pt idx="23">
                  <c:v>1.9E-2</c:v>
                </c:pt>
                <c:pt idx="24">
                  <c:v>1.9300000000000001E-2</c:v>
                </c:pt>
                <c:pt idx="25">
                  <c:v>1.9599999999999999E-2</c:v>
                </c:pt>
                <c:pt idx="26">
                  <c:v>1.9800000000000002E-2</c:v>
                </c:pt>
                <c:pt idx="27">
                  <c:v>2.06E-2</c:v>
                </c:pt>
                <c:pt idx="28">
                  <c:v>2.0899999999999998E-2</c:v>
                </c:pt>
                <c:pt idx="29">
                  <c:v>2.12E-2</c:v>
                </c:pt>
                <c:pt idx="30">
                  <c:v>2.1499999999999998E-2</c:v>
                </c:pt>
                <c:pt idx="31">
                  <c:v>2.1899999999999999E-2</c:v>
                </c:pt>
                <c:pt idx="32">
                  <c:v>2.2200000000000001E-2</c:v>
                </c:pt>
                <c:pt idx="33">
                  <c:v>2.2499999999999999E-2</c:v>
                </c:pt>
                <c:pt idx="34">
                  <c:v>2.2700000000000001E-2</c:v>
                </c:pt>
                <c:pt idx="35">
                  <c:v>2.29E-2</c:v>
                </c:pt>
                <c:pt idx="36">
                  <c:v>2.3099999999999999E-2</c:v>
                </c:pt>
                <c:pt idx="37">
                  <c:v>2.3300000000000001E-2</c:v>
                </c:pt>
                <c:pt idx="38">
                  <c:v>2.3599999999999999E-2</c:v>
                </c:pt>
                <c:pt idx="39">
                  <c:v>2.3800000000000002E-2</c:v>
                </c:pt>
                <c:pt idx="40">
                  <c:v>2.41E-2</c:v>
                </c:pt>
                <c:pt idx="41">
                  <c:v>2.4400000000000002E-2</c:v>
                </c:pt>
                <c:pt idx="42">
                  <c:v>2.4799999999999999E-2</c:v>
                </c:pt>
                <c:pt idx="43">
                  <c:v>2.5100000000000001E-2</c:v>
                </c:pt>
                <c:pt idx="44">
                  <c:v>2.5499999999999998E-2</c:v>
                </c:pt>
                <c:pt idx="45">
                  <c:v>2.58E-2</c:v>
                </c:pt>
                <c:pt idx="46">
                  <c:v>2.6100000000000002E-2</c:v>
                </c:pt>
                <c:pt idx="47">
                  <c:v>2.6599999999999999E-2</c:v>
                </c:pt>
                <c:pt idx="48">
                  <c:v>2.7199999999999998E-2</c:v>
                </c:pt>
                <c:pt idx="49">
                  <c:v>2.7799999999999998E-2</c:v>
                </c:pt>
                <c:pt idx="50">
                  <c:v>2.8299999999999999E-2</c:v>
                </c:pt>
                <c:pt idx="51">
                  <c:v>2.8799999999999999E-2</c:v>
                </c:pt>
                <c:pt idx="52">
                  <c:v>2.93E-2</c:v>
                </c:pt>
                <c:pt idx="53">
                  <c:v>2.98E-2</c:v>
                </c:pt>
                <c:pt idx="54">
                  <c:v>3.0200000000000001E-2</c:v>
                </c:pt>
                <c:pt idx="55">
                  <c:v>3.0599999999999999E-2</c:v>
                </c:pt>
                <c:pt idx="56">
                  <c:v>3.09E-2</c:v>
                </c:pt>
                <c:pt idx="57">
                  <c:v>3.1199999999999999E-2</c:v>
                </c:pt>
                <c:pt idx="58">
                  <c:v>3.1399999999999997E-2</c:v>
                </c:pt>
                <c:pt idx="59">
                  <c:v>3.1600000000000003E-2</c:v>
                </c:pt>
                <c:pt idx="60">
                  <c:v>3.15E-2</c:v>
                </c:pt>
                <c:pt idx="61">
                  <c:v>3.1300000000000001E-2</c:v>
                </c:pt>
                <c:pt idx="62">
                  <c:v>3.0800000000000001E-2</c:v>
                </c:pt>
                <c:pt idx="63">
                  <c:v>3.0300000000000001E-2</c:v>
                </c:pt>
                <c:pt idx="64">
                  <c:v>2.9700000000000001E-2</c:v>
                </c:pt>
                <c:pt idx="65">
                  <c:v>2.9100000000000001E-2</c:v>
                </c:pt>
                <c:pt idx="66">
                  <c:v>2.8500000000000001E-2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22-4CA1-B981-2F5631FCB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886403"/>
        <c:axId val="1302413372"/>
      </c:lineChart>
      <c:catAx>
        <c:axId val="1448886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2413372"/>
        <c:crosses val="autoZero"/>
        <c:auto val="1"/>
        <c:lblAlgn val="ctr"/>
        <c:lblOffset val="100"/>
        <c:noMultiLvlLbl val="1"/>
      </c:catAx>
      <c:valAx>
        <c:axId val="1302413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88864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Galca!$C$1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Galca!$C$2:$C$67</c:f>
              <c:numCache>
                <c:formatCode>#,##0</c:formatCode>
                <c:ptCount val="66"/>
                <c:pt idx="0">
                  <c:v>16057740.199083162</c:v>
                </c:pt>
                <c:pt idx="1">
                  <c:v>15875175.678777223</c:v>
                </c:pt>
                <c:pt idx="2">
                  <c:v>15688482.73423977</c:v>
                </c:pt>
                <c:pt idx="3">
                  <c:v>15499390.174115561</c:v>
                </c:pt>
                <c:pt idx="4">
                  <c:v>15308039.678138826</c:v>
                </c:pt>
                <c:pt idx="5">
                  <c:v>15116065.644454258</c:v>
                </c:pt>
                <c:pt idx="6">
                  <c:v>14925025.320353732</c:v>
                </c:pt>
                <c:pt idx="7">
                  <c:v>14737854.567348408</c:v>
                </c:pt>
                <c:pt idx="8">
                  <c:v>14558781.554231362</c:v>
                </c:pt>
                <c:pt idx="9">
                  <c:v>14383305.230420236</c:v>
                </c:pt>
                <c:pt idx="10">
                  <c:v>14205733.560908874</c:v>
                </c:pt>
                <c:pt idx="11">
                  <c:v>14022044.774364695</c:v>
                </c:pt>
                <c:pt idx="12">
                  <c:v>13832538.990198968</c:v>
                </c:pt>
                <c:pt idx="13">
                  <c:v>13636178.026615702</c:v>
                </c:pt>
                <c:pt idx="14">
                  <c:v>13434658.154301185</c:v>
                </c:pt>
                <c:pt idx="15">
                  <c:v>13226994.34311429</c:v>
                </c:pt>
                <c:pt idx="16">
                  <c:v>13016132.988697393</c:v>
                </c:pt>
                <c:pt idx="17">
                  <c:v>12808633.131959647</c:v>
                </c:pt>
                <c:pt idx="18">
                  <c:v>12605681.65727748</c:v>
                </c:pt>
                <c:pt idx="19">
                  <c:v>12394967.214628791</c:v>
                </c:pt>
                <c:pt idx="20">
                  <c:v>12188973.561440449</c:v>
                </c:pt>
                <c:pt idx="21">
                  <c:v>11979335.195518868</c:v>
                </c:pt>
                <c:pt idx="22">
                  <c:v>11767519.838427179</c:v>
                </c:pt>
                <c:pt idx="23">
                  <c:v>11548105.827700863</c:v>
                </c:pt>
                <c:pt idx="24">
                  <c:v>11329447.491122203</c:v>
                </c:pt>
                <c:pt idx="25">
                  <c:v>11111658.975208122</c:v>
                </c:pt>
                <c:pt idx="26">
                  <c:v>10895919.763883233</c:v>
                </c:pt>
                <c:pt idx="27">
                  <c:v>10675994.281680614</c:v>
                </c:pt>
                <c:pt idx="28">
                  <c:v>10457433.912900984</c:v>
                </c:pt>
                <c:pt idx="29">
                  <c:v>10240338.731787097</c:v>
                </c:pt>
                <c:pt idx="30">
                  <c:v>10024805.415356923</c:v>
                </c:pt>
                <c:pt idx="31">
                  <c:v>9809967.1350982711</c:v>
                </c:pt>
                <c:pt idx="32">
                  <c:v>9596915.6085876264</c:v>
                </c:pt>
                <c:pt idx="33">
                  <c:v>9385736.5365160163</c:v>
                </c:pt>
                <c:pt idx="34">
                  <c:v>9177409.3443981782</c:v>
                </c:pt>
                <c:pt idx="35">
                  <c:v>8971951.6515770648</c:v>
                </c:pt>
                <c:pt idx="36">
                  <c:v>8769378.9967520926</c:v>
                </c:pt>
                <c:pt idx="37">
                  <c:v>8569704.8732063826</c:v>
                </c:pt>
                <c:pt idx="38">
                  <c:v>8372122.7756998651</c:v>
                </c:pt>
                <c:pt idx="39">
                  <c:v>8177498.315784201</c:v>
                </c:pt>
                <c:pt idx="40">
                  <c:v>7985058.408147838</c:v>
                </c:pt>
                <c:pt idx="41">
                  <c:v>7794863.733061146</c:v>
                </c:pt>
                <c:pt idx="42">
                  <c:v>7606229.2477177465</c:v>
                </c:pt>
                <c:pt idx="43">
                  <c:v>7419987.5599626843</c:v>
                </c:pt>
                <c:pt idx="44">
                  <c:v>7235482.7498417199</c:v>
                </c:pt>
                <c:pt idx="45">
                  <c:v>7053502.3882255014</c:v>
                </c:pt>
                <c:pt idx="46">
                  <c:v>6874088.6738383211</c:v>
                </c:pt>
                <c:pt idx="47">
                  <c:v>6695975.7196944486</c:v>
                </c:pt>
                <c:pt idx="48">
                  <c:v>6518667.9514159355</c:v>
                </c:pt>
                <c:pt idx="49">
                  <c:v>6342350.6046078373</c:v>
                </c:pt>
                <c:pt idx="50">
                  <c:v>6167801.8132916829</c:v>
                </c:pt>
                <c:pt idx="51">
                  <c:v>5995141.7314265976</c:v>
                </c:pt>
                <c:pt idx="52">
                  <c:v>5824484.3402570654</c:v>
                </c:pt>
                <c:pt idx="53">
                  <c:v>5655937.4055710481</c:v>
                </c:pt>
                <c:pt idx="54">
                  <c:v>5490135.3189390879</c:v>
                </c:pt>
                <c:pt idx="55">
                  <c:v>5327125.2852116125</c:v>
                </c:pt>
                <c:pt idx="56">
                  <c:v>5167451.0478335563</c:v>
                </c:pt>
                <c:pt idx="57">
                  <c:v>5011104.584788166</c:v>
                </c:pt>
                <c:pt idx="58">
                  <c:v>4858546.2330697747</c:v>
                </c:pt>
                <c:pt idx="59">
                  <c:v>4709719.1092184708</c:v>
                </c:pt>
                <c:pt idx="60">
                  <c:v>4565893.4650688032</c:v>
                </c:pt>
                <c:pt idx="61">
                  <c:v>4427318.3991746362</c:v>
                </c:pt>
                <c:pt idx="62">
                  <c:v>4295031.4310968537</c:v>
                </c:pt>
                <c:pt idx="63">
                  <c:v>4168719.2381799999</c:v>
                </c:pt>
                <c:pt idx="64">
                  <c:v>4048479.3999999994</c:v>
                </c:pt>
                <c:pt idx="65">
                  <c:v>3934000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B-4D14-9A4B-EB3358B05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635810"/>
        <c:axId val="1860589360"/>
      </c:lineChart>
      <c:catAx>
        <c:axId val="720635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0589360"/>
        <c:crosses val="autoZero"/>
        <c:auto val="1"/>
        <c:lblAlgn val="ctr"/>
        <c:lblOffset val="100"/>
        <c:noMultiLvlLbl val="1"/>
      </c:catAx>
      <c:valAx>
        <c:axId val="1860589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06358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Genaire!$D$1:$D$67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2.1899999999999999E-2</c:v>
                </c:pt>
                <c:pt idx="2">
                  <c:v>2.0400000000000001E-2</c:v>
                </c:pt>
                <c:pt idx="3">
                  <c:v>1.9199999999999998E-2</c:v>
                </c:pt>
                <c:pt idx="4">
                  <c:v>1.8800000000000001E-2</c:v>
                </c:pt>
                <c:pt idx="5">
                  <c:v>1.8800000000000001E-2</c:v>
                </c:pt>
                <c:pt idx="6">
                  <c:v>1.8800000000000001E-2</c:v>
                </c:pt>
                <c:pt idx="7">
                  <c:v>1.8700000000000001E-2</c:v>
                </c:pt>
                <c:pt idx="8">
                  <c:v>1.77E-2</c:v>
                </c:pt>
                <c:pt idx="9">
                  <c:v>1.5900000000000001E-2</c:v>
                </c:pt>
                <c:pt idx="10">
                  <c:v>1.46E-2</c:v>
                </c:pt>
                <c:pt idx="11">
                  <c:v>1.9099999999999999E-2</c:v>
                </c:pt>
                <c:pt idx="12">
                  <c:v>2.1299999999999999E-2</c:v>
                </c:pt>
                <c:pt idx="13">
                  <c:v>1.5299999999999999E-2</c:v>
                </c:pt>
                <c:pt idx="14">
                  <c:v>1.2699999999999999E-2</c:v>
                </c:pt>
                <c:pt idx="15">
                  <c:v>1.3899999999999999E-2</c:v>
                </c:pt>
                <c:pt idx="16">
                  <c:v>1.4200000000000001E-2</c:v>
                </c:pt>
                <c:pt idx="17">
                  <c:v>1.3299999999999999E-2</c:v>
                </c:pt>
                <c:pt idx="18">
                  <c:v>1.17E-2</c:v>
                </c:pt>
                <c:pt idx="19">
                  <c:v>1.0500000000000001E-2</c:v>
                </c:pt>
                <c:pt idx="20">
                  <c:v>1.0800000000000001E-2</c:v>
                </c:pt>
                <c:pt idx="21">
                  <c:v>1.2200000000000001E-2</c:v>
                </c:pt>
                <c:pt idx="22">
                  <c:v>1.2699999999999999E-2</c:v>
                </c:pt>
                <c:pt idx="23">
                  <c:v>1.1900000000000001E-2</c:v>
                </c:pt>
                <c:pt idx="24">
                  <c:v>1.0800000000000001E-2</c:v>
                </c:pt>
                <c:pt idx="25">
                  <c:v>1.01E-2</c:v>
                </c:pt>
                <c:pt idx="26">
                  <c:v>0.01</c:v>
                </c:pt>
                <c:pt idx="27">
                  <c:v>1.09E-2</c:v>
                </c:pt>
                <c:pt idx="28">
                  <c:v>1.26E-2</c:v>
                </c:pt>
                <c:pt idx="29">
                  <c:v>1.46E-2</c:v>
                </c:pt>
                <c:pt idx="30">
                  <c:v>1.6299999999999999E-2</c:v>
                </c:pt>
                <c:pt idx="31">
                  <c:v>1.55E-2</c:v>
                </c:pt>
                <c:pt idx="32">
                  <c:v>1.32E-2</c:v>
                </c:pt>
                <c:pt idx="33">
                  <c:v>1.2200000000000001E-2</c:v>
                </c:pt>
                <c:pt idx="34">
                  <c:v>1.1599999999999999E-2</c:v>
                </c:pt>
                <c:pt idx="35">
                  <c:v>1.0999999999999999E-2</c:v>
                </c:pt>
                <c:pt idx="36">
                  <c:v>1.0699999999999999E-2</c:v>
                </c:pt>
                <c:pt idx="37">
                  <c:v>1.0500000000000001E-2</c:v>
                </c:pt>
                <c:pt idx="38">
                  <c:v>9.7999999999999997E-3</c:v>
                </c:pt>
                <c:pt idx="39">
                  <c:v>8.9999999999999993E-3</c:v>
                </c:pt>
                <c:pt idx="40">
                  <c:v>8.8999999999999999E-3</c:v>
                </c:pt>
                <c:pt idx="41">
                  <c:v>9.5999999999999992E-3</c:v>
                </c:pt>
                <c:pt idx="42">
                  <c:v>1.04E-2</c:v>
                </c:pt>
                <c:pt idx="43">
                  <c:v>1.03E-2</c:v>
                </c:pt>
                <c:pt idx="44">
                  <c:v>9.4999999999999998E-3</c:v>
                </c:pt>
                <c:pt idx="45">
                  <c:v>9.2999999999999992E-3</c:v>
                </c:pt>
                <c:pt idx="46">
                  <c:v>9.5999999999999992E-3</c:v>
                </c:pt>
                <c:pt idx="47">
                  <c:v>9.7999999999999997E-3</c:v>
                </c:pt>
                <c:pt idx="48">
                  <c:v>1.0200000000000001E-2</c:v>
                </c:pt>
                <c:pt idx="49">
                  <c:v>1.0800000000000001E-2</c:v>
                </c:pt>
                <c:pt idx="50">
                  <c:v>1.1299999999999999E-2</c:v>
                </c:pt>
                <c:pt idx="51">
                  <c:v>1.0999999999999999E-2</c:v>
                </c:pt>
                <c:pt idx="52">
                  <c:v>1.0500000000000001E-2</c:v>
                </c:pt>
                <c:pt idx="53">
                  <c:v>1.06E-2</c:v>
                </c:pt>
                <c:pt idx="54">
                  <c:v>1.06E-2</c:v>
                </c:pt>
                <c:pt idx="55">
                  <c:v>9.7000000000000003E-3</c:v>
                </c:pt>
                <c:pt idx="56">
                  <c:v>9.1999999999999998E-3</c:v>
                </c:pt>
                <c:pt idx="57">
                  <c:v>1.09E-2</c:v>
                </c:pt>
                <c:pt idx="58">
                  <c:v>1.2500000000000001E-2</c:v>
                </c:pt>
                <c:pt idx="59">
                  <c:v>1.32E-2</c:v>
                </c:pt>
                <c:pt idx="60">
                  <c:v>1.3100000000000001E-2</c:v>
                </c:pt>
                <c:pt idx="61">
                  <c:v>1.03E-2</c:v>
                </c:pt>
                <c:pt idx="62">
                  <c:v>7.4000000000000003E-3</c:v>
                </c:pt>
                <c:pt idx="63">
                  <c:v>9.4999999999999998E-3</c:v>
                </c:pt>
                <c:pt idx="64">
                  <c:v>1.23E-2</c:v>
                </c:pt>
                <c:pt idx="65">
                  <c:v>1.1299999999999999E-2</c:v>
                </c:pt>
                <c:pt idx="66">
                  <c:v>9.7000000000000003E-3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C4-4D07-A3FB-D062EF9B9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581280"/>
        <c:axId val="1647074899"/>
      </c:lineChart>
      <c:catAx>
        <c:axId val="37458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7074899"/>
        <c:crosses val="autoZero"/>
        <c:auto val="1"/>
        <c:lblAlgn val="ctr"/>
        <c:lblOffset val="100"/>
        <c:noMultiLvlLbl val="1"/>
      </c:catAx>
      <c:valAx>
        <c:axId val="1647074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45812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Genaire!$C$1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Genaire!$C$2:$C$67</c:f>
              <c:numCache>
                <c:formatCode>#,##0</c:formatCode>
                <c:ptCount val="66"/>
                <c:pt idx="0">
                  <c:v>15795141.513968688</c:v>
                </c:pt>
                <c:pt idx="1">
                  <c:v>15456641.074438484</c:v>
                </c:pt>
                <c:pt idx="2">
                  <c:v>15147629.433985187</c:v>
                </c:pt>
                <c:pt idx="3">
                  <c:v>14862273.777457992</c:v>
                </c:pt>
                <c:pt idx="4">
                  <c:v>14588019.019884171</c:v>
                </c:pt>
                <c:pt idx="5">
                  <c:v>14318825.107856471</c:v>
                </c:pt>
                <c:pt idx="6">
                  <c:v>14054598.653176749</c:v>
                </c:pt>
                <c:pt idx="7">
                  <c:v>13796602.192182928</c:v>
                </c:pt>
                <c:pt idx="8">
                  <c:v>13556649.496101923</c:v>
                </c:pt>
                <c:pt idx="9">
                  <c:v>13344472.385177599</c:v>
                </c:pt>
                <c:pt idx="10">
                  <c:v>13152446.66388488</c:v>
                </c:pt>
                <c:pt idx="11">
                  <c:v>12905943.149725132</c:v>
                </c:pt>
                <c:pt idx="12">
                  <c:v>12636779.741236787</c:v>
                </c:pt>
                <c:pt idx="13">
                  <c:v>12446350.577402528</c:v>
                </c:pt>
                <c:pt idx="14">
                  <c:v>12290264.221785849</c:v>
                </c:pt>
                <c:pt idx="15">
                  <c:v>12121771.596593203</c:v>
                </c:pt>
                <c:pt idx="16">
                  <c:v>11952052.451777956</c:v>
                </c:pt>
                <c:pt idx="17">
                  <c:v>11795176.602958605</c:v>
                </c:pt>
                <c:pt idx="18">
                  <c:v>11658769.005593164</c:v>
                </c:pt>
                <c:pt idx="19">
                  <c:v>11537623.954075374</c:v>
                </c:pt>
                <c:pt idx="20">
                  <c:v>11414348.985036975</c:v>
                </c:pt>
                <c:pt idx="21">
                  <c:v>11276772.362217916</c:v>
                </c:pt>
                <c:pt idx="22">
                  <c:v>11135353.374363501</c:v>
                </c:pt>
                <c:pt idx="23">
                  <c:v>11004401.002434529</c:v>
                </c:pt>
                <c:pt idx="24">
                  <c:v>10886823.310679195</c:v>
                </c:pt>
                <c:pt idx="25">
                  <c:v>10777965.855538258</c:v>
                </c:pt>
                <c:pt idx="26">
                  <c:v>10671253.322315108</c:v>
                </c:pt>
                <c:pt idx="27">
                  <c:v>10556190.842135828</c:v>
                </c:pt>
                <c:pt idx="28">
                  <c:v>10424837.884787505</c:v>
                </c:pt>
                <c:pt idx="29">
                  <c:v>10274825.433459004</c:v>
                </c:pt>
                <c:pt idx="30">
                  <c:v>10110031.91327266</c:v>
                </c:pt>
                <c:pt idx="31">
                  <c:v>9955718.2799336873</c:v>
                </c:pt>
                <c:pt idx="32">
                  <c:v>9826014.8834718578</c:v>
                </c:pt>
                <c:pt idx="33">
                  <c:v>9707582.3784547113</c:v>
                </c:pt>
                <c:pt idx="34">
                  <c:v>9596265.6963767409</c:v>
                </c:pt>
                <c:pt idx="35">
                  <c:v>9491855.2882064711</c:v>
                </c:pt>
                <c:pt idx="36">
                  <c:v>9391367.6543054041</c:v>
                </c:pt>
                <c:pt idx="37">
                  <c:v>9293782.9335036166</c:v>
                </c:pt>
                <c:pt idx="38">
                  <c:v>9203587.7733250316</c:v>
                </c:pt>
                <c:pt idx="39">
                  <c:v>9121494.3244053833</c:v>
                </c:pt>
                <c:pt idx="40">
                  <c:v>9041029.1648383234</c:v>
                </c:pt>
                <c:pt idx="41">
                  <c:v>8955060.5832392257</c:v>
                </c:pt>
                <c:pt idx="42">
                  <c:v>8862886.5629841909</c:v>
                </c:pt>
                <c:pt idx="43">
                  <c:v>8772529.5090410672</c:v>
                </c:pt>
                <c:pt idx="44">
                  <c:v>8689974.748926267</c:v>
                </c:pt>
                <c:pt idx="45">
                  <c:v>8609902.6542418171</c:v>
                </c:pt>
                <c:pt idx="46">
                  <c:v>8528033.532331435</c:v>
                </c:pt>
                <c:pt idx="47">
                  <c:v>8445269.8874345757</c:v>
                </c:pt>
                <c:pt idx="48">
                  <c:v>8359997.9087651717</c:v>
                </c:pt>
                <c:pt idx="49">
                  <c:v>8270674.6228385167</c:v>
                </c:pt>
                <c:pt idx="50">
                  <c:v>8178260.2816558052</c:v>
                </c:pt>
                <c:pt idx="51">
                  <c:v>8089278.2212223597</c:v>
                </c:pt>
                <c:pt idx="52">
                  <c:v>8005223.3757767044</c:v>
                </c:pt>
                <c:pt idx="53">
                  <c:v>7921258.040546908</c:v>
                </c:pt>
                <c:pt idx="54">
                  <c:v>7838173.4024806144</c:v>
                </c:pt>
                <c:pt idx="55">
                  <c:v>7762873.5292469189</c:v>
                </c:pt>
                <c:pt idx="56">
                  <c:v>7692106.1526426058</c:v>
                </c:pt>
                <c:pt idx="57">
                  <c:v>7609166.2406198503</c:v>
                </c:pt>
                <c:pt idx="58">
                  <c:v>7515225.916661581</c:v>
                </c:pt>
                <c:pt idx="59">
                  <c:v>7417317.3279328663</c:v>
                </c:pt>
                <c:pt idx="60">
                  <c:v>7321406.897574638</c:v>
                </c:pt>
                <c:pt idx="61">
                  <c:v>7246765.2158513693</c:v>
                </c:pt>
                <c:pt idx="62">
                  <c:v>7193533.0711250436</c:v>
                </c:pt>
                <c:pt idx="63">
                  <c:v>7125837.6137939999</c:v>
                </c:pt>
                <c:pt idx="64">
                  <c:v>7039254.7800000003</c:v>
                </c:pt>
                <c:pt idx="65">
                  <c:v>6960600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5C-4E58-9FE3-C1EDC262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772006"/>
        <c:axId val="1028130405"/>
      </c:lineChart>
      <c:catAx>
        <c:axId val="702772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8130405"/>
        <c:crosses val="autoZero"/>
        <c:auto val="1"/>
        <c:lblAlgn val="ctr"/>
        <c:lblOffset val="100"/>
        <c:noMultiLvlLbl val="1"/>
      </c:catAx>
      <c:valAx>
        <c:axId val="1028130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2772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Grazail!$D$1:$D$67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7.3000000000000001E-3</c:v>
                </c:pt>
                <c:pt idx="2">
                  <c:v>7.3000000000000001E-3</c:v>
                </c:pt>
                <c:pt idx="3">
                  <c:v>7.1999999999999998E-3</c:v>
                </c:pt>
                <c:pt idx="4">
                  <c:v>7.3000000000000001E-3</c:v>
                </c:pt>
                <c:pt idx="5">
                  <c:v>7.3000000000000001E-3</c:v>
                </c:pt>
                <c:pt idx="6">
                  <c:v>9.2999999999999992E-3</c:v>
                </c:pt>
                <c:pt idx="7">
                  <c:v>9.4999999999999998E-3</c:v>
                </c:pt>
                <c:pt idx="8">
                  <c:v>9.4999999999999998E-3</c:v>
                </c:pt>
                <c:pt idx="9">
                  <c:v>9.2999999999999992E-3</c:v>
                </c:pt>
                <c:pt idx="10">
                  <c:v>9.1000000000000004E-3</c:v>
                </c:pt>
                <c:pt idx="11">
                  <c:v>9.2999999999999992E-3</c:v>
                </c:pt>
                <c:pt idx="12">
                  <c:v>9.5999999999999992E-3</c:v>
                </c:pt>
                <c:pt idx="13">
                  <c:v>9.7000000000000003E-3</c:v>
                </c:pt>
                <c:pt idx="14">
                  <c:v>9.9000000000000008E-3</c:v>
                </c:pt>
                <c:pt idx="15">
                  <c:v>1.11E-2</c:v>
                </c:pt>
                <c:pt idx="16">
                  <c:v>1.15E-2</c:v>
                </c:pt>
                <c:pt idx="17">
                  <c:v>1.1900000000000001E-2</c:v>
                </c:pt>
                <c:pt idx="18">
                  <c:v>1.21E-2</c:v>
                </c:pt>
                <c:pt idx="19">
                  <c:v>1.21E-2</c:v>
                </c:pt>
                <c:pt idx="20">
                  <c:v>1.1900000000000001E-2</c:v>
                </c:pt>
                <c:pt idx="21">
                  <c:v>1.15E-2</c:v>
                </c:pt>
                <c:pt idx="22">
                  <c:v>1.11E-2</c:v>
                </c:pt>
                <c:pt idx="23">
                  <c:v>1.06E-2</c:v>
                </c:pt>
                <c:pt idx="24">
                  <c:v>1.01E-2</c:v>
                </c:pt>
                <c:pt idx="25">
                  <c:v>9.5999999999999992E-3</c:v>
                </c:pt>
                <c:pt idx="26">
                  <c:v>9.4999999999999998E-3</c:v>
                </c:pt>
                <c:pt idx="27">
                  <c:v>9.5999999999999992E-3</c:v>
                </c:pt>
                <c:pt idx="28">
                  <c:v>9.5999999999999992E-3</c:v>
                </c:pt>
                <c:pt idx="29">
                  <c:v>9.4000000000000004E-3</c:v>
                </c:pt>
                <c:pt idx="30">
                  <c:v>9.1999999999999998E-3</c:v>
                </c:pt>
                <c:pt idx="31">
                  <c:v>8.9999999999999993E-3</c:v>
                </c:pt>
                <c:pt idx="32">
                  <c:v>9.1000000000000004E-3</c:v>
                </c:pt>
                <c:pt idx="33">
                  <c:v>9.2999999999999992E-3</c:v>
                </c:pt>
                <c:pt idx="34">
                  <c:v>9.4000000000000004E-3</c:v>
                </c:pt>
                <c:pt idx="35">
                  <c:v>9.4999999999999998E-3</c:v>
                </c:pt>
                <c:pt idx="36">
                  <c:v>9.5999999999999992E-3</c:v>
                </c:pt>
                <c:pt idx="37">
                  <c:v>9.7999999999999997E-3</c:v>
                </c:pt>
                <c:pt idx="38">
                  <c:v>0.01</c:v>
                </c:pt>
                <c:pt idx="39">
                  <c:v>1.0200000000000001E-2</c:v>
                </c:pt>
                <c:pt idx="40">
                  <c:v>1.04E-2</c:v>
                </c:pt>
                <c:pt idx="41">
                  <c:v>1.0699999999999999E-2</c:v>
                </c:pt>
                <c:pt idx="42">
                  <c:v>1.0999999999999999E-2</c:v>
                </c:pt>
                <c:pt idx="43">
                  <c:v>1.11E-2</c:v>
                </c:pt>
                <c:pt idx="44">
                  <c:v>1.11E-2</c:v>
                </c:pt>
                <c:pt idx="45">
                  <c:v>1.0999999999999999E-2</c:v>
                </c:pt>
                <c:pt idx="46">
                  <c:v>1.09E-2</c:v>
                </c:pt>
                <c:pt idx="47">
                  <c:v>1.09E-2</c:v>
                </c:pt>
                <c:pt idx="48">
                  <c:v>1.11E-2</c:v>
                </c:pt>
                <c:pt idx="49">
                  <c:v>1.1599999999999999E-2</c:v>
                </c:pt>
                <c:pt idx="50">
                  <c:v>1.2500000000000001E-2</c:v>
                </c:pt>
                <c:pt idx="51">
                  <c:v>1.3599999999999999E-2</c:v>
                </c:pt>
                <c:pt idx="52">
                  <c:v>1.47E-2</c:v>
                </c:pt>
                <c:pt idx="53">
                  <c:v>1.55E-2</c:v>
                </c:pt>
                <c:pt idx="54">
                  <c:v>1.61E-2</c:v>
                </c:pt>
                <c:pt idx="55">
                  <c:v>1.6500000000000001E-2</c:v>
                </c:pt>
                <c:pt idx="56">
                  <c:v>1.67E-2</c:v>
                </c:pt>
                <c:pt idx="57">
                  <c:v>1.6799999999999999E-2</c:v>
                </c:pt>
                <c:pt idx="58">
                  <c:v>1.6899999999999998E-2</c:v>
                </c:pt>
                <c:pt idx="59">
                  <c:v>1.7100000000000001E-2</c:v>
                </c:pt>
                <c:pt idx="60">
                  <c:v>1.7100000000000001E-2</c:v>
                </c:pt>
                <c:pt idx="61">
                  <c:v>1.7000000000000001E-2</c:v>
                </c:pt>
                <c:pt idx="62">
                  <c:v>1.67E-2</c:v>
                </c:pt>
                <c:pt idx="63">
                  <c:v>1.6199999999999999E-2</c:v>
                </c:pt>
                <c:pt idx="64">
                  <c:v>1.55E-2</c:v>
                </c:pt>
                <c:pt idx="65">
                  <c:v>1.47E-2</c:v>
                </c:pt>
                <c:pt idx="66">
                  <c:v>1.3899999999999999E-2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AA-4C90-8C16-AF379D7CE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437387"/>
        <c:axId val="1994178013"/>
      </c:lineChart>
      <c:catAx>
        <c:axId val="1890437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178013"/>
        <c:crosses val="autoZero"/>
        <c:auto val="1"/>
        <c:lblAlgn val="ctr"/>
        <c:lblOffset val="100"/>
        <c:noMultiLvlLbl val="1"/>
      </c:catAx>
      <c:valAx>
        <c:axId val="1994178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04373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Grazail!$C$1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Grazail!$C$2:$C$67</c:f>
              <c:numCache>
                <c:formatCode>#,##0</c:formatCode>
                <c:ptCount val="66"/>
                <c:pt idx="0">
                  <c:v>3348448.3447464439</c:v>
                </c:pt>
                <c:pt idx="1">
                  <c:v>3324181.8174788482</c:v>
                </c:pt>
                <c:pt idx="2">
                  <c:v>3300091.1520687458</c:v>
                </c:pt>
                <c:pt idx="3">
                  <c:v>3276500.3495519715</c:v>
                </c:pt>
                <c:pt idx="4">
                  <c:v>3252755.2363267858</c:v>
                </c:pt>
                <c:pt idx="5">
                  <c:v>3229182.2062213696</c:v>
                </c:pt>
                <c:pt idx="6">
                  <c:v>3199427.5301905968</c:v>
                </c:pt>
                <c:pt idx="7">
                  <c:v>3169318.9996935083</c:v>
                </c:pt>
                <c:pt idx="8">
                  <c:v>3139493.8085126379</c:v>
                </c:pt>
                <c:pt idx="9">
                  <c:v>3110565.548907795</c:v>
                </c:pt>
                <c:pt idx="10">
                  <c:v>3082514.66545218</c:v>
                </c:pt>
                <c:pt idx="11">
                  <c:v>3054111.4291609824</c:v>
                </c:pt>
                <c:pt idx="12">
                  <c:v>3025070.7499613534</c:v>
                </c:pt>
                <c:pt idx="13">
                  <c:v>2996009.4582166518</c:v>
                </c:pt>
                <c:pt idx="14">
                  <c:v>2966639.7249397482</c:v>
                </c:pt>
                <c:pt idx="15">
                  <c:v>2934071.5309462445</c:v>
                </c:pt>
                <c:pt idx="16">
                  <c:v>2900713.3276779479</c:v>
                </c:pt>
                <c:pt idx="17">
                  <c:v>2866600.7784148115</c:v>
                </c:pt>
                <c:pt idx="18">
                  <c:v>2832329.5903713186</c:v>
                </c:pt>
                <c:pt idx="19">
                  <c:v>2798468.1260461602</c:v>
                </c:pt>
                <c:pt idx="20">
                  <c:v>2765557.9860126101</c:v>
                </c:pt>
                <c:pt idx="21">
                  <c:v>2734115.6559689669</c:v>
                </c:pt>
                <c:pt idx="22">
                  <c:v>2704100.1443664986</c:v>
                </c:pt>
                <c:pt idx="23">
                  <c:v>2675737.3286824645</c:v>
                </c:pt>
                <c:pt idx="24">
                  <c:v>2648982.6043782444</c:v>
                </c:pt>
                <c:pt idx="25">
                  <c:v>2623794.1802478647</c:v>
                </c:pt>
                <c:pt idx="26">
                  <c:v>2599102.704554596</c:v>
                </c:pt>
                <c:pt idx="27">
                  <c:v>2574388.5742418738</c:v>
                </c:pt>
                <c:pt idx="28">
                  <c:v>2549909.4435834722</c:v>
                </c:pt>
                <c:pt idx="29">
                  <c:v>2526163.5066212323</c:v>
                </c:pt>
                <c:pt idx="30">
                  <c:v>2503134.667678589</c:v>
                </c:pt>
                <c:pt idx="31">
                  <c:v>2480807.4010689687</c:v>
                </c:pt>
                <c:pt idx="32">
                  <c:v>2458435.636774322</c:v>
                </c:pt>
                <c:pt idx="33">
                  <c:v>2435782.8562115543</c:v>
                </c:pt>
                <c:pt idx="34">
                  <c:v>2413099.7188543235</c:v>
                </c:pt>
                <c:pt idx="35">
                  <c:v>2390391.0043133465</c:v>
                </c:pt>
                <c:pt idx="36">
                  <c:v>2367661.4543515714</c:v>
                </c:pt>
                <c:pt idx="37">
                  <c:v>2344683.555507597</c:v>
                </c:pt>
                <c:pt idx="38">
                  <c:v>2321468.8668392049</c:v>
                </c:pt>
                <c:pt idx="39">
                  <c:v>2298028.9713316225</c:v>
                </c:pt>
                <c:pt idx="40">
                  <c:v>2274375.4664802281</c:v>
                </c:pt>
                <c:pt idx="41">
                  <c:v>2250297.2855251096</c:v>
                </c:pt>
                <c:pt idx="42">
                  <c:v>2225813.3387983283</c:v>
                </c:pt>
                <c:pt idx="43">
                  <c:v>2201378.0425262861</c:v>
                </c:pt>
                <c:pt idx="44">
                  <c:v>2177211.000421606</c:v>
                </c:pt>
                <c:pt idx="45">
                  <c:v>2153522.2556098974</c:v>
                </c:pt>
                <c:pt idx="46">
                  <c:v>2130301.9642001162</c:v>
                </c:pt>
                <c:pt idx="47">
                  <c:v>2107332.0449105911</c:v>
                </c:pt>
                <c:pt idx="48">
                  <c:v>2084197.4531802896</c:v>
                </c:pt>
                <c:pt idx="49">
                  <c:v>2060297.9964217967</c:v>
                </c:pt>
                <c:pt idx="50">
                  <c:v>2034862.2186881944</c:v>
                </c:pt>
                <c:pt idx="51">
                  <c:v>2007559.4107026383</c:v>
                </c:pt>
                <c:pt idx="52">
                  <c:v>1978475.8162044333</c:v>
                </c:pt>
                <c:pt idx="53">
                  <c:v>1948277.5147261776</c:v>
                </c:pt>
                <c:pt idx="54">
                  <c:v>1917407.2578743997</c:v>
                </c:pt>
                <c:pt idx="55">
                  <c:v>1886283.578823807</c:v>
                </c:pt>
                <c:pt idx="56">
                  <c:v>1855300.0676933285</c:v>
                </c:pt>
                <c:pt idx="57">
                  <c:v>1824646.0146472547</c:v>
                </c:pt>
                <c:pt idx="58">
                  <c:v>1794321.9732985101</c:v>
                </c:pt>
                <c:pt idx="59">
                  <c:v>1764154.9240964607</c:v>
                </c:pt>
                <c:pt idx="60">
                  <c:v>1734495.0585944951</c:v>
                </c:pt>
                <c:pt idx="61">
                  <c:v>1705501.5325412932</c:v>
                </c:pt>
                <c:pt idx="62">
                  <c:v>1677487.4914343399</c:v>
                </c:pt>
                <c:pt idx="63">
                  <c:v>1650745.4157</c:v>
                </c:pt>
                <c:pt idx="64">
                  <c:v>1625549.4</c:v>
                </c:pt>
                <c:pt idx="65">
                  <c:v>1602000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815-92B4-CC6D6461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623448"/>
        <c:axId val="2142701440"/>
      </c:lineChart>
      <c:catAx>
        <c:axId val="195762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2701440"/>
        <c:crosses val="autoZero"/>
        <c:auto val="1"/>
        <c:lblAlgn val="ctr"/>
        <c:lblOffset val="100"/>
        <c:noMultiLvlLbl val="1"/>
      </c:catAx>
      <c:valAx>
        <c:axId val="2142701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76234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Guise!$D$1:$D$67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2.4500000000000001E-2</c:v>
                </c:pt>
                <c:pt idx="2">
                  <c:v>5.4100000000000002E-2</c:v>
                </c:pt>
                <c:pt idx="3">
                  <c:v>4.2000000000000003E-2</c:v>
                </c:pt>
                <c:pt idx="4">
                  <c:v>4.5400000000000003E-2</c:v>
                </c:pt>
                <c:pt idx="5">
                  <c:v>-9.9000000000000008E-3</c:v>
                </c:pt>
                <c:pt idx="6">
                  <c:v>3.9100000000000003E-2</c:v>
                </c:pt>
                <c:pt idx="7">
                  <c:v>4.0300000000000002E-2</c:v>
                </c:pt>
                <c:pt idx="8">
                  <c:v>4.1500000000000002E-2</c:v>
                </c:pt>
                <c:pt idx="9">
                  <c:v>4.2799999999999998E-2</c:v>
                </c:pt>
                <c:pt idx="10">
                  <c:v>4.4299999999999999E-2</c:v>
                </c:pt>
                <c:pt idx="11">
                  <c:v>4.5900000000000003E-2</c:v>
                </c:pt>
                <c:pt idx="12">
                  <c:v>4.7699999999999999E-2</c:v>
                </c:pt>
                <c:pt idx="13">
                  <c:v>4.9799999999999997E-2</c:v>
                </c:pt>
                <c:pt idx="14">
                  <c:v>5.1999999999999998E-2</c:v>
                </c:pt>
                <c:pt idx="15">
                  <c:v>4.4600000000000001E-2</c:v>
                </c:pt>
                <c:pt idx="16">
                  <c:v>3.6200000000000003E-2</c:v>
                </c:pt>
                <c:pt idx="17">
                  <c:v>3.7400000000000003E-2</c:v>
                </c:pt>
                <c:pt idx="18">
                  <c:v>3.8600000000000002E-2</c:v>
                </c:pt>
                <c:pt idx="19">
                  <c:v>0.04</c:v>
                </c:pt>
                <c:pt idx="20">
                  <c:v>4.1399999999999999E-2</c:v>
                </c:pt>
                <c:pt idx="21">
                  <c:v>4.2799999999999998E-2</c:v>
                </c:pt>
                <c:pt idx="22">
                  <c:v>4.4299999999999999E-2</c:v>
                </c:pt>
                <c:pt idx="23">
                  <c:v>4.5999999999999999E-2</c:v>
                </c:pt>
                <c:pt idx="24">
                  <c:v>4.7699999999999999E-2</c:v>
                </c:pt>
                <c:pt idx="25">
                  <c:v>4.9299999999999997E-2</c:v>
                </c:pt>
                <c:pt idx="26">
                  <c:v>5.0500000000000003E-2</c:v>
                </c:pt>
                <c:pt idx="27">
                  <c:v>5.3199999999999997E-2</c:v>
                </c:pt>
                <c:pt idx="28">
                  <c:v>5.6500000000000002E-2</c:v>
                </c:pt>
                <c:pt idx="29">
                  <c:v>5.6899999999999999E-2</c:v>
                </c:pt>
                <c:pt idx="30">
                  <c:v>5.74E-2</c:v>
                </c:pt>
                <c:pt idx="31">
                  <c:v>5.9499999999999997E-2</c:v>
                </c:pt>
                <c:pt idx="32">
                  <c:v>6.0900000000000003E-2</c:v>
                </c:pt>
                <c:pt idx="33">
                  <c:v>6.0999999999999999E-2</c:v>
                </c:pt>
                <c:pt idx="34">
                  <c:v>5.9799999999999999E-2</c:v>
                </c:pt>
                <c:pt idx="35">
                  <c:v>5.8599999999999999E-2</c:v>
                </c:pt>
                <c:pt idx="36">
                  <c:v>5.8099999999999999E-2</c:v>
                </c:pt>
                <c:pt idx="37">
                  <c:v>5.7099999999999998E-2</c:v>
                </c:pt>
                <c:pt idx="38">
                  <c:v>5.1400000000000001E-2</c:v>
                </c:pt>
                <c:pt idx="39">
                  <c:v>4.6300000000000001E-2</c:v>
                </c:pt>
                <c:pt idx="40">
                  <c:v>4.3499999999999997E-2</c:v>
                </c:pt>
                <c:pt idx="41">
                  <c:v>4.3499999999999997E-2</c:v>
                </c:pt>
                <c:pt idx="42">
                  <c:v>4.3499999999999997E-2</c:v>
                </c:pt>
                <c:pt idx="43">
                  <c:v>4.3400000000000001E-2</c:v>
                </c:pt>
                <c:pt idx="44">
                  <c:v>4.3099999999999999E-2</c:v>
                </c:pt>
                <c:pt idx="45">
                  <c:v>4.2700000000000002E-2</c:v>
                </c:pt>
                <c:pt idx="46">
                  <c:v>4.2200000000000001E-2</c:v>
                </c:pt>
                <c:pt idx="47">
                  <c:v>4.1700000000000001E-2</c:v>
                </c:pt>
                <c:pt idx="48">
                  <c:v>4.1099999999999998E-2</c:v>
                </c:pt>
                <c:pt idx="49">
                  <c:v>4.0599999999999997E-2</c:v>
                </c:pt>
                <c:pt idx="50">
                  <c:v>0.04</c:v>
                </c:pt>
                <c:pt idx="51">
                  <c:v>3.95E-2</c:v>
                </c:pt>
                <c:pt idx="52">
                  <c:v>3.8899999999999997E-2</c:v>
                </c:pt>
                <c:pt idx="53">
                  <c:v>3.8399999999999997E-2</c:v>
                </c:pt>
                <c:pt idx="54">
                  <c:v>3.7900000000000003E-2</c:v>
                </c:pt>
                <c:pt idx="55">
                  <c:v>3.7400000000000003E-2</c:v>
                </c:pt>
                <c:pt idx="56">
                  <c:v>3.73E-2</c:v>
                </c:pt>
                <c:pt idx="57">
                  <c:v>3.7199999999999997E-2</c:v>
                </c:pt>
                <c:pt idx="58">
                  <c:v>3.7100000000000001E-2</c:v>
                </c:pt>
                <c:pt idx="59">
                  <c:v>3.6900000000000002E-2</c:v>
                </c:pt>
                <c:pt idx="60">
                  <c:v>3.6700000000000003E-2</c:v>
                </c:pt>
                <c:pt idx="61">
                  <c:v>3.6600000000000001E-2</c:v>
                </c:pt>
                <c:pt idx="62">
                  <c:v>3.6400000000000002E-2</c:v>
                </c:pt>
                <c:pt idx="63">
                  <c:v>3.6200000000000003E-2</c:v>
                </c:pt>
                <c:pt idx="64">
                  <c:v>3.5900000000000001E-2</c:v>
                </c:pt>
                <c:pt idx="65">
                  <c:v>3.5700000000000003E-2</c:v>
                </c:pt>
                <c:pt idx="66">
                  <c:v>3.5400000000000001E-2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34-40E9-8D99-190D814D3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569631"/>
        <c:axId val="1631195395"/>
      </c:lineChart>
      <c:catAx>
        <c:axId val="175356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1195395"/>
        <c:crosses val="autoZero"/>
        <c:auto val="1"/>
        <c:lblAlgn val="ctr"/>
        <c:lblOffset val="100"/>
        <c:noMultiLvlLbl val="1"/>
      </c:catAx>
      <c:valAx>
        <c:axId val="1631195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35696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Guise!$C$1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Guise!$C$2:$C$67</c:f>
              <c:numCache>
                <c:formatCode>#,##0</c:formatCode>
                <c:ptCount val="66"/>
                <c:pt idx="0">
                  <c:v>833440.93086851214</c:v>
                </c:pt>
                <c:pt idx="1">
                  <c:v>813509.93740215921</c:v>
                </c:pt>
                <c:pt idx="2">
                  <c:v>771757.83834755642</c:v>
                </c:pt>
                <c:pt idx="3">
                  <c:v>740650.51664832665</c:v>
                </c:pt>
                <c:pt idx="4">
                  <c:v>708485.28472195007</c:v>
                </c:pt>
                <c:pt idx="5">
                  <c:v>715569.42199974763</c:v>
                </c:pt>
                <c:pt idx="6">
                  <c:v>688643.46261163289</c:v>
                </c:pt>
                <c:pt idx="7">
                  <c:v>661966.22379278368</c:v>
                </c:pt>
                <c:pt idx="8">
                  <c:v>635589.26912413212</c:v>
                </c:pt>
                <c:pt idx="9">
                  <c:v>609502.55957435002</c:v>
                </c:pt>
                <c:pt idx="10">
                  <c:v>583646.99758148997</c:v>
                </c:pt>
                <c:pt idx="11">
                  <c:v>558033.27046705224</c:v>
                </c:pt>
                <c:pt idx="12">
                  <c:v>532626.96427131072</c:v>
                </c:pt>
                <c:pt idx="13">
                  <c:v>507360.41557564365</c:v>
                </c:pt>
                <c:pt idx="14">
                  <c:v>482281.76385517453</c:v>
                </c:pt>
                <c:pt idx="15">
                  <c:v>461690.3732100082</c:v>
                </c:pt>
                <c:pt idx="16">
                  <c:v>445561.06273886142</c:v>
                </c:pt>
                <c:pt idx="17">
                  <c:v>429497.84339585633</c:v>
                </c:pt>
                <c:pt idx="18">
                  <c:v>413535.37781230151</c:v>
                </c:pt>
                <c:pt idx="19">
                  <c:v>397630.17097336682</c:v>
                </c:pt>
                <c:pt idx="20">
                  <c:v>381822.71074838372</c:v>
                </c:pt>
                <c:pt idx="21">
                  <c:v>366151.42956308374</c:v>
                </c:pt>
                <c:pt idx="22">
                  <c:v>350619.00752952573</c:v>
                </c:pt>
                <c:pt idx="23">
                  <c:v>335199.81599381042</c:v>
                </c:pt>
                <c:pt idx="24">
                  <c:v>319938.73818250489</c:v>
                </c:pt>
                <c:pt idx="25">
                  <c:v>304906.83139474405</c:v>
                </c:pt>
                <c:pt idx="26">
                  <c:v>290249.24454521091</c:v>
                </c:pt>
                <c:pt idx="27">
                  <c:v>275587.96481694921</c:v>
                </c:pt>
                <c:pt idx="28">
                  <c:v>260849.94303544649</c:v>
                </c:pt>
                <c:pt idx="29">
                  <c:v>246806.64493844876</c:v>
                </c:pt>
                <c:pt idx="30">
                  <c:v>233408.97005716737</c:v>
                </c:pt>
                <c:pt idx="31">
                  <c:v>220301.05715636376</c:v>
                </c:pt>
                <c:pt idx="32">
                  <c:v>207654.8752534299</c:v>
                </c:pt>
                <c:pt idx="33">
                  <c:v>195716.18779776618</c:v>
                </c:pt>
                <c:pt idx="34">
                  <c:v>184672.75693316301</c:v>
                </c:pt>
                <c:pt idx="35">
                  <c:v>174449.98765649254</c:v>
                </c:pt>
                <c:pt idx="36">
                  <c:v>164870.98351431105</c:v>
                </c:pt>
                <c:pt idx="37">
                  <c:v>155965.36137953936</c:v>
                </c:pt>
                <c:pt idx="38">
                  <c:v>148340.65187325407</c:v>
                </c:pt>
                <c:pt idx="39">
                  <c:v>141776.40435176724</c:v>
                </c:pt>
                <c:pt idx="40">
                  <c:v>135866.22362411808</c:v>
                </c:pt>
                <c:pt idx="41">
                  <c:v>130202.41842272933</c:v>
                </c:pt>
                <c:pt idx="42">
                  <c:v>124774.71818182014</c:v>
                </c:pt>
                <c:pt idx="43">
                  <c:v>119584.74044644444</c:v>
                </c:pt>
                <c:pt idx="44">
                  <c:v>114643.60123328966</c:v>
                </c:pt>
                <c:pt idx="45">
                  <c:v>109948.7879862757</c:v>
                </c:pt>
                <c:pt idx="46">
                  <c:v>105496.82209391259</c:v>
                </c:pt>
                <c:pt idx="47">
                  <c:v>101273.70845148563</c:v>
                </c:pt>
                <c:pt idx="48">
                  <c:v>97275.678082302984</c:v>
                </c:pt>
                <c:pt idx="49">
                  <c:v>93480.374862870449</c:v>
                </c:pt>
                <c:pt idx="50">
                  <c:v>89884.975829683128</c:v>
                </c:pt>
                <c:pt idx="51">
                  <c:v>86469.433217588376</c:v>
                </c:pt>
                <c:pt idx="52">
                  <c:v>83231.719335439775</c:v>
                </c:pt>
                <c:pt idx="53">
                  <c:v>80153.81291933723</c:v>
                </c:pt>
                <c:pt idx="54">
                  <c:v>77226.912919681301</c:v>
                </c:pt>
                <c:pt idx="55">
                  <c:v>74442.753922962496</c:v>
                </c:pt>
                <c:pt idx="56">
                  <c:v>71765.886361672121</c:v>
                </c:pt>
                <c:pt idx="57">
                  <c:v>69191.945971531168</c:v>
                </c:pt>
                <c:pt idx="58">
                  <c:v>66716.754383888896</c:v>
                </c:pt>
                <c:pt idx="59">
                  <c:v>64342.515559734697</c:v>
                </c:pt>
                <c:pt idx="60">
                  <c:v>62064.739615833605</c:v>
                </c:pt>
                <c:pt idx="61">
                  <c:v>59873.374122934212</c:v>
                </c:pt>
                <c:pt idx="62">
                  <c:v>57770.526942236793</c:v>
                </c:pt>
                <c:pt idx="63">
                  <c:v>55752.293902950005</c:v>
                </c:pt>
                <c:pt idx="64">
                  <c:v>53820.150500000003</c:v>
                </c:pt>
                <c:pt idx="65">
                  <c:v>51965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A-4CD0-BF2B-0A9B9E26F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651068"/>
        <c:axId val="224689315"/>
      </c:lineChart>
      <c:catAx>
        <c:axId val="1900651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4689315"/>
        <c:crosses val="autoZero"/>
        <c:auto val="1"/>
        <c:lblAlgn val="ctr"/>
        <c:lblOffset val="100"/>
        <c:noMultiLvlLbl val="1"/>
      </c:catAx>
      <c:valAx>
        <c:axId val="224689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0651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Haiza!$D$1:$D$67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2.0299999999999999E-2</c:v>
                </c:pt>
                <c:pt idx="2">
                  <c:v>1.6799999999999999E-2</c:v>
                </c:pt>
                <c:pt idx="3">
                  <c:v>1.67E-2</c:v>
                </c:pt>
                <c:pt idx="4">
                  <c:v>1.49E-2</c:v>
                </c:pt>
                <c:pt idx="5">
                  <c:v>1.24E-2</c:v>
                </c:pt>
                <c:pt idx="6">
                  <c:v>1.1900000000000001E-2</c:v>
                </c:pt>
                <c:pt idx="7">
                  <c:v>1.2E-2</c:v>
                </c:pt>
                <c:pt idx="8">
                  <c:v>1.1599999999999999E-2</c:v>
                </c:pt>
                <c:pt idx="9">
                  <c:v>1.06E-2</c:v>
                </c:pt>
                <c:pt idx="10">
                  <c:v>1.03E-2</c:v>
                </c:pt>
                <c:pt idx="11">
                  <c:v>1.0200000000000001E-2</c:v>
                </c:pt>
                <c:pt idx="12">
                  <c:v>1.01E-2</c:v>
                </c:pt>
                <c:pt idx="13">
                  <c:v>0.01</c:v>
                </c:pt>
                <c:pt idx="14">
                  <c:v>9.4999999999999998E-3</c:v>
                </c:pt>
                <c:pt idx="15">
                  <c:v>8.6E-3</c:v>
                </c:pt>
                <c:pt idx="16">
                  <c:v>9.1999999999999998E-3</c:v>
                </c:pt>
                <c:pt idx="17">
                  <c:v>1.0999999999999999E-2</c:v>
                </c:pt>
                <c:pt idx="18">
                  <c:v>1.2200000000000001E-2</c:v>
                </c:pt>
                <c:pt idx="19">
                  <c:v>1.21E-2</c:v>
                </c:pt>
                <c:pt idx="20">
                  <c:v>1.3100000000000001E-2</c:v>
                </c:pt>
                <c:pt idx="21">
                  <c:v>1.2200000000000001E-2</c:v>
                </c:pt>
                <c:pt idx="22">
                  <c:v>1.6299999999999999E-2</c:v>
                </c:pt>
                <c:pt idx="23">
                  <c:v>2.01E-2</c:v>
                </c:pt>
                <c:pt idx="24">
                  <c:v>1.8100000000000002E-2</c:v>
                </c:pt>
                <c:pt idx="25">
                  <c:v>2.3099999999999999E-2</c:v>
                </c:pt>
                <c:pt idx="26">
                  <c:v>2.8199999999999999E-2</c:v>
                </c:pt>
                <c:pt idx="27">
                  <c:v>2.98E-2</c:v>
                </c:pt>
                <c:pt idx="28">
                  <c:v>3.09E-2</c:v>
                </c:pt>
                <c:pt idx="29">
                  <c:v>3.1699999999999999E-2</c:v>
                </c:pt>
                <c:pt idx="30">
                  <c:v>3.2500000000000001E-2</c:v>
                </c:pt>
                <c:pt idx="31">
                  <c:v>3.39E-2</c:v>
                </c:pt>
                <c:pt idx="32">
                  <c:v>3.5200000000000002E-2</c:v>
                </c:pt>
                <c:pt idx="33">
                  <c:v>3.56E-2</c:v>
                </c:pt>
                <c:pt idx="34">
                  <c:v>3.5200000000000002E-2</c:v>
                </c:pt>
                <c:pt idx="35">
                  <c:v>3.4599999999999999E-2</c:v>
                </c:pt>
                <c:pt idx="36">
                  <c:v>3.09E-2</c:v>
                </c:pt>
                <c:pt idx="37">
                  <c:v>2.7400000000000001E-2</c:v>
                </c:pt>
                <c:pt idx="38">
                  <c:v>2.7699999999999999E-2</c:v>
                </c:pt>
                <c:pt idx="39">
                  <c:v>2.7400000000000001E-2</c:v>
                </c:pt>
                <c:pt idx="40">
                  <c:v>2.81E-2</c:v>
                </c:pt>
                <c:pt idx="41">
                  <c:v>2.86E-2</c:v>
                </c:pt>
                <c:pt idx="42">
                  <c:v>2.9000000000000001E-2</c:v>
                </c:pt>
                <c:pt idx="43">
                  <c:v>2.9100000000000001E-2</c:v>
                </c:pt>
                <c:pt idx="44">
                  <c:v>2.9700000000000001E-2</c:v>
                </c:pt>
                <c:pt idx="45">
                  <c:v>3.0800000000000001E-2</c:v>
                </c:pt>
                <c:pt idx="46">
                  <c:v>3.1399999999999997E-2</c:v>
                </c:pt>
                <c:pt idx="47">
                  <c:v>3.1699999999999999E-2</c:v>
                </c:pt>
                <c:pt idx="48">
                  <c:v>3.1699999999999999E-2</c:v>
                </c:pt>
                <c:pt idx="49">
                  <c:v>3.15E-2</c:v>
                </c:pt>
                <c:pt idx="50">
                  <c:v>3.1199999999999999E-2</c:v>
                </c:pt>
                <c:pt idx="51">
                  <c:v>3.1E-2</c:v>
                </c:pt>
                <c:pt idx="52">
                  <c:v>3.0800000000000001E-2</c:v>
                </c:pt>
                <c:pt idx="53">
                  <c:v>3.0200000000000001E-2</c:v>
                </c:pt>
                <c:pt idx="54">
                  <c:v>2.8500000000000001E-2</c:v>
                </c:pt>
                <c:pt idx="55">
                  <c:v>2.6599999999999999E-2</c:v>
                </c:pt>
                <c:pt idx="56">
                  <c:v>2.53E-2</c:v>
                </c:pt>
                <c:pt idx="57">
                  <c:v>2.46E-2</c:v>
                </c:pt>
                <c:pt idx="58">
                  <c:v>2.4500000000000001E-2</c:v>
                </c:pt>
                <c:pt idx="59">
                  <c:v>2.3900000000000001E-2</c:v>
                </c:pt>
                <c:pt idx="60">
                  <c:v>2.3199999999999998E-2</c:v>
                </c:pt>
                <c:pt idx="61">
                  <c:v>2.24E-2</c:v>
                </c:pt>
                <c:pt idx="62">
                  <c:v>2.1899999999999999E-2</c:v>
                </c:pt>
                <c:pt idx="63">
                  <c:v>2.1499999999999998E-2</c:v>
                </c:pt>
                <c:pt idx="64">
                  <c:v>2.1000000000000001E-2</c:v>
                </c:pt>
                <c:pt idx="65">
                  <c:v>2.0500000000000001E-2</c:v>
                </c:pt>
                <c:pt idx="66">
                  <c:v>2.01E-2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DE-4AE5-85CC-ACD8FA75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0900331"/>
        <c:axId val="658029229"/>
      </c:lineChart>
      <c:catAx>
        <c:axId val="1830900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8029229"/>
        <c:crosses val="autoZero"/>
        <c:auto val="1"/>
        <c:lblAlgn val="ctr"/>
        <c:lblOffset val="100"/>
        <c:noMultiLvlLbl val="1"/>
      </c:catAx>
      <c:valAx>
        <c:axId val="65802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09003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Haiza!$C$1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Haiza!$C$2:$C$67</c:f>
              <c:numCache>
                <c:formatCode>#,##0</c:formatCode>
                <c:ptCount val="66"/>
                <c:pt idx="0">
                  <c:v>17078344.980818417</c:v>
                </c:pt>
                <c:pt idx="1">
                  <c:v>16738552.367753029</c:v>
                </c:pt>
                <c:pt idx="2">
                  <c:v>16461990.920292122</c:v>
                </c:pt>
                <c:pt idx="3">
                  <c:v>16191591.344833406</c:v>
                </c:pt>
                <c:pt idx="4">
                  <c:v>15953878.554373246</c:v>
                </c:pt>
                <c:pt idx="5">
                  <c:v>15758473.483181791</c:v>
                </c:pt>
                <c:pt idx="6">
                  <c:v>15573152.962923007</c:v>
                </c:pt>
                <c:pt idx="7">
                  <c:v>15388491.070082022</c:v>
                </c:pt>
                <c:pt idx="8">
                  <c:v>15212031.504628332</c:v>
                </c:pt>
                <c:pt idx="9">
                  <c:v>15052475.266800251</c:v>
                </c:pt>
                <c:pt idx="10">
                  <c:v>14899015.408096854</c:v>
                </c:pt>
                <c:pt idx="11">
                  <c:v>14748579.893186353</c:v>
                </c:pt>
                <c:pt idx="12">
                  <c:v>14601108.695363184</c:v>
                </c:pt>
                <c:pt idx="13">
                  <c:v>14456543.262735827</c:v>
                </c:pt>
                <c:pt idx="14">
                  <c:v>14320498.526731873</c:v>
                </c:pt>
                <c:pt idx="15">
                  <c:v>14198392.35250037</c:v>
                </c:pt>
                <c:pt idx="16">
                  <c:v>14068957.939457361</c:v>
                </c:pt>
                <c:pt idx="17">
                  <c:v>13915883.223993434</c:v>
                </c:pt>
                <c:pt idx="18">
                  <c:v>13748155.724158697</c:v>
                </c:pt>
                <c:pt idx="19">
                  <c:v>13583791.84286009</c:v>
                </c:pt>
                <c:pt idx="20">
                  <c:v>13408145.141506355</c:v>
                </c:pt>
                <c:pt idx="21">
                  <c:v>13246537.385404421</c:v>
                </c:pt>
                <c:pt idx="22">
                  <c:v>13034081.851229383</c:v>
                </c:pt>
                <c:pt idx="23">
                  <c:v>12777258.94640661</c:v>
                </c:pt>
                <c:pt idx="24">
                  <c:v>12550102.098425116</c:v>
                </c:pt>
                <c:pt idx="25">
                  <c:v>12266740.39529383</c:v>
                </c:pt>
                <c:pt idx="26">
                  <c:v>11930305.772509074</c:v>
                </c:pt>
                <c:pt idx="27">
                  <c:v>11585070.666643109</c:v>
                </c:pt>
                <c:pt idx="28">
                  <c:v>11237821.967836948</c:v>
                </c:pt>
                <c:pt idx="29">
                  <c:v>10892528.804727098</c:v>
                </c:pt>
                <c:pt idx="30">
                  <c:v>10549664.701914866</c:v>
                </c:pt>
                <c:pt idx="31">
                  <c:v>10203757.328479413</c:v>
                </c:pt>
                <c:pt idx="32">
                  <c:v>9856798.0375573933</c:v>
                </c:pt>
                <c:pt idx="33">
                  <c:v>9517958.7075679731</c:v>
                </c:pt>
                <c:pt idx="34">
                  <c:v>9194318.6896908563</c:v>
                </c:pt>
                <c:pt idx="35">
                  <c:v>8886834.2254889384</c:v>
                </c:pt>
                <c:pt idx="36">
                  <c:v>8620461.9511969537</c:v>
                </c:pt>
                <c:pt idx="37">
                  <c:v>8390560.5910034589</c:v>
                </c:pt>
                <c:pt idx="38">
                  <c:v>8164406.5301191583</c:v>
                </c:pt>
                <c:pt idx="39">
                  <c:v>7946667.8315350963</c:v>
                </c:pt>
                <c:pt idx="40">
                  <c:v>7729469.7320640953</c:v>
                </c:pt>
                <c:pt idx="41">
                  <c:v>7514553.5019094842</c:v>
                </c:pt>
                <c:pt idx="42">
                  <c:v>7302773.0825165063</c:v>
                </c:pt>
                <c:pt idx="43">
                  <c:v>7096271.5795515571</c:v>
                </c:pt>
                <c:pt idx="44">
                  <c:v>6891591.3174240617</c:v>
                </c:pt>
                <c:pt idx="45">
                  <c:v>6685672.6013039015</c:v>
                </c:pt>
                <c:pt idx="46">
                  <c:v>6482133.6060732026</c:v>
                </c:pt>
                <c:pt idx="47">
                  <c:v>6282963.6581110805</c:v>
                </c:pt>
                <c:pt idx="48">
                  <c:v>6089913.403228729</c:v>
                </c:pt>
                <c:pt idx="49">
                  <c:v>5903939.3148121461</c:v>
                </c:pt>
                <c:pt idx="50">
                  <c:v>5725309.653619227</c:v>
                </c:pt>
                <c:pt idx="51">
                  <c:v>5553161.6426956616</c:v>
                </c:pt>
                <c:pt idx="52">
                  <c:v>5387234.8105312977</c:v>
                </c:pt>
                <c:pt idx="53">
                  <c:v>5229309.6588344956</c:v>
                </c:pt>
                <c:pt idx="54">
                  <c:v>5084404.1408210946</c:v>
                </c:pt>
                <c:pt idx="55">
                  <c:v>4952663.2971177623</c:v>
                </c:pt>
                <c:pt idx="56">
                  <c:v>4830452.8402592037</c:v>
                </c:pt>
                <c:pt idx="57">
                  <c:v>4714476.7131165368</c:v>
                </c:pt>
                <c:pt idx="58">
                  <c:v>4601734.2246135063</c:v>
                </c:pt>
                <c:pt idx="59">
                  <c:v>4494319.9771593967</c:v>
                </c:pt>
                <c:pt idx="60">
                  <c:v>4392415.9276381899</c:v>
                </c:pt>
                <c:pt idx="61">
                  <c:v>4296181.462869904</c:v>
                </c:pt>
                <c:pt idx="62">
                  <c:v>4204111.4227125002</c:v>
                </c:pt>
                <c:pt idx="63">
                  <c:v>4115625.4749999996</c:v>
                </c:pt>
                <c:pt idx="64">
                  <c:v>4030975</c:v>
                </c:pt>
                <c:pt idx="65">
                  <c:v>3950000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E-48C8-9F17-789DB0BD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251011"/>
        <c:axId val="1596568841"/>
      </c:lineChart>
      <c:catAx>
        <c:axId val="199625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6568841"/>
        <c:crosses val="autoZero"/>
        <c:auto val="1"/>
        <c:lblAlgn val="ctr"/>
        <c:lblOffset val="100"/>
        <c:noMultiLvlLbl val="1"/>
      </c:catAx>
      <c:valAx>
        <c:axId val="1596568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62510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Heiso!$D$1:$D$67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1.0200000000000001E-2</c:v>
                </c:pt>
                <c:pt idx="2">
                  <c:v>1.09E-2</c:v>
                </c:pt>
                <c:pt idx="3">
                  <c:v>1.15E-2</c:v>
                </c:pt>
                <c:pt idx="4">
                  <c:v>1.23E-2</c:v>
                </c:pt>
                <c:pt idx="5">
                  <c:v>1.47E-2</c:v>
                </c:pt>
                <c:pt idx="6">
                  <c:v>1.8200000000000001E-2</c:v>
                </c:pt>
                <c:pt idx="7">
                  <c:v>1.83E-2</c:v>
                </c:pt>
                <c:pt idx="8">
                  <c:v>1.8200000000000001E-2</c:v>
                </c:pt>
                <c:pt idx="9">
                  <c:v>1.7899999999999999E-2</c:v>
                </c:pt>
                <c:pt idx="10">
                  <c:v>1.7500000000000002E-2</c:v>
                </c:pt>
                <c:pt idx="11">
                  <c:v>1.6199999999999999E-2</c:v>
                </c:pt>
                <c:pt idx="12">
                  <c:v>1.49E-2</c:v>
                </c:pt>
                <c:pt idx="13">
                  <c:v>1.41E-2</c:v>
                </c:pt>
                <c:pt idx="14">
                  <c:v>1.3599999999999999E-2</c:v>
                </c:pt>
                <c:pt idx="15">
                  <c:v>1.4500000000000001E-2</c:v>
                </c:pt>
                <c:pt idx="16">
                  <c:v>1.55E-2</c:v>
                </c:pt>
                <c:pt idx="17">
                  <c:v>1.61E-2</c:v>
                </c:pt>
                <c:pt idx="18">
                  <c:v>1.7600000000000001E-2</c:v>
                </c:pt>
                <c:pt idx="19">
                  <c:v>1.9099999999999999E-2</c:v>
                </c:pt>
                <c:pt idx="20">
                  <c:v>2.06E-2</c:v>
                </c:pt>
                <c:pt idx="21">
                  <c:v>2.2100000000000002E-2</c:v>
                </c:pt>
                <c:pt idx="22">
                  <c:v>2.29E-2</c:v>
                </c:pt>
                <c:pt idx="23">
                  <c:v>2.29E-2</c:v>
                </c:pt>
                <c:pt idx="24">
                  <c:v>2.1700000000000001E-2</c:v>
                </c:pt>
                <c:pt idx="25">
                  <c:v>2.0500000000000001E-2</c:v>
                </c:pt>
                <c:pt idx="26">
                  <c:v>2.0400000000000001E-2</c:v>
                </c:pt>
                <c:pt idx="27">
                  <c:v>2.0299999999999999E-2</c:v>
                </c:pt>
                <c:pt idx="28">
                  <c:v>2.0299999999999999E-2</c:v>
                </c:pt>
                <c:pt idx="29">
                  <c:v>2.0500000000000001E-2</c:v>
                </c:pt>
                <c:pt idx="30">
                  <c:v>2.0799999999999999E-2</c:v>
                </c:pt>
                <c:pt idx="31">
                  <c:v>2.1100000000000001E-2</c:v>
                </c:pt>
                <c:pt idx="32">
                  <c:v>2.1399999999999999E-2</c:v>
                </c:pt>
                <c:pt idx="33">
                  <c:v>2.1499999999999998E-2</c:v>
                </c:pt>
                <c:pt idx="34">
                  <c:v>2.1399999999999999E-2</c:v>
                </c:pt>
                <c:pt idx="35">
                  <c:v>2.06E-2</c:v>
                </c:pt>
                <c:pt idx="36">
                  <c:v>1.9599999999999999E-2</c:v>
                </c:pt>
                <c:pt idx="37">
                  <c:v>1.8100000000000002E-2</c:v>
                </c:pt>
                <c:pt idx="38">
                  <c:v>1.6299999999999999E-2</c:v>
                </c:pt>
                <c:pt idx="39">
                  <c:v>1.4800000000000001E-2</c:v>
                </c:pt>
                <c:pt idx="40">
                  <c:v>1.3899999999999999E-2</c:v>
                </c:pt>
                <c:pt idx="41">
                  <c:v>1.32E-2</c:v>
                </c:pt>
                <c:pt idx="42">
                  <c:v>1.12E-2</c:v>
                </c:pt>
                <c:pt idx="43">
                  <c:v>1.0500000000000001E-2</c:v>
                </c:pt>
                <c:pt idx="44">
                  <c:v>1.43E-2</c:v>
                </c:pt>
                <c:pt idx="45">
                  <c:v>2.3300000000000001E-2</c:v>
                </c:pt>
                <c:pt idx="46">
                  <c:v>3.5000000000000003E-2</c:v>
                </c:pt>
                <c:pt idx="47">
                  <c:v>4.6199999999999998E-2</c:v>
                </c:pt>
                <c:pt idx="48">
                  <c:v>0.05</c:v>
                </c:pt>
                <c:pt idx="49">
                  <c:v>4.5499999999999999E-2</c:v>
                </c:pt>
                <c:pt idx="50">
                  <c:v>3.85E-2</c:v>
                </c:pt>
                <c:pt idx="51">
                  <c:v>3.3399999999999999E-2</c:v>
                </c:pt>
                <c:pt idx="52">
                  <c:v>3.0300000000000001E-2</c:v>
                </c:pt>
                <c:pt idx="53">
                  <c:v>2.81E-2</c:v>
                </c:pt>
                <c:pt idx="54">
                  <c:v>2.6800000000000001E-2</c:v>
                </c:pt>
                <c:pt idx="55">
                  <c:v>2.5999999999999999E-2</c:v>
                </c:pt>
                <c:pt idx="56">
                  <c:v>2.47E-2</c:v>
                </c:pt>
                <c:pt idx="57">
                  <c:v>2.2800000000000001E-2</c:v>
                </c:pt>
                <c:pt idx="58">
                  <c:v>2.1499999999999998E-2</c:v>
                </c:pt>
                <c:pt idx="59">
                  <c:v>2.1399999999999999E-2</c:v>
                </c:pt>
                <c:pt idx="60">
                  <c:v>2.2599999999999999E-2</c:v>
                </c:pt>
                <c:pt idx="61">
                  <c:v>2.4400000000000002E-2</c:v>
                </c:pt>
                <c:pt idx="62">
                  <c:v>2.6700000000000002E-2</c:v>
                </c:pt>
                <c:pt idx="63">
                  <c:v>2.92E-2</c:v>
                </c:pt>
                <c:pt idx="64">
                  <c:v>3.0499999999999999E-2</c:v>
                </c:pt>
                <c:pt idx="65">
                  <c:v>0.03</c:v>
                </c:pt>
                <c:pt idx="66">
                  <c:v>2.7799999999999998E-2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8F-4FED-A9D9-7C14D674A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661349"/>
        <c:axId val="3730904"/>
      </c:lineChart>
      <c:catAx>
        <c:axId val="426661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30904"/>
        <c:crosses val="autoZero"/>
        <c:auto val="1"/>
        <c:lblAlgn val="ctr"/>
        <c:lblOffset val="100"/>
        <c:noMultiLvlLbl val="1"/>
      </c:catAx>
      <c:valAx>
        <c:axId val="3730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66613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Heiso!$C$1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Heiso!$C$2:$C$67</c:f>
              <c:numCache>
                <c:formatCode>#,##0</c:formatCode>
                <c:ptCount val="66"/>
                <c:pt idx="0">
                  <c:v>20606628.225290135</c:v>
                </c:pt>
                <c:pt idx="1">
                  <c:v>20398562.883874614</c:v>
                </c:pt>
                <c:pt idx="2">
                  <c:v>20178615.969803754</c:v>
                </c:pt>
                <c:pt idx="3">
                  <c:v>19949200.167873211</c:v>
                </c:pt>
                <c:pt idx="4">
                  <c:v>19706806.448555972</c:v>
                </c:pt>
                <c:pt idx="5">
                  <c:v>19421313.145319775</c:v>
                </c:pt>
                <c:pt idx="6">
                  <c:v>19074163.37195028</c:v>
                </c:pt>
                <c:pt idx="7">
                  <c:v>18731379.13380171</c:v>
                </c:pt>
                <c:pt idx="8">
                  <c:v>18396561.710667562</c:v>
                </c:pt>
                <c:pt idx="9">
                  <c:v>18073054.043292623</c:v>
                </c:pt>
                <c:pt idx="10">
                  <c:v>17762215.275963265</c:v>
                </c:pt>
                <c:pt idx="11">
                  <c:v>17479054.591579676</c:v>
                </c:pt>
                <c:pt idx="12">
                  <c:v>17222440.232121073</c:v>
                </c:pt>
                <c:pt idx="13">
                  <c:v>16982980.211143944</c:v>
                </c:pt>
                <c:pt idx="14">
                  <c:v>16755110.705548486</c:v>
                </c:pt>
                <c:pt idx="15">
                  <c:v>16515634.012369134</c:v>
                </c:pt>
                <c:pt idx="16">
                  <c:v>16263549.00282534</c:v>
                </c:pt>
                <c:pt idx="17">
                  <c:v>16005854.741487393</c:v>
                </c:pt>
                <c:pt idx="18">
                  <c:v>15729023.920486825</c:v>
                </c:pt>
                <c:pt idx="19">
                  <c:v>15434230.125097465</c:v>
                </c:pt>
                <c:pt idx="20">
                  <c:v>15122702.454534063</c:v>
                </c:pt>
                <c:pt idx="21">
                  <c:v>14795717.106480837</c:v>
                </c:pt>
                <c:pt idx="22">
                  <c:v>14464480.502962986</c:v>
                </c:pt>
                <c:pt idx="23">
                  <c:v>14140659.402642474</c:v>
                </c:pt>
                <c:pt idx="24">
                  <c:v>13840324.363944869</c:v>
                </c:pt>
                <c:pt idx="25">
                  <c:v>13562297.26991168</c:v>
                </c:pt>
                <c:pt idx="26">
                  <c:v>13291157.653774677</c:v>
                </c:pt>
                <c:pt idx="27">
                  <c:v>13026715.332524432</c:v>
                </c:pt>
                <c:pt idx="28">
                  <c:v>12767534.384518702</c:v>
                </c:pt>
                <c:pt idx="29">
                  <c:v>12511057.70163518</c:v>
                </c:pt>
                <c:pt idx="30">
                  <c:v>12256130.193608131</c:v>
                </c:pt>
                <c:pt idx="31">
                  <c:v>12002869.644117258</c:v>
                </c:pt>
                <c:pt idx="32">
                  <c:v>11751389.900251867</c:v>
                </c:pt>
                <c:pt idx="33">
                  <c:v>11504052.765787436</c:v>
                </c:pt>
                <c:pt idx="34">
                  <c:v>11263024.051094024</c:v>
                </c:pt>
                <c:pt idx="35">
                  <c:v>11035688.860566357</c:v>
                </c:pt>
                <c:pt idx="36">
                  <c:v>10823547.332842641</c:v>
                </c:pt>
                <c:pt idx="37">
                  <c:v>10631123.988648109</c:v>
                </c:pt>
                <c:pt idx="38">
                  <c:v>10460615.948684551</c:v>
                </c:pt>
                <c:pt idx="39">
                  <c:v>10308056.709385645</c:v>
                </c:pt>
                <c:pt idx="40">
                  <c:v>10166739.036774479</c:v>
                </c:pt>
                <c:pt idx="41">
                  <c:v>10034286.455561072</c:v>
                </c:pt>
                <c:pt idx="42">
                  <c:v>9923147.2068444137</c:v>
                </c:pt>
                <c:pt idx="43">
                  <c:v>9820036.8202319779</c:v>
                </c:pt>
                <c:pt idx="44">
                  <c:v>9681590.0820585415</c:v>
                </c:pt>
                <c:pt idx="45">
                  <c:v>9461145.3943697251</c:v>
                </c:pt>
                <c:pt idx="46">
                  <c:v>9141203.2795842756</c:v>
                </c:pt>
                <c:pt idx="47">
                  <c:v>8737529.4203634821</c:v>
                </c:pt>
                <c:pt idx="48">
                  <c:v>8321456.5908223642</c:v>
                </c:pt>
                <c:pt idx="49">
                  <c:v>7959308.0734790657</c:v>
                </c:pt>
                <c:pt idx="50">
                  <c:v>7664235.0250159521</c:v>
                </c:pt>
                <c:pt idx="51">
                  <c:v>7416523.1517475825</c:v>
                </c:pt>
                <c:pt idx="52">
                  <c:v>7198411.2896705642</c:v>
                </c:pt>
                <c:pt idx="53">
                  <c:v>7001664.5167498924</c:v>
                </c:pt>
                <c:pt idx="54">
                  <c:v>6818917.5270256065</c:v>
                </c:pt>
                <c:pt idx="55">
                  <c:v>6646118.4473933782</c:v>
                </c:pt>
                <c:pt idx="56">
                  <c:v>6485916.3144270312</c:v>
                </c:pt>
                <c:pt idx="57">
                  <c:v>6341333.9014734374</c:v>
                </c:pt>
                <c:pt idx="58">
                  <c:v>6207864.8080993015</c:v>
                </c:pt>
                <c:pt idx="59">
                  <c:v>6077799.8904438037</c:v>
                </c:pt>
                <c:pt idx="60">
                  <c:v>5943477.3033872517</c:v>
                </c:pt>
                <c:pt idx="61">
                  <c:v>5801910.6827286724</c:v>
                </c:pt>
                <c:pt idx="62">
                  <c:v>5651028.229013999</c:v>
                </c:pt>
                <c:pt idx="63">
                  <c:v>5490699.7949999999</c:v>
                </c:pt>
                <c:pt idx="64">
                  <c:v>5328190</c:v>
                </c:pt>
                <c:pt idx="65">
                  <c:v>5173000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7-4E1E-8AAB-A93C7E3E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538886"/>
        <c:axId val="1438936377"/>
      </c:lineChart>
      <c:catAx>
        <c:axId val="1505538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8936377"/>
        <c:crosses val="autoZero"/>
        <c:auto val="1"/>
        <c:lblAlgn val="ctr"/>
        <c:lblOffset val="100"/>
        <c:noMultiLvlLbl val="1"/>
      </c:catAx>
      <c:valAx>
        <c:axId val="1438936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55388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Hiwush!$D$1:$D$67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1.3100000000000001E-2</c:v>
                </c:pt>
                <c:pt idx="2">
                  <c:v>1.255E-2</c:v>
                </c:pt>
                <c:pt idx="3">
                  <c:v>1.3429999999999999E-2</c:v>
                </c:pt>
                <c:pt idx="4">
                  <c:v>1.4069999999999999E-2</c:v>
                </c:pt>
                <c:pt idx="5">
                  <c:v>1.5299999999999999E-2</c:v>
                </c:pt>
                <c:pt idx="6">
                  <c:v>2.018E-2</c:v>
                </c:pt>
                <c:pt idx="7">
                  <c:v>2.1420000000000002E-2</c:v>
                </c:pt>
                <c:pt idx="8">
                  <c:v>2.12E-2</c:v>
                </c:pt>
                <c:pt idx="9">
                  <c:v>2.0580000000000001E-2</c:v>
                </c:pt>
                <c:pt idx="10">
                  <c:v>2.001E-2</c:v>
                </c:pt>
                <c:pt idx="11">
                  <c:v>2.002E-2</c:v>
                </c:pt>
                <c:pt idx="12">
                  <c:v>2.018E-2</c:v>
                </c:pt>
                <c:pt idx="13">
                  <c:v>1.9959999999999999E-2</c:v>
                </c:pt>
                <c:pt idx="14">
                  <c:v>2.1049999999999999E-2</c:v>
                </c:pt>
                <c:pt idx="15">
                  <c:v>2.1219999999999999E-2</c:v>
                </c:pt>
                <c:pt idx="16">
                  <c:v>1.7219999999999999E-2</c:v>
                </c:pt>
                <c:pt idx="17">
                  <c:v>1.6619999999999999E-2</c:v>
                </c:pt>
                <c:pt idx="18">
                  <c:v>1.738E-2</c:v>
                </c:pt>
                <c:pt idx="19">
                  <c:v>1.8190000000000001E-2</c:v>
                </c:pt>
                <c:pt idx="20">
                  <c:v>1.839E-2</c:v>
                </c:pt>
                <c:pt idx="21">
                  <c:v>1.5469999999999999E-2</c:v>
                </c:pt>
                <c:pt idx="22">
                  <c:v>1.4619999999999999E-2</c:v>
                </c:pt>
                <c:pt idx="23">
                  <c:v>1.5089999999999999E-2</c:v>
                </c:pt>
                <c:pt idx="24">
                  <c:v>1.5570000000000001E-2</c:v>
                </c:pt>
                <c:pt idx="25">
                  <c:v>1.7559999999999999E-2</c:v>
                </c:pt>
                <c:pt idx="26">
                  <c:v>2.248E-2</c:v>
                </c:pt>
                <c:pt idx="27">
                  <c:v>2.367E-2</c:v>
                </c:pt>
                <c:pt idx="28">
                  <c:v>2.3959999999999999E-2</c:v>
                </c:pt>
                <c:pt idx="29">
                  <c:v>2.4049999999999998E-2</c:v>
                </c:pt>
                <c:pt idx="30">
                  <c:v>2.452E-2</c:v>
                </c:pt>
                <c:pt idx="31">
                  <c:v>2.1909999999999999E-2</c:v>
                </c:pt>
                <c:pt idx="32">
                  <c:v>1.6570000000000001E-2</c:v>
                </c:pt>
                <c:pt idx="33">
                  <c:v>1.6150000000000001E-2</c:v>
                </c:pt>
                <c:pt idx="34">
                  <c:v>1.6379999999999999E-2</c:v>
                </c:pt>
                <c:pt idx="35">
                  <c:v>1.5949999999999999E-2</c:v>
                </c:pt>
                <c:pt idx="36">
                  <c:v>1.5650000000000001E-2</c:v>
                </c:pt>
                <c:pt idx="37">
                  <c:v>1.6539999999999999E-2</c:v>
                </c:pt>
                <c:pt idx="38">
                  <c:v>-6.3600000000000002E-3</c:v>
                </c:pt>
                <c:pt idx="39">
                  <c:v>-7.0400000000000003E-3</c:v>
                </c:pt>
                <c:pt idx="40">
                  <c:v>-6.0200000000000002E-3</c:v>
                </c:pt>
                <c:pt idx="41">
                  <c:v>-4.6899999999999997E-3</c:v>
                </c:pt>
                <c:pt idx="42">
                  <c:v>-2.9199999999999999E-3</c:v>
                </c:pt>
                <c:pt idx="43">
                  <c:v>1.5959999999999998E-2</c:v>
                </c:pt>
                <c:pt idx="44">
                  <c:v>1.874E-2</c:v>
                </c:pt>
                <c:pt idx="45">
                  <c:v>1.9300000000000001E-2</c:v>
                </c:pt>
                <c:pt idx="46">
                  <c:v>2.0029999999999999E-2</c:v>
                </c:pt>
                <c:pt idx="47">
                  <c:v>2.0369999999999999E-2</c:v>
                </c:pt>
                <c:pt idx="48">
                  <c:v>9.2599999999999991E-3</c:v>
                </c:pt>
                <c:pt idx="49">
                  <c:v>1.004E-2</c:v>
                </c:pt>
                <c:pt idx="50">
                  <c:v>1.0840000000000001E-2</c:v>
                </c:pt>
                <c:pt idx="51">
                  <c:v>2.5860000000000001E-2</c:v>
                </c:pt>
                <c:pt idx="52">
                  <c:v>2.5340000000000001E-2</c:v>
                </c:pt>
                <c:pt idx="53">
                  <c:v>2.5059999999999999E-2</c:v>
                </c:pt>
                <c:pt idx="54">
                  <c:v>2.4889999999999999E-2</c:v>
                </c:pt>
                <c:pt idx="55">
                  <c:v>2.479E-2</c:v>
                </c:pt>
                <c:pt idx="56">
                  <c:v>2.4070000000000001E-2</c:v>
                </c:pt>
                <c:pt idx="57">
                  <c:v>2.3699999999999999E-2</c:v>
                </c:pt>
                <c:pt idx="58">
                  <c:v>2.274E-2</c:v>
                </c:pt>
                <c:pt idx="59">
                  <c:v>2.2759999999999999E-2</c:v>
                </c:pt>
                <c:pt idx="60">
                  <c:v>2.247E-2</c:v>
                </c:pt>
                <c:pt idx="61">
                  <c:v>2.2239999999999999E-2</c:v>
                </c:pt>
                <c:pt idx="62">
                  <c:v>2.1440000000000001E-2</c:v>
                </c:pt>
                <c:pt idx="63">
                  <c:v>2.1239999999999998E-2</c:v>
                </c:pt>
                <c:pt idx="64">
                  <c:v>2.0799999999999999E-2</c:v>
                </c:pt>
                <c:pt idx="65">
                  <c:v>2.0400000000000001E-2</c:v>
                </c:pt>
                <c:pt idx="66">
                  <c:v>2.0209999999999999E-2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0E-455E-A8C0-36BA94C07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50076"/>
        <c:axId val="389086595"/>
      </c:lineChart>
      <c:catAx>
        <c:axId val="2090450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9086595"/>
        <c:crosses val="autoZero"/>
        <c:auto val="1"/>
        <c:lblAlgn val="ctr"/>
        <c:lblOffset val="100"/>
        <c:noMultiLvlLbl val="1"/>
      </c:catAx>
      <c:valAx>
        <c:axId val="38908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04500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Hiwush!$C$1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Hiwush!$C$2:$C$67</c:f>
              <c:numCache>
                <c:formatCode>#,##0</c:formatCode>
                <c:ptCount val="66"/>
                <c:pt idx="0">
                  <c:v>238996.80525892126</c:v>
                </c:pt>
                <c:pt idx="1">
                  <c:v>235906.43101265543</c:v>
                </c:pt>
                <c:pt idx="2">
                  <c:v>232982.50062975203</c:v>
                </c:pt>
                <c:pt idx="3">
                  <c:v>229895.01063689849</c:v>
                </c:pt>
                <c:pt idx="4">
                  <c:v>226705.26752285197</c:v>
                </c:pt>
                <c:pt idx="5">
                  <c:v>223288.9466392711</c:v>
                </c:pt>
                <c:pt idx="6">
                  <c:v>218872.10750972482</c:v>
                </c:pt>
                <c:pt idx="7">
                  <c:v>214282.18314672203</c:v>
                </c:pt>
                <c:pt idx="8">
                  <c:v>209833.70852597142</c:v>
                </c:pt>
                <c:pt idx="9">
                  <c:v>205602.41090945483</c:v>
                </c:pt>
                <c:pt idx="10">
                  <c:v>201569.01492088786</c:v>
                </c:pt>
                <c:pt idx="11">
                  <c:v>197612.80653407567</c:v>
                </c:pt>
                <c:pt idx="12">
                  <c:v>193703.86258706861</c:v>
                </c:pt>
                <c:pt idx="13">
                  <c:v>189913.19521066378</c:v>
                </c:pt>
                <c:pt idx="14">
                  <c:v>185997.93860306917</c:v>
                </c:pt>
                <c:pt idx="15">
                  <c:v>182133.07475673134</c:v>
                </c:pt>
                <c:pt idx="16">
                  <c:v>179049.83657097907</c:v>
                </c:pt>
                <c:pt idx="17">
                  <c:v>176122.67766813465</c:v>
                </c:pt>
                <c:pt idx="18">
                  <c:v>173113.95709384367</c:v>
                </c:pt>
                <c:pt idx="19">
                  <c:v>170021.27018910387</c:v>
                </c:pt>
                <c:pt idx="20">
                  <c:v>166951.04055332817</c:v>
                </c:pt>
                <c:pt idx="21">
                  <c:v>164407.65414372474</c:v>
                </c:pt>
                <c:pt idx="22">
                  <c:v>162038.64909397086</c:v>
                </c:pt>
                <c:pt idx="23">
                  <c:v>159629.83488554793</c:v>
                </c:pt>
                <c:pt idx="24">
                  <c:v>157182.50330902636</c:v>
                </c:pt>
                <c:pt idx="25">
                  <c:v>154470.00993457521</c:v>
                </c:pt>
                <c:pt idx="26">
                  <c:v>151073.8693515523</c:v>
                </c:pt>
                <c:pt idx="27">
                  <c:v>147580.63570442848</c:v>
                </c:pt>
                <c:pt idx="28">
                  <c:v>144127.34452950163</c:v>
                </c:pt>
                <c:pt idx="29">
                  <c:v>140742.4877003092</c:v>
                </c:pt>
                <c:pt idx="30">
                  <c:v>137374.07537218326</c:v>
                </c:pt>
                <c:pt idx="31">
                  <c:v>134428.74164278971</c:v>
                </c:pt>
                <c:pt idx="32">
                  <c:v>132237.56518763068</c:v>
                </c:pt>
                <c:pt idx="33">
                  <c:v>130135.87087303122</c:v>
                </c:pt>
                <c:pt idx="34">
                  <c:v>128038.59862751256</c:v>
                </c:pt>
                <c:pt idx="35">
                  <c:v>126028.44493086527</c:v>
                </c:pt>
                <c:pt idx="36">
                  <c:v>124086.49134137279</c:v>
                </c:pt>
                <c:pt idx="37">
                  <c:v>122067.49497449465</c:v>
                </c:pt>
                <c:pt idx="38">
                  <c:v>122848.81342789608</c:v>
                </c:pt>
                <c:pt idx="39">
                  <c:v>123719.80082570907</c:v>
                </c:pt>
                <c:pt idx="40">
                  <c:v>124469.10483682677</c:v>
                </c:pt>
                <c:pt idx="41">
                  <c:v>125055.61567433941</c:v>
                </c:pt>
                <c:pt idx="42">
                  <c:v>125421.84746894875</c:v>
                </c:pt>
                <c:pt idx="43">
                  <c:v>123451.56056237327</c:v>
                </c:pt>
                <c:pt idx="44">
                  <c:v>121180.63545396595</c:v>
                </c:pt>
                <c:pt idx="45">
                  <c:v>118886.13308541739</c:v>
                </c:pt>
                <c:pt idx="46">
                  <c:v>116551.60444831758</c:v>
                </c:pt>
                <c:pt idx="47">
                  <c:v>114224.84436853061</c:v>
                </c:pt>
                <c:pt idx="48">
                  <c:v>113176.82695096468</c:v>
                </c:pt>
                <c:pt idx="49">
                  <c:v>112051.82661178238</c:v>
                </c:pt>
                <c:pt idx="50">
                  <c:v>110850.21033178583</c:v>
                </c:pt>
                <c:pt idx="51">
                  <c:v>108055.88514201336</c:v>
                </c:pt>
                <c:pt idx="52">
                  <c:v>105385.41863383206</c:v>
                </c:pt>
                <c:pt idx="53">
                  <c:v>102809.02448035438</c:v>
                </c:pt>
                <c:pt idx="54">
                  <c:v>100312.2525152498</c:v>
                </c:pt>
                <c:pt idx="55">
                  <c:v>97885.66683442441</c:v>
                </c:pt>
                <c:pt idx="56">
                  <c:v>95584.937391413099</c:v>
                </c:pt>
                <c:pt idx="57">
                  <c:v>93372.020505434295</c:v>
                </c:pt>
                <c:pt idx="58">
                  <c:v>91295.950589039538</c:v>
                </c:pt>
                <c:pt idx="59">
                  <c:v>89264.295229613548</c:v>
                </c:pt>
                <c:pt idx="60">
                  <c:v>87302.605679984306</c:v>
                </c:pt>
                <c:pt idx="61">
                  <c:v>85403.237674112053</c:v>
                </c:pt>
                <c:pt idx="62">
                  <c:v>83610.625855764476</c:v>
                </c:pt>
                <c:pt idx="63">
                  <c:v>81871.671552</c:v>
                </c:pt>
                <c:pt idx="64">
                  <c:v>80203.44</c:v>
                </c:pt>
                <c:pt idx="65">
                  <c:v>78600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2-49D7-9F73-B21F80169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145801"/>
        <c:axId val="1271543488"/>
      </c:lineChart>
      <c:catAx>
        <c:axId val="1055145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1543488"/>
        <c:crosses val="autoZero"/>
        <c:auto val="1"/>
        <c:lblAlgn val="ctr"/>
        <c:lblOffset val="100"/>
        <c:noMultiLvlLbl val="1"/>
      </c:catAx>
      <c:valAx>
        <c:axId val="127154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51458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Hkuqo!$D$1:$D$67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8.2500000000000004E-3</c:v>
                </c:pt>
                <c:pt idx="2">
                  <c:v>8.6199999999999992E-3</c:v>
                </c:pt>
                <c:pt idx="3">
                  <c:v>8.9700000000000005E-3</c:v>
                </c:pt>
                <c:pt idx="4">
                  <c:v>8.8400000000000006E-3</c:v>
                </c:pt>
                <c:pt idx="5">
                  <c:v>6.3600000000000002E-3</c:v>
                </c:pt>
                <c:pt idx="6">
                  <c:v>6.0499999999999998E-3</c:v>
                </c:pt>
                <c:pt idx="7">
                  <c:v>5.7299999999999999E-3</c:v>
                </c:pt>
                <c:pt idx="8">
                  <c:v>6.5500000000000003E-3</c:v>
                </c:pt>
                <c:pt idx="9">
                  <c:v>6.7600000000000004E-3</c:v>
                </c:pt>
                <c:pt idx="10">
                  <c:v>6.96E-3</c:v>
                </c:pt>
                <c:pt idx="11">
                  <c:v>6.43E-3</c:v>
                </c:pt>
                <c:pt idx="12">
                  <c:v>6.3600000000000002E-3</c:v>
                </c:pt>
                <c:pt idx="13">
                  <c:v>7.2399999999999999E-3</c:v>
                </c:pt>
                <c:pt idx="14">
                  <c:v>7.43E-3</c:v>
                </c:pt>
                <c:pt idx="15">
                  <c:v>1.345E-2</c:v>
                </c:pt>
                <c:pt idx="16">
                  <c:v>1.8190000000000001E-2</c:v>
                </c:pt>
                <c:pt idx="17">
                  <c:v>1.8249999999999999E-2</c:v>
                </c:pt>
                <c:pt idx="18">
                  <c:v>1.8919999999999999E-2</c:v>
                </c:pt>
                <c:pt idx="19">
                  <c:v>1.8839999999999999E-2</c:v>
                </c:pt>
                <c:pt idx="20">
                  <c:v>1.9130000000000001E-2</c:v>
                </c:pt>
                <c:pt idx="21">
                  <c:v>1.932E-2</c:v>
                </c:pt>
                <c:pt idx="22">
                  <c:v>1.3729999999999999E-2</c:v>
                </c:pt>
                <c:pt idx="23">
                  <c:v>1.542E-2</c:v>
                </c:pt>
                <c:pt idx="24">
                  <c:v>1.857E-2</c:v>
                </c:pt>
                <c:pt idx="25">
                  <c:v>1.3180000000000001E-2</c:v>
                </c:pt>
                <c:pt idx="26">
                  <c:v>1.7600000000000001E-3</c:v>
                </c:pt>
                <c:pt idx="27">
                  <c:v>1.102E-2</c:v>
                </c:pt>
                <c:pt idx="28">
                  <c:v>0.01</c:v>
                </c:pt>
                <c:pt idx="29">
                  <c:v>1.026E-2</c:v>
                </c:pt>
                <c:pt idx="30">
                  <c:v>1.3180000000000001E-2</c:v>
                </c:pt>
                <c:pt idx="31">
                  <c:v>1.074E-2</c:v>
                </c:pt>
                <c:pt idx="32">
                  <c:v>2.4399999999999999E-3</c:v>
                </c:pt>
                <c:pt idx="33">
                  <c:v>4.45E-3</c:v>
                </c:pt>
                <c:pt idx="34">
                  <c:v>8.8999999999999999E-3</c:v>
                </c:pt>
                <c:pt idx="35">
                  <c:v>1.5779999999999999E-2</c:v>
                </c:pt>
                <c:pt idx="36">
                  <c:v>1.7819999999999999E-2</c:v>
                </c:pt>
                <c:pt idx="37">
                  <c:v>1.866E-2</c:v>
                </c:pt>
                <c:pt idx="38">
                  <c:v>1.865E-2</c:v>
                </c:pt>
                <c:pt idx="39">
                  <c:v>1.813E-2</c:v>
                </c:pt>
                <c:pt idx="40">
                  <c:v>1.8159999999999999E-2</c:v>
                </c:pt>
                <c:pt idx="41">
                  <c:v>1.8079999999999999E-2</c:v>
                </c:pt>
                <c:pt idx="42">
                  <c:v>1.8159999999999999E-2</c:v>
                </c:pt>
                <c:pt idx="43">
                  <c:v>1.899E-2</c:v>
                </c:pt>
                <c:pt idx="44">
                  <c:v>1.9939999999999999E-2</c:v>
                </c:pt>
                <c:pt idx="45">
                  <c:v>2.0650000000000002E-2</c:v>
                </c:pt>
                <c:pt idx="46">
                  <c:v>2.2009999999999998E-2</c:v>
                </c:pt>
                <c:pt idx="47">
                  <c:v>2.298E-2</c:v>
                </c:pt>
                <c:pt idx="48">
                  <c:v>2.3810000000000001E-2</c:v>
                </c:pt>
                <c:pt idx="49">
                  <c:v>2.427E-2</c:v>
                </c:pt>
                <c:pt idx="50">
                  <c:v>2.4029999999999999E-2</c:v>
                </c:pt>
                <c:pt idx="51">
                  <c:v>2.4289999999999999E-2</c:v>
                </c:pt>
                <c:pt idx="52">
                  <c:v>2.4590000000000001E-2</c:v>
                </c:pt>
                <c:pt idx="53">
                  <c:v>2.4510000000000001E-2</c:v>
                </c:pt>
                <c:pt idx="54">
                  <c:v>2.443E-2</c:v>
                </c:pt>
                <c:pt idx="55">
                  <c:v>2.4340000000000001E-2</c:v>
                </c:pt>
                <c:pt idx="56">
                  <c:v>2.4330000000000001E-2</c:v>
                </c:pt>
                <c:pt idx="57">
                  <c:v>2.4119999999999999E-2</c:v>
                </c:pt>
                <c:pt idx="58">
                  <c:v>2.3369999999999998E-2</c:v>
                </c:pt>
                <c:pt idx="59">
                  <c:v>2.2270000000000002E-2</c:v>
                </c:pt>
                <c:pt idx="60">
                  <c:v>2.1250000000000002E-2</c:v>
                </c:pt>
                <c:pt idx="61">
                  <c:v>2.095E-2</c:v>
                </c:pt>
                <c:pt idx="62">
                  <c:v>2.0619999999999999E-2</c:v>
                </c:pt>
                <c:pt idx="63">
                  <c:v>2.0230000000000001E-2</c:v>
                </c:pt>
                <c:pt idx="64">
                  <c:v>1.9689999999999999E-2</c:v>
                </c:pt>
                <c:pt idx="65">
                  <c:v>1.8939999999999999E-2</c:v>
                </c:pt>
                <c:pt idx="66">
                  <c:v>1.7899999999999999E-2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88-4BA6-850C-E3DDFAA4F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647378"/>
        <c:axId val="1892110786"/>
      </c:lineChart>
      <c:catAx>
        <c:axId val="1846647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2110786"/>
        <c:crosses val="autoZero"/>
        <c:auto val="1"/>
        <c:lblAlgn val="ctr"/>
        <c:lblOffset val="100"/>
        <c:noMultiLvlLbl val="1"/>
      </c:catAx>
      <c:valAx>
        <c:axId val="1892110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66473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Hkuqo!$C$1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Hkuqo!$C$2:$C$67</c:f>
              <c:numCache>
                <c:formatCode>#,##0</c:formatCode>
                <c:ptCount val="66"/>
                <c:pt idx="0">
                  <c:v>22832299.420154601</c:v>
                </c:pt>
                <c:pt idx="1">
                  <c:v>22645474.257529978</c:v>
                </c:pt>
                <c:pt idx="2">
                  <c:v>22451938.547252659</c:v>
                </c:pt>
                <c:pt idx="3">
                  <c:v>22252335.101393163</c:v>
                </c:pt>
                <c:pt idx="4">
                  <c:v>22057348.143801954</c:v>
                </c:pt>
                <c:pt idx="5">
                  <c:v>21917949.981916964</c:v>
                </c:pt>
                <c:pt idx="6">
                  <c:v>21786143.811855238</c:v>
                </c:pt>
                <c:pt idx="7">
                  <c:v>21662020.434764039</c:v>
                </c:pt>
                <c:pt idx="8">
                  <c:v>21521057.508086074</c:v>
                </c:pt>
                <c:pt idx="9">
                  <c:v>21376552.016454838</c:v>
                </c:pt>
                <c:pt idx="10">
                  <c:v>21228799.571437631</c:v>
                </c:pt>
                <c:pt idx="11">
                  <c:v>21093170.485217683</c:v>
                </c:pt>
                <c:pt idx="12">
                  <c:v>20959865.7391169</c:v>
                </c:pt>
                <c:pt idx="13">
                  <c:v>20809207.079858724</c:v>
                </c:pt>
                <c:pt idx="14">
                  <c:v>20655734.969038766</c:v>
                </c:pt>
                <c:pt idx="15">
                  <c:v>20381602.416536354</c:v>
                </c:pt>
                <c:pt idx="16">
                  <c:v>20017484.375741616</c:v>
                </c:pt>
                <c:pt idx="17">
                  <c:v>19658712.865938243</c:v>
                </c:pt>
                <c:pt idx="18">
                  <c:v>19293676.506436463</c:v>
                </c:pt>
                <c:pt idx="19">
                  <c:v>18936905.212237902</c:v>
                </c:pt>
                <c:pt idx="20">
                  <c:v>18581442.22252107</c:v>
                </c:pt>
                <c:pt idx="21">
                  <c:v>18229253.053526931</c:v>
                </c:pt>
                <c:pt idx="22">
                  <c:v>17982355.315051276</c:v>
                </c:pt>
                <c:pt idx="23">
                  <c:v>17709278.244520765</c:v>
                </c:pt>
                <c:pt idx="24">
                  <c:v>17386412.563221738</c:v>
                </c:pt>
                <c:pt idx="25">
                  <c:v>17160240.592216328</c:v>
                </c:pt>
                <c:pt idx="26">
                  <c:v>17130091.630945865</c:v>
                </c:pt>
                <c:pt idx="27">
                  <c:v>16943375.631486878</c:v>
                </c:pt>
                <c:pt idx="28">
                  <c:v>16775619.43711572</c:v>
                </c:pt>
                <c:pt idx="29">
                  <c:v>16605249.576461228</c:v>
                </c:pt>
                <c:pt idx="30">
                  <c:v>16389239.401154019</c:v>
                </c:pt>
                <c:pt idx="31">
                  <c:v>16215089.341624968</c:v>
                </c:pt>
                <c:pt idx="32">
                  <c:v>16175620.826807557</c:v>
                </c:pt>
                <c:pt idx="33">
                  <c:v>16103958.212760771</c:v>
                </c:pt>
                <c:pt idx="34">
                  <c:v>15961897.326554438</c:v>
                </c:pt>
                <c:pt idx="35">
                  <c:v>15713931.487678867</c:v>
                </c:pt>
                <c:pt idx="36">
                  <c:v>15438811.860327825</c:v>
                </c:pt>
                <c:pt idx="37">
                  <c:v>15156000.883835457</c:v>
                </c:pt>
                <c:pt idx="38">
                  <c:v>14878516.550174698</c:v>
                </c:pt>
                <c:pt idx="39">
                  <c:v>14613572.481092492</c:v>
                </c:pt>
                <c:pt idx="40">
                  <c:v>14352923.392288532</c:v>
                </c:pt>
                <c:pt idx="41">
                  <c:v>14098030.991954003</c:v>
                </c:pt>
                <c:pt idx="42">
                  <c:v>13846577.150893772</c:v>
                </c:pt>
                <c:pt idx="43">
                  <c:v>13588530.948187687</c:v>
                </c:pt>
                <c:pt idx="44">
                  <c:v>13322872.863293611</c:v>
                </c:pt>
                <c:pt idx="45">
                  <c:v>13053321.76876854</c:v>
                </c:pt>
                <c:pt idx="46">
                  <c:v>12772205.525159772</c:v>
                </c:pt>
                <c:pt idx="47">
                  <c:v>12485293.480967147</c:v>
                </c:pt>
                <c:pt idx="48">
                  <c:v>12194932.146557609</c:v>
                </c:pt>
                <c:pt idx="49">
                  <c:v>11905974.153843818</c:v>
                </c:pt>
                <c:pt idx="50">
                  <c:v>11626587.261939414</c:v>
                </c:pt>
                <c:pt idx="51">
                  <c:v>11350874.519852204</c:v>
                </c:pt>
                <c:pt idx="52">
                  <c:v>11078455.303928601</c:v>
                </c:pt>
                <c:pt idx="53">
                  <c:v>10813418.418491377</c:v>
                </c:pt>
                <c:pt idx="54">
                  <c:v>10555546.419463875</c:v>
                </c:pt>
                <c:pt idx="55">
                  <c:v>10304729.308104608</c:v>
                </c:pt>
                <c:pt idx="56">
                  <c:v>10059970.232351497</c:v>
                </c:pt>
                <c:pt idx="57">
                  <c:v>9823038.5427015368</c:v>
                </c:pt>
                <c:pt idx="58">
                  <c:v>9598716.537226554</c:v>
                </c:pt>
                <c:pt idx="59">
                  <c:v>9389609.9242143016</c:v>
                </c:pt>
                <c:pt idx="60">
                  <c:v>9194232.4839307722</c:v>
                </c:pt>
                <c:pt idx="61">
                  <c:v>9005565.8787705302</c:v>
                </c:pt>
                <c:pt idx="62">
                  <c:v>8823622.7771065924</c:v>
                </c:pt>
                <c:pt idx="63">
                  <c:v>8648660.3776664007</c:v>
                </c:pt>
                <c:pt idx="64">
                  <c:v>8481656.5600000005</c:v>
                </c:pt>
                <c:pt idx="65">
                  <c:v>8324000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E-44E0-96B1-D2DCF4919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339845"/>
        <c:axId val="150397609"/>
      </c:lineChart>
      <c:catAx>
        <c:axId val="969339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397609"/>
        <c:crosses val="autoZero"/>
        <c:auto val="1"/>
        <c:lblAlgn val="ctr"/>
        <c:lblOffset val="100"/>
        <c:noMultiLvlLbl val="1"/>
      </c:catAx>
      <c:valAx>
        <c:axId val="150397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93398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Hyelen!$D$1:$D$67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1.917E-2</c:v>
                </c:pt>
                <c:pt idx="2">
                  <c:v>1.983E-2</c:v>
                </c:pt>
                <c:pt idx="3">
                  <c:v>2.2630000000000001E-2</c:v>
                </c:pt>
                <c:pt idx="4">
                  <c:v>2.5520000000000001E-2</c:v>
                </c:pt>
                <c:pt idx="5">
                  <c:v>7.6299999999999996E-3</c:v>
                </c:pt>
                <c:pt idx="6">
                  <c:v>3.1900000000000001E-3</c:v>
                </c:pt>
                <c:pt idx="7">
                  <c:v>2.2000000000000001E-3</c:v>
                </c:pt>
                <c:pt idx="8">
                  <c:v>-8.9999999999999998E-4</c:v>
                </c:pt>
                <c:pt idx="9">
                  <c:v>-1.1999999999999999E-3</c:v>
                </c:pt>
                <c:pt idx="10">
                  <c:v>-1.49E-3</c:v>
                </c:pt>
                <c:pt idx="11">
                  <c:v>-1.5900000000000001E-3</c:v>
                </c:pt>
                <c:pt idx="12">
                  <c:v>-5.9999999999999995E-4</c:v>
                </c:pt>
                <c:pt idx="13">
                  <c:v>8.0000000000000004E-4</c:v>
                </c:pt>
                <c:pt idx="14">
                  <c:v>-5.2599999999999999E-3</c:v>
                </c:pt>
                <c:pt idx="15">
                  <c:v>-4.4400000000000004E-3</c:v>
                </c:pt>
                <c:pt idx="16">
                  <c:v>-2.8500000000000001E-3</c:v>
                </c:pt>
                <c:pt idx="17">
                  <c:v>-9.7999999999999997E-4</c:v>
                </c:pt>
                <c:pt idx="18">
                  <c:v>-1.1800000000000001E-3</c:v>
                </c:pt>
                <c:pt idx="19">
                  <c:v>1.3699999999999999E-3</c:v>
                </c:pt>
                <c:pt idx="20">
                  <c:v>1.3699999999999999E-3</c:v>
                </c:pt>
                <c:pt idx="21">
                  <c:v>2.2599999999999999E-3</c:v>
                </c:pt>
                <c:pt idx="22">
                  <c:v>3.0599999999999998E-3</c:v>
                </c:pt>
                <c:pt idx="23">
                  <c:v>3.96E-3</c:v>
                </c:pt>
                <c:pt idx="24">
                  <c:v>1.217E-2</c:v>
                </c:pt>
                <c:pt idx="25">
                  <c:v>2.2339999999999999E-2</c:v>
                </c:pt>
                <c:pt idx="26">
                  <c:v>2.453E-2</c:v>
                </c:pt>
                <c:pt idx="27">
                  <c:v>2.4170000000000001E-2</c:v>
                </c:pt>
                <c:pt idx="28">
                  <c:v>2.4549999999999999E-2</c:v>
                </c:pt>
                <c:pt idx="29">
                  <c:v>2.3699999999999999E-2</c:v>
                </c:pt>
                <c:pt idx="30">
                  <c:v>2.2540000000000001E-2</c:v>
                </c:pt>
                <c:pt idx="31">
                  <c:v>2.1520000000000001E-2</c:v>
                </c:pt>
                <c:pt idx="32">
                  <c:v>1.958E-2</c:v>
                </c:pt>
                <c:pt idx="33">
                  <c:v>1.9109999999999999E-2</c:v>
                </c:pt>
                <c:pt idx="34">
                  <c:v>2.4510000000000001E-2</c:v>
                </c:pt>
                <c:pt idx="35">
                  <c:v>2.6030000000000001E-2</c:v>
                </c:pt>
                <c:pt idx="36">
                  <c:v>2.3140000000000001E-2</c:v>
                </c:pt>
                <c:pt idx="37">
                  <c:v>2.478E-2</c:v>
                </c:pt>
                <c:pt idx="38">
                  <c:v>2.1100000000000001E-2</c:v>
                </c:pt>
                <c:pt idx="39">
                  <c:v>1.619E-2</c:v>
                </c:pt>
                <c:pt idx="40">
                  <c:v>1.1469999999999999E-2</c:v>
                </c:pt>
                <c:pt idx="41">
                  <c:v>1.0449999999999999E-2</c:v>
                </c:pt>
                <c:pt idx="42">
                  <c:v>7.9399999999999991E-3</c:v>
                </c:pt>
                <c:pt idx="43">
                  <c:v>8.7399999999999995E-3</c:v>
                </c:pt>
                <c:pt idx="44">
                  <c:v>7.0499999999999998E-3</c:v>
                </c:pt>
                <c:pt idx="45">
                  <c:v>7.6899999999999998E-3</c:v>
                </c:pt>
                <c:pt idx="46">
                  <c:v>7.9000000000000008E-3</c:v>
                </c:pt>
                <c:pt idx="47">
                  <c:v>3.1E-2</c:v>
                </c:pt>
                <c:pt idx="48">
                  <c:v>4.7730000000000002E-2</c:v>
                </c:pt>
                <c:pt idx="49">
                  <c:v>1.3860000000000001E-2</c:v>
                </c:pt>
                <c:pt idx="50">
                  <c:v>1.6049999999999998E-2</c:v>
                </c:pt>
                <c:pt idx="51">
                  <c:v>5.6090000000000001E-2</c:v>
                </c:pt>
                <c:pt idx="52">
                  <c:v>5.5690000000000003E-2</c:v>
                </c:pt>
                <c:pt idx="53">
                  <c:v>5.1479999999999998E-2</c:v>
                </c:pt>
                <c:pt idx="54">
                  <c:v>4.5600000000000002E-2</c:v>
                </c:pt>
                <c:pt idx="55">
                  <c:v>3.8339999999999999E-2</c:v>
                </c:pt>
                <c:pt idx="56">
                  <c:v>3.2340000000000001E-2</c:v>
                </c:pt>
                <c:pt idx="57">
                  <c:v>3.5709999999999999E-2</c:v>
                </c:pt>
                <c:pt idx="58">
                  <c:v>3.5839999999999997E-2</c:v>
                </c:pt>
                <c:pt idx="59">
                  <c:v>2.9819999999999999E-2</c:v>
                </c:pt>
                <c:pt idx="60">
                  <c:v>3.7310000000000003E-2</c:v>
                </c:pt>
                <c:pt idx="61">
                  <c:v>3.1669999999999997E-2</c:v>
                </c:pt>
                <c:pt idx="62">
                  <c:v>2.3019999999999999E-2</c:v>
                </c:pt>
                <c:pt idx="63">
                  <c:v>2.247E-2</c:v>
                </c:pt>
                <c:pt idx="64">
                  <c:v>2.5229999999999999E-2</c:v>
                </c:pt>
                <c:pt idx="65">
                  <c:v>2.9340000000000001E-2</c:v>
                </c:pt>
                <c:pt idx="66">
                  <c:v>3.0530000000000002E-2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EC-4CAA-A6AC-3D4BA05E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360819"/>
        <c:axId val="229182710"/>
      </c:lineChart>
      <c:catAx>
        <c:axId val="393360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9182710"/>
        <c:crosses val="autoZero"/>
        <c:auto val="1"/>
        <c:lblAlgn val="ctr"/>
        <c:lblOffset val="100"/>
        <c:noMultiLvlLbl val="1"/>
      </c:catAx>
      <c:valAx>
        <c:axId val="229182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33608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Hyelen!$C$1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Hyelen!$C$2:$C$67</c:f>
              <c:numCache>
                <c:formatCode>#,##0</c:formatCode>
                <c:ptCount val="66"/>
                <c:pt idx="0">
                  <c:v>1724704.1780236477</c:v>
                </c:pt>
                <c:pt idx="1">
                  <c:v>1707627.8990333145</c:v>
                </c:pt>
                <c:pt idx="2">
                  <c:v>1674424.0697305575</c:v>
                </c:pt>
                <c:pt idx="3">
                  <c:v>1637370.3780747266</c:v>
                </c:pt>
                <c:pt idx="4">
                  <c:v>1596624.5203162557</c:v>
                </c:pt>
                <c:pt idx="5">
                  <c:v>1584534.5219140514</c:v>
                </c:pt>
                <c:pt idx="6">
                  <c:v>1579495.9298976779</c:v>
                </c:pt>
                <c:pt idx="7">
                  <c:v>1576028.6668306505</c:v>
                </c:pt>
                <c:pt idx="8">
                  <c:v>1577448.3703639782</c:v>
                </c:pt>
                <c:pt idx="9">
                  <c:v>1579343.582663174</c:v>
                </c:pt>
                <c:pt idx="10">
                  <c:v>1581700.3161342139</c:v>
                </c:pt>
                <c:pt idx="11">
                  <c:v>1584219.2247014893</c:v>
                </c:pt>
                <c:pt idx="12">
                  <c:v>1585170.3268976279</c:v>
                </c:pt>
                <c:pt idx="13">
                  <c:v>1583903.2043341608</c:v>
                </c:pt>
                <c:pt idx="14">
                  <c:v>1592278.5897160673</c:v>
                </c:pt>
                <c:pt idx="15">
                  <c:v>1599379.8361887452</c:v>
                </c:pt>
                <c:pt idx="16">
                  <c:v>1603951.0968146671</c:v>
                </c:pt>
                <c:pt idx="17">
                  <c:v>1605524.5108352858</c:v>
                </c:pt>
                <c:pt idx="18">
                  <c:v>1607421.2679314448</c:v>
                </c:pt>
                <c:pt idx="19">
                  <c:v>1605222.1136357638</c:v>
                </c:pt>
                <c:pt idx="20">
                  <c:v>1603025.9680595221</c:v>
                </c:pt>
                <c:pt idx="21">
                  <c:v>1599411.2985248561</c:v>
                </c:pt>
                <c:pt idx="22">
                  <c:v>1594532.0305114908</c:v>
                </c:pt>
                <c:pt idx="23">
                  <c:v>1588242.5898556623</c:v>
                </c:pt>
                <c:pt idx="24">
                  <c:v>1569146.0820372687</c:v>
                </c:pt>
                <c:pt idx="25">
                  <c:v>1534857.3684266179</c:v>
                </c:pt>
                <c:pt idx="26">
                  <c:v>1498108.7605307975</c:v>
                </c:pt>
                <c:pt idx="27">
                  <c:v>1462753.9964369172</c:v>
                </c:pt>
                <c:pt idx="28">
                  <c:v>1427703.8665139985</c:v>
                </c:pt>
                <c:pt idx="29">
                  <c:v>1394650.6461990802</c:v>
                </c:pt>
                <c:pt idx="30">
                  <c:v>1363908.156354842</c:v>
                </c:pt>
                <c:pt idx="31">
                  <c:v>1335175.1863447039</c:v>
                </c:pt>
                <c:pt idx="32">
                  <c:v>1309534.5008186745</c:v>
                </c:pt>
                <c:pt idx="33">
                  <c:v>1284978.5605270034</c:v>
                </c:pt>
                <c:pt idx="34">
                  <c:v>1254237.2065933992</c:v>
                </c:pt>
                <c:pt idx="35">
                  <c:v>1222417.6745255005</c:v>
                </c:pt>
                <c:pt idx="36">
                  <c:v>1194770.6809679032</c:v>
                </c:pt>
                <c:pt idx="37">
                  <c:v>1165880.1703467118</c:v>
                </c:pt>
                <c:pt idx="38">
                  <c:v>1141788.4343812671</c:v>
                </c:pt>
                <c:pt idx="39">
                  <c:v>1123597.3925951517</c:v>
                </c:pt>
                <c:pt idx="40">
                  <c:v>1110855.8757008626</c:v>
                </c:pt>
                <c:pt idx="41">
                  <c:v>1099367.4854776214</c:v>
                </c:pt>
                <c:pt idx="42">
                  <c:v>1090707.2697557607</c:v>
                </c:pt>
                <c:pt idx="43">
                  <c:v>1081257.0828516374</c:v>
                </c:pt>
                <c:pt idx="44">
                  <c:v>1073687.5853747455</c:v>
                </c:pt>
                <c:pt idx="45">
                  <c:v>1065493.9369992216</c:v>
                </c:pt>
                <c:pt idx="46">
                  <c:v>1057142.5111610494</c:v>
                </c:pt>
                <c:pt idx="47">
                  <c:v>1025356.4608739567</c:v>
                </c:pt>
                <c:pt idx="48">
                  <c:v>978645.70153947733</c:v>
                </c:pt>
                <c:pt idx="49">
                  <c:v>965267.09953985491</c:v>
                </c:pt>
                <c:pt idx="50">
                  <c:v>950019.28993637615</c:v>
                </c:pt>
                <c:pt idx="51">
                  <c:v>899562.81182131846</c:v>
                </c:pt>
                <c:pt idx="52">
                  <c:v>852108.86891162978</c:v>
                </c:pt>
                <c:pt idx="53">
                  <c:v>810389.99211742473</c:v>
                </c:pt>
                <c:pt idx="54">
                  <c:v>775047.81189501216</c:v>
                </c:pt>
                <c:pt idx="55">
                  <c:v>746429.6973005106</c:v>
                </c:pt>
                <c:pt idx="56">
                  <c:v>723046.3774536592</c:v>
                </c:pt>
                <c:pt idx="57">
                  <c:v>698116.63250684005</c:v>
                </c:pt>
                <c:pt idx="58">
                  <c:v>673961.84015566111</c:v>
                </c:pt>
                <c:pt idx="59">
                  <c:v>654446.25289435161</c:v>
                </c:pt>
                <c:pt idx="60">
                  <c:v>630907.10866987845</c:v>
                </c:pt>
                <c:pt idx="61">
                  <c:v>611539.64801717445</c:v>
                </c:pt>
                <c:pt idx="62">
                  <c:v>597778.78049028805</c:v>
                </c:pt>
                <c:pt idx="63">
                  <c:v>584641.87750280008</c:v>
                </c:pt>
                <c:pt idx="64">
                  <c:v>570254.36</c:v>
                </c:pt>
                <c:pt idx="65">
                  <c:v>554000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9-4802-8E51-DA96DDCC4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13620"/>
        <c:axId val="1380212026"/>
      </c:lineChart>
      <c:catAx>
        <c:axId val="347213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0212026"/>
        <c:crosses val="autoZero"/>
        <c:auto val="1"/>
        <c:lblAlgn val="ctr"/>
        <c:lblOffset val="100"/>
        <c:noMultiLvlLbl val="1"/>
      </c:catAx>
      <c:valAx>
        <c:axId val="1380212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136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Iainoa!$D$1:$D$67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1.09E-2</c:v>
                </c:pt>
                <c:pt idx="2">
                  <c:v>1.0999999999999999E-2</c:v>
                </c:pt>
                <c:pt idx="3">
                  <c:v>9.5999999999999992E-3</c:v>
                </c:pt>
                <c:pt idx="4">
                  <c:v>9.5999999999999992E-3</c:v>
                </c:pt>
                <c:pt idx="5">
                  <c:v>1.1900000000000001E-2</c:v>
                </c:pt>
                <c:pt idx="6">
                  <c:v>1.7100000000000001E-2</c:v>
                </c:pt>
                <c:pt idx="7">
                  <c:v>1.8100000000000002E-2</c:v>
                </c:pt>
                <c:pt idx="8">
                  <c:v>1.47E-2</c:v>
                </c:pt>
                <c:pt idx="9">
                  <c:v>1.3299999999999999E-2</c:v>
                </c:pt>
                <c:pt idx="10">
                  <c:v>1.1299999999999999E-2</c:v>
                </c:pt>
                <c:pt idx="11">
                  <c:v>9.9000000000000008E-3</c:v>
                </c:pt>
                <c:pt idx="12">
                  <c:v>8.9999999999999993E-3</c:v>
                </c:pt>
                <c:pt idx="13">
                  <c:v>8.3999999999999995E-3</c:v>
                </c:pt>
                <c:pt idx="14">
                  <c:v>7.4999999999999997E-3</c:v>
                </c:pt>
                <c:pt idx="15">
                  <c:v>6.4999999999999997E-3</c:v>
                </c:pt>
                <c:pt idx="16">
                  <c:v>6.1999999999999998E-3</c:v>
                </c:pt>
                <c:pt idx="17">
                  <c:v>6.6E-3</c:v>
                </c:pt>
                <c:pt idx="18">
                  <c:v>7.3000000000000001E-3</c:v>
                </c:pt>
                <c:pt idx="19">
                  <c:v>7.9000000000000008E-3</c:v>
                </c:pt>
                <c:pt idx="20">
                  <c:v>8.8999999999999999E-3</c:v>
                </c:pt>
                <c:pt idx="21">
                  <c:v>9.7999999999999997E-3</c:v>
                </c:pt>
                <c:pt idx="22">
                  <c:v>1.0699999999999999E-2</c:v>
                </c:pt>
                <c:pt idx="23">
                  <c:v>1.1900000000000001E-2</c:v>
                </c:pt>
                <c:pt idx="24">
                  <c:v>1.37E-2</c:v>
                </c:pt>
                <c:pt idx="25">
                  <c:v>1.5599999999999999E-2</c:v>
                </c:pt>
                <c:pt idx="26">
                  <c:v>1.7299999999999999E-2</c:v>
                </c:pt>
                <c:pt idx="27">
                  <c:v>1.8200000000000001E-2</c:v>
                </c:pt>
                <c:pt idx="28">
                  <c:v>1.8499999999999999E-2</c:v>
                </c:pt>
                <c:pt idx="29">
                  <c:v>1.8800000000000001E-2</c:v>
                </c:pt>
                <c:pt idx="30">
                  <c:v>1.9400000000000001E-2</c:v>
                </c:pt>
                <c:pt idx="31">
                  <c:v>1.9800000000000002E-2</c:v>
                </c:pt>
                <c:pt idx="32">
                  <c:v>2.0199999999999999E-2</c:v>
                </c:pt>
                <c:pt idx="33">
                  <c:v>2.0400000000000001E-2</c:v>
                </c:pt>
                <c:pt idx="34">
                  <c:v>2.1100000000000001E-2</c:v>
                </c:pt>
                <c:pt idx="35">
                  <c:v>2.2100000000000002E-2</c:v>
                </c:pt>
                <c:pt idx="36">
                  <c:v>2.24E-2</c:v>
                </c:pt>
                <c:pt idx="37">
                  <c:v>2.2700000000000001E-2</c:v>
                </c:pt>
                <c:pt idx="38">
                  <c:v>2.29E-2</c:v>
                </c:pt>
                <c:pt idx="39">
                  <c:v>2.3599999999999999E-2</c:v>
                </c:pt>
                <c:pt idx="40">
                  <c:v>2.4400000000000002E-2</c:v>
                </c:pt>
                <c:pt idx="41">
                  <c:v>2.4799999999999999E-2</c:v>
                </c:pt>
                <c:pt idx="42">
                  <c:v>2.4899999999999999E-2</c:v>
                </c:pt>
                <c:pt idx="43">
                  <c:v>2.4799999999999999E-2</c:v>
                </c:pt>
                <c:pt idx="44">
                  <c:v>2.4899999999999999E-2</c:v>
                </c:pt>
                <c:pt idx="45">
                  <c:v>2.5000000000000001E-2</c:v>
                </c:pt>
                <c:pt idx="46">
                  <c:v>2.4899999999999999E-2</c:v>
                </c:pt>
                <c:pt idx="47">
                  <c:v>2.4899999999999999E-2</c:v>
                </c:pt>
                <c:pt idx="48">
                  <c:v>2.47E-2</c:v>
                </c:pt>
                <c:pt idx="49">
                  <c:v>2.47E-2</c:v>
                </c:pt>
                <c:pt idx="50">
                  <c:v>2.4899999999999999E-2</c:v>
                </c:pt>
                <c:pt idx="51">
                  <c:v>2.53E-2</c:v>
                </c:pt>
                <c:pt idx="52">
                  <c:v>2.5899999999999999E-2</c:v>
                </c:pt>
                <c:pt idx="53">
                  <c:v>2.6499999999999999E-2</c:v>
                </c:pt>
                <c:pt idx="54">
                  <c:v>2.46E-2</c:v>
                </c:pt>
                <c:pt idx="55">
                  <c:v>2.5100000000000001E-2</c:v>
                </c:pt>
                <c:pt idx="56">
                  <c:v>2.7900000000000001E-2</c:v>
                </c:pt>
                <c:pt idx="57">
                  <c:v>2.81E-2</c:v>
                </c:pt>
                <c:pt idx="58">
                  <c:v>2.8299999999999999E-2</c:v>
                </c:pt>
                <c:pt idx="59">
                  <c:v>2.8500000000000001E-2</c:v>
                </c:pt>
                <c:pt idx="60">
                  <c:v>2.87E-2</c:v>
                </c:pt>
                <c:pt idx="61">
                  <c:v>2.8899999999999999E-2</c:v>
                </c:pt>
                <c:pt idx="62">
                  <c:v>2.9000000000000001E-2</c:v>
                </c:pt>
                <c:pt idx="63">
                  <c:v>2.9100000000000001E-2</c:v>
                </c:pt>
                <c:pt idx="64">
                  <c:v>2.92E-2</c:v>
                </c:pt>
                <c:pt idx="65">
                  <c:v>0.01</c:v>
                </c:pt>
                <c:pt idx="66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0E-47A4-A7B3-41E3F8B5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90817"/>
        <c:axId val="2015837965"/>
      </c:lineChart>
      <c:catAx>
        <c:axId val="155790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5837965"/>
        <c:crosses val="autoZero"/>
        <c:auto val="1"/>
        <c:lblAlgn val="ctr"/>
        <c:lblOffset val="100"/>
        <c:noMultiLvlLbl val="1"/>
      </c:catAx>
      <c:valAx>
        <c:axId val="2015837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7908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Iainoa!$C$1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Iainoa!$C$2:$C$67</c:f>
              <c:numCache>
                <c:formatCode>#,##0</c:formatCode>
                <c:ptCount val="66"/>
                <c:pt idx="0">
                  <c:v>15105606.015821232</c:v>
                </c:pt>
                <c:pt idx="1">
                  <c:v>14942730.2560305</c:v>
                </c:pt>
                <c:pt idx="2">
                  <c:v>14780148.621197332</c:v>
                </c:pt>
                <c:pt idx="3">
                  <c:v>14639608.380742205</c:v>
                </c:pt>
                <c:pt idx="4">
                  <c:v>14500404.497565575</c:v>
                </c:pt>
                <c:pt idx="5">
                  <c:v>14329878.938200982</c:v>
                </c:pt>
                <c:pt idx="6">
                  <c:v>14088957.760496493</c:v>
                </c:pt>
                <c:pt idx="7">
                  <c:v>13838481.249873778</c:v>
                </c:pt>
                <c:pt idx="8">
                  <c:v>13638002.61148495</c:v>
                </c:pt>
                <c:pt idx="9">
                  <c:v>13458997.938897612</c:v>
                </c:pt>
                <c:pt idx="10">
                  <c:v>13308610.638680521</c:v>
                </c:pt>
                <c:pt idx="11">
                  <c:v>13178146.983543441</c:v>
                </c:pt>
                <c:pt idx="12">
                  <c:v>13060601.569418674</c:v>
                </c:pt>
                <c:pt idx="13">
                  <c:v>12951806.395694839</c:v>
                </c:pt>
                <c:pt idx="14">
                  <c:v>12855390.963468822</c:v>
                </c:pt>
                <c:pt idx="15">
                  <c:v>12772370.554862218</c:v>
                </c:pt>
                <c:pt idx="16">
                  <c:v>12693669.802089265</c:v>
                </c:pt>
                <c:pt idx="17">
                  <c:v>12610440.89220074</c:v>
                </c:pt>
                <c:pt idx="18">
                  <c:v>12519051.813958839</c:v>
                </c:pt>
                <c:pt idx="19">
                  <c:v>12420926.494651094</c:v>
                </c:pt>
                <c:pt idx="20">
                  <c:v>12311355.431312414</c:v>
                </c:pt>
                <c:pt idx="21">
                  <c:v>12191875.055765908</c:v>
                </c:pt>
                <c:pt idx="22">
                  <c:v>12062803.062991897</c:v>
                </c:pt>
                <c:pt idx="23">
                  <c:v>11920943.831398258</c:v>
                </c:pt>
                <c:pt idx="24">
                  <c:v>11759834.104171114</c:v>
                </c:pt>
                <c:pt idx="25">
                  <c:v>11579198.60591878</c:v>
                </c:pt>
                <c:pt idx="26">
                  <c:v>11382285.074136222</c:v>
                </c:pt>
                <c:pt idx="27">
                  <c:v>11178830.361555904</c:v>
                </c:pt>
                <c:pt idx="28">
                  <c:v>10975778.460045071</c:v>
                </c:pt>
                <c:pt idx="29">
                  <c:v>10773241.519478869</c:v>
                </c:pt>
                <c:pt idx="30">
                  <c:v>10568218.088560788</c:v>
                </c:pt>
                <c:pt idx="31">
                  <c:v>10363030.092724836</c:v>
                </c:pt>
                <c:pt idx="32">
                  <c:v>10157841.690575216</c:v>
                </c:pt>
                <c:pt idx="33">
                  <c:v>9954764.4948796704</c:v>
                </c:pt>
                <c:pt idx="34">
                  <c:v>9749059.3427476957</c:v>
                </c:pt>
                <c:pt idx="35">
                  <c:v>9538263.7146538459</c:v>
                </c:pt>
                <c:pt idx="36">
                  <c:v>9329287.6708273143</c:v>
                </c:pt>
                <c:pt idx="37">
                  <c:v>9122213.4260558467</c:v>
                </c:pt>
                <c:pt idx="38">
                  <c:v>8917991.4224810321</c:v>
                </c:pt>
                <c:pt idx="39">
                  <c:v>8712379.2716696281</c:v>
                </c:pt>
                <c:pt idx="40">
                  <c:v>8504860.671290148</c:v>
                </c:pt>
                <c:pt idx="41">
                  <c:v>8299044.3708920255</c:v>
                </c:pt>
                <c:pt idx="42">
                  <c:v>8097418.6465918878</c:v>
                </c:pt>
                <c:pt idx="43">
                  <c:v>7901462.3795783455</c:v>
                </c:pt>
                <c:pt idx="44">
                  <c:v>7709495.9308989616</c:v>
                </c:pt>
                <c:pt idx="45">
                  <c:v>7521459.4447794752</c:v>
                </c:pt>
                <c:pt idx="46">
                  <c:v>7338725.1876080353</c:v>
                </c:pt>
                <c:pt idx="47">
                  <c:v>7160430.4689316377</c:v>
                </c:pt>
                <c:pt idx="48">
                  <c:v>6987831.0421895562</c:v>
                </c:pt>
                <c:pt idx="49">
                  <c:v>6819392.0583483521</c:v>
                </c:pt>
                <c:pt idx="50">
                  <c:v>6653714.5656633358</c:v>
                </c:pt>
                <c:pt idx="51">
                  <c:v>6489529.4700705502</c:v>
                </c:pt>
                <c:pt idx="52">
                  <c:v>6325693.9955849014</c:v>
                </c:pt>
                <c:pt idx="53">
                  <c:v>6162390.6435313215</c:v>
                </c:pt>
                <c:pt idx="54">
                  <c:v>6014435.5295054866</c:v>
                </c:pt>
                <c:pt idx="55">
                  <c:v>5867169.5732177226</c:v>
                </c:pt>
                <c:pt idx="56">
                  <c:v>5707918.6430759048</c:v>
                </c:pt>
                <c:pt idx="57">
                  <c:v>5551909.9728391254</c:v>
                </c:pt>
                <c:pt idx="58">
                  <c:v>5399115.0178344119</c:v>
                </c:pt>
                <c:pt idx="59">
                  <c:v>5249504.1495716209</c:v>
                </c:pt>
                <c:pt idx="60">
                  <c:v>5103046.7090226701</c:v>
                </c:pt>
                <c:pt idx="61">
                  <c:v>4959711.0594058419</c:v>
                </c:pt>
                <c:pt idx="62">
                  <c:v>4819933.0023380388</c:v>
                </c:pt>
                <c:pt idx="63">
                  <c:v>4683639.1043999996</c:v>
                </c:pt>
                <c:pt idx="64">
                  <c:v>4550757</c:v>
                </c:pt>
                <c:pt idx="65">
                  <c:v>4505700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4-4256-A3F0-5453A3EBF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256440"/>
        <c:axId val="2058137746"/>
      </c:lineChart>
      <c:catAx>
        <c:axId val="1585256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8137746"/>
        <c:crosses val="autoZero"/>
        <c:auto val="1"/>
        <c:lblAlgn val="ctr"/>
        <c:lblOffset val="100"/>
        <c:noMultiLvlLbl val="1"/>
      </c:catAx>
      <c:valAx>
        <c:axId val="2058137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2564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Iareva!$D$1:$D$67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1.222E-2</c:v>
                </c:pt>
                <c:pt idx="2">
                  <c:v>1.235E-2</c:v>
                </c:pt>
                <c:pt idx="3">
                  <c:v>1.434E-2</c:v>
                </c:pt>
                <c:pt idx="4">
                  <c:v>2.026E-2</c:v>
                </c:pt>
                <c:pt idx="5">
                  <c:v>2.2179999999999998E-2</c:v>
                </c:pt>
                <c:pt idx="6">
                  <c:v>1.881E-2</c:v>
                </c:pt>
                <c:pt idx="7">
                  <c:v>2.443E-2</c:v>
                </c:pt>
                <c:pt idx="8">
                  <c:v>4.2090000000000002E-2</c:v>
                </c:pt>
                <c:pt idx="9">
                  <c:v>4.7480000000000001E-2</c:v>
                </c:pt>
                <c:pt idx="10">
                  <c:v>3.6470000000000002E-2</c:v>
                </c:pt>
                <c:pt idx="11">
                  <c:v>2.733E-2</c:v>
                </c:pt>
                <c:pt idx="12">
                  <c:v>1.7860000000000001E-2</c:v>
                </c:pt>
                <c:pt idx="13">
                  <c:v>-1.33E-3</c:v>
                </c:pt>
                <c:pt idx="14">
                  <c:v>-2.8500000000000001E-3</c:v>
                </c:pt>
                <c:pt idx="15">
                  <c:v>1.78E-2</c:v>
                </c:pt>
                <c:pt idx="16">
                  <c:v>2.1950000000000001E-2</c:v>
                </c:pt>
                <c:pt idx="17">
                  <c:v>1.23E-2</c:v>
                </c:pt>
                <c:pt idx="18">
                  <c:v>2.0889999999999999E-2</c:v>
                </c:pt>
                <c:pt idx="19">
                  <c:v>3.3750000000000002E-2</c:v>
                </c:pt>
                <c:pt idx="20">
                  <c:v>3.712E-2</c:v>
                </c:pt>
                <c:pt idx="21">
                  <c:v>3.5619999999999999E-2</c:v>
                </c:pt>
                <c:pt idx="22">
                  <c:v>3.0949999999999998E-2</c:v>
                </c:pt>
                <c:pt idx="23">
                  <c:v>2.836E-2</c:v>
                </c:pt>
                <c:pt idx="24">
                  <c:v>2.751E-2</c:v>
                </c:pt>
                <c:pt idx="25">
                  <c:v>2.92E-2</c:v>
                </c:pt>
                <c:pt idx="26">
                  <c:v>3.3500000000000002E-2</c:v>
                </c:pt>
                <c:pt idx="27">
                  <c:v>3.4049999999999997E-2</c:v>
                </c:pt>
                <c:pt idx="28">
                  <c:v>2.7789999999999999E-2</c:v>
                </c:pt>
                <c:pt idx="29">
                  <c:v>2.002E-2</c:v>
                </c:pt>
                <c:pt idx="30">
                  <c:v>6.6400000000000001E-3</c:v>
                </c:pt>
                <c:pt idx="31">
                  <c:v>3.6999999999999999E-4</c:v>
                </c:pt>
                <c:pt idx="32">
                  <c:v>0.01</c:v>
                </c:pt>
                <c:pt idx="33">
                  <c:v>1.5890000000000001E-2</c:v>
                </c:pt>
                <c:pt idx="34">
                  <c:v>2.8330000000000001E-2</c:v>
                </c:pt>
                <c:pt idx="35">
                  <c:v>4.614E-2</c:v>
                </c:pt>
                <c:pt idx="36">
                  <c:v>2.947E-2</c:v>
                </c:pt>
                <c:pt idx="37">
                  <c:v>1.124E-2</c:v>
                </c:pt>
                <c:pt idx="38">
                  <c:v>1.197E-2</c:v>
                </c:pt>
                <c:pt idx="39">
                  <c:v>1.2800000000000001E-2</c:v>
                </c:pt>
                <c:pt idx="40">
                  <c:v>1.38E-2</c:v>
                </c:pt>
                <c:pt idx="41">
                  <c:v>1.4409999999999999E-2</c:v>
                </c:pt>
                <c:pt idx="42">
                  <c:v>1.5310000000000001E-2</c:v>
                </c:pt>
                <c:pt idx="43">
                  <c:v>1.6209999999999999E-2</c:v>
                </c:pt>
                <c:pt idx="44">
                  <c:v>1.661E-2</c:v>
                </c:pt>
                <c:pt idx="45">
                  <c:v>1.685E-2</c:v>
                </c:pt>
                <c:pt idx="46">
                  <c:v>1.8120000000000001E-2</c:v>
                </c:pt>
                <c:pt idx="47">
                  <c:v>1.9939999999999999E-2</c:v>
                </c:pt>
                <c:pt idx="48">
                  <c:v>2.1499999999999998E-2</c:v>
                </c:pt>
                <c:pt idx="49">
                  <c:v>2.3199999999999998E-2</c:v>
                </c:pt>
                <c:pt idx="50">
                  <c:v>2.479E-2</c:v>
                </c:pt>
                <c:pt idx="51">
                  <c:v>2.6169999999999999E-2</c:v>
                </c:pt>
                <c:pt idx="52">
                  <c:v>2.7320000000000001E-2</c:v>
                </c:pt>
                <c:pt idx="53">
                  <c:v>2.8309999999999998E-2</c:v>
                </c:pt>
                <c:pt idx="54">
                  <c:v>2.9350000000000001E-2</c:v>
                </c:pt>
                <c:pt idx="55">
                  <c:v>3.048E-2</c:v>
                </c:pt>
                <c:pt idx="56">
                  <c:v>3.1730000000000001E-2</c:v>
                </c:pt>
                <c:pt idx="57">
                  <c:v>3.3020000000000001E-2</c:v>
                </c:pt>
                <c:pt idx="58">
                  <c:v>3.4500000000000003E-2</c:v>
                </c:pt>
                <c:pt idx="59">
                  <c:v>4.2950000000000002E-2</c:v>
                </c:pt>
                <c:pt idx="60">
                  <c:v>5.178E-2</c:v>
                </c:pt>
                <c:pt idx="61">
                  <c:v>5.2609999999999997E-2</c:v>
                </c:pt>
                <c:pt idx="62">
                  <c:v>5.3080000000000002E-2</c:v>
                </c:pt>
                <c:pt idx="63">
                  <c:v>5.3120000000000001E-2</c:v>
                </c:pt>
                <c:pt idx="64">
                  <c:v>5.3109999999999997E-2</c:v>
                </c:pt>
                <c:pt idx="65">
                  <c:v>5.2740000000000002E-2</c:v>
                </c:pt>
                <c:pt idx="66">
                  <c:v>5.2440000000000001E-2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24-43E1-ABA3-4E2450A5F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313338"/>
        <c:axId val="1968793994"/>
      </c:lineChart>
      <c:catAx>
        <c:axId val="516313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8793994"/>
        <c:crosses val="autoZero"/>
        <c:auto val="1"/>
        <c:lblAlgn val="ctr"/>
        <c:lblOffset val="100"/>
        <c:noMultiLvlLbl val="1"/>
      </c:catAx>
      <c:valAx>
        <c:axId val="1968793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63133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Iareva!$C$1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Iareva!$C$2:$C$67</c:f>
              <c:numCache>
                <c:formatCode>#,##0</c:formatCode>
                <c:ptCount val="66"/>
                <c:pt idx="0">
                  <c:v>8003951.7140036738</c:v>
                </c:pt>
                <c:pt idx="1">
                  <c:v>7907324.2121314285</c:v>
                </c:pt>
                <c:pt idx="2">
                  <c:v>7810860.0900196852</c:v>
                </c:pt>
                <c:pt idx="3">
                  <c:v>7700435.8400730379</c:v>
                </c:pt>
                <c:pt idx="4">
                  <c:v>7547523.0236146068</c:v>
                </c:pt>
                <c:pt idx="5">
                  <c:v>7383751.4171815198</c:v>
                </c:pt>
                <c:pt idx="6">
                  <c:v>7247427.3094900129</c:v>
                </c:pt>
                <c:pt idx="7">
                  <c:v>7074594.9547455786</c:v>
                </c:pt>
                <c:pt idx="8">
                  <c:v>6788852.167035073</c:v>
                </c:pt>
                <c:pt idx="9">
                  <c:v>6481128.2000945825</c:v>
                </c:pt>
                <c:pt idx="10">
                  <c:v>6253078.4297611918</c:v>
                </c:pt>
                <c:pt idx="11">
                  <c:v>6086728.1494370764</c:v>
                </c:pt>
                <c:pt idx="12">
                  <c:v>5979926.6593019441</c:v>
                </c:pt>
                <c:pt idx="13">
                  <c:v>5987890.5537384162</c:v>
                </c:pt>
                <c:pt idx="14">
                  <c:v>6005004.8174682008</c:v>
                </c:pt>
                <c:pt idx="15">
                  <c:v>5899985.0829909611</c:v>
                </c:pt>
                <c:pt idx="16">
                  <c:v>5773261.9824756216</c:v>
                </c:pt>
                <c:pt idx="17">
                  <c:v>5703113.6841604486</c:v>
                </c:pt>
                <c:pt idx="18">
                  <c:v>5586413.5060196966</c:v>
                </c:pt>
                <c:pt idx="19">
                  <c:v>5404027.575351581</c:v>
                </c:pt>
                <c:pt idx="20">
                  <c:v>5210609.741738257</c:v>
                </c:pt>
                <c:pt idx="21">
                  <c:v>5031391.5738767665</c:v>
                </c:pt>
                <c:pt idx="22">
                  <c:v>4880344.8992451299</c:v>
                </c:pt>
                <c:pt idx="23">
                  <c:v>4745755.2795179999</c:v>
                </c:pt>
                <c:pt idx="24">
                  <c:v>4618694.9806016488</c:v>
                </c:pt>
                <c:pt idx="25">
                  <c:v>4487655.4417038951</c:v>
                </c:pt>
                <c:pt idx="26">
                  <c:v>4342192.0093893511</c:v>
                </c:pt>
                <c:pt idx="27">
                  <c:v>4199208.944818289</c:v>
                </c:pt>
                <c:pt idx="28">
                  <c:v>4085668.2248497158</c:v>
                </c:pt>
                <c:pt idx="29">
                  <c:v>4005478.5443910081</c:v>
                </c:pt>
                <c:pt idx="30">
                  <c:v>3979057.6019142973</c:v>
                </c:pt>
                <c:pt idx="31">
                  <c:v>3977585.8951330981</c:v>
                </c:pt>
                <c:pt idx="32">
                  <c:v>3938203.8565674238</c:v>
                </c:pt>
                <c:pt idx="33">
                  <c:v>3876604.609325246</c:v>
                </c:pt>
                <c:pt idx="34">
                  <c:v>3769806.005197987</c:v>
                </c:pt>
                <c:pt idx="35">
                  <c:v>3603538.7282753615</c:v>
                </c:pt>
                <c:pt idx="36">
                  <c:v>3500382.4572599116</c:v>
                </c:pt>
                <c:pt idx="37">
                  <c:v>3461475.4729440212</c:v>
                </c:pt>
                <c:pt idx="38">
                  <c:v>3420531.7083945386</c:v>
                </c:pt>
                <c:pt idx="39">
                  <c:v>3377302.2397260456</c:v>
                </c:pt>
                <c:pt idx="40">
                  <c:v>3331329.8872815599</c:v>
                </c:pt>
                <c:pt idx="41">
                  <c:v>3284007.341490679</c:v>
                </c:pt>
                <c:pt idx="42">
                  <c:v>3234487.3403105251</c:v>
                </c:pt>
                <c:pt idx="43">
                  <c:v>3182892.6504467828</c:v>
                </c:pt>
                <c:pt idx="44">
                  <c:v>3130888.5909510851</c:v>
                </c:pt>
                <c:pt idx="45">
                  <c:v>3079007.3176487042</c:v>
                </c:pt>
                <c:pt idx="46">
                  <c:v>3024208.6567877112</c:v>
                </c:pt>
                <c:pt idx="47">
                  <c:v>2965084.8645878294</c:v>
                </c:pt>
                <c:pt idx="48">
                  <c:v>2902677.3025823096</c:v>
                </c:pt>
                <c:pt idx="49">
                  <c:v>2836862.1018200833</c:v>
                </c:pt>
                <c:pt idx="50">
                  <c:v>2768237.4943355061</c:v>
                </c:pt>
                <c:pt idx="51">
                  <c:v>2697640.2490186868</c:v>
                </c:pt>
                <c:pt idx="52">
                  <c:v>2625900.6434399085</c:v>
                </c:pt>
                <c:pt idx="53">
                  <c:v>2553608.0009334814</c:v>
                </c:pt>
                <c:pt idx="54">
                  <c:v>2480796.6201325897</c:v>
                </c:pt>
                <c:pt idx="55">
                  <c:v>2407418.5041268044</c:v>
                </c:pt>
                <c:pt idx="56">
                  <c:v>2333380.3457559673</c:v>
                </c:pt>
                <c:pt idx="57">
                  <c:v>2258794.9369382658</c:v>
                </c:pt>
                <c:pt idx="58">
                  <c:v>2183465.3812839692</c:v>
                </c:pt>
                <c:pt idx="59">
                  <c:v>2093547.5154935222</c:v>
                </c:pt>
                <c:pt idx="60">
                  <c:v>1990480.4383935065</c:v>
                </c:pt>
                <c:pt idx="61">
                  <c:v>1890995.1818750594</c:v>
                </c:pt>
                <c:pt idx="62">
                  <c:v>1795680.4629041092</c:v>
                </c:pt>
                <c:pt idx="63">
                  <c:v>1705105.2709132</c:v>
                </c:pt>
                <c:pt idx="64">
                  <c:v>1619114.12</c:v>
                </c:pt>
                <c:pt idx="65">
                  <c:v>1538000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B-4092-AE7E-F1701750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882704"/>
        <c:axId val="480339207"/>
      </c:lineChart>
      <c:catAx>
        <c:axId val="22588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0339207"/>
        <c:crosses val="autoZero"/>
        <c:auto val="1"/>
        <c:lblAlgn val="ctr"/>
        <c:lblOffset val="100"/>
        <c:noMultiLvlLbl val="1"/>
      </c:catAx>
      <c:valAx>
        <c:axId val="480339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8827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Ihner!$D$1:$D$67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2.281E-2</c:v>
                </c:pt>
                <c:pt idx="2">
                  <c:v>2.334E-2</c:v>
                </c:pt>
                <c:pt idx="3">
                  <c:v>2.3959999999999999E-2</c:v>
                </c:pt>
                <c:pt idx="4">
                  <c:v>2.4219999999999998E-2</c:v>
                </c:pt>
                <c:pt idx="5">
                  <c:v>2.4170000000000001E-2</c:v>
                </c:pt>
                <c:pt idx="6">
                  <c:v>2.392E-2</c:v>
                </c:pt>
                <c:pt idx="7">
                  <c:v>2.4750000000000001E-2</c:v>
                </c:pt>
                <c:pt idx="8">
                  <c:v>2.5159999999999998E-2</c:v>
                </c:pt>
                <c:pt idx="9">
                  <c:v>2.5600000000000001E-2</c:v>
                </c:pt>
                <c:pt idx="10">
                  <c:v>2.596E-2</c:v>
                </c:pt>
                <c:pt idx="11">
                  <c:v>2.6040000000000001E-2</c:v>
                </c:pt>
                <c:pt idx="12">
                  <c:v>2.6419999999999999E-2</c:v>
                </c:pt>
                <c:pt idx="13">
                  <c:v>2.6550000000000001E-2</c:v>
                </c:pt>
                <c:pt idx="14">
                  <c:v>2.7459999999999998E-2</c:v>
                </c:pt>
                <c:pt idx="15">
                  <c:v>2.7539999999999999E-2</c:v>
                </c:pt>
                <c:pt idx="16">
                  <c:v>2.5690000000000001E-2</c:v>
                </c:pt>
                <c:pt idx="17">
                  <c:v>2.4539999999999999E-2</c:v>
                </c:pt>
                <c:pt idx="18">
                  <c:v>2.4279999999999999E-2</c:v>
                </c:pt>
                <c:pt idx="19">
                  <c:v>2.4369999999999999E-2</c:v>
                </c:pt>
                <c:pt idx="20">
                  <c:v>2.3199999999999998E-2</c:v>
                </c:pt>
                <c:pt idx="21">
                  <c:v>2.3519999999999999E-2</c:v>
                </c:pt>
                <c:pt idx="22">
                  <c:v>2.368E-2</c:v>
                </c:pt>
                <c:pt idx="23">
                  <c:v>2.4410000000000001E-2</c:v>
                </c:pt>
                <c:pt idx="24">
                  <c:v>2.4989999999999998E-2</c:v>
                </c:pt>
                <c:pt idx="25">
                  <c:v>2.4719999999999999E-2</c:v>
                </c:pt>
                <c:pt idx="26">
                  <c:v>2.5690000000000001E-2</c:v>
                </c:pt>
                <c:pt idx="27">
                  <c:v>2.5340000000000001E-2</c:v>
                </c:pt>
                <c:pt idx="28">
                  <c:v>2.461E-2</c:v>
                </c:pt>
                <c:pt idx="29">
                  <c:v>2.342E-2</c:v>
                </c:pt>
                <c:pt idx="30">
                  <c:v>2.2419999999999999E-2</c:v>
                </c:pt>
                <c:pt idx="31">
                  <c:v>2.1590000000000002E-2</c:v>
                </c:pt>
                <c:pt idx="32">
                  <c:v>2.1420000000000002E-2</c:v>
                </c:pt>
                <c:pt idx="33">
                  <c:v>3.0329999999999999E-2</c:v>
                </c:pt>
                <c:pt idx="34">
                  <c:v>2.981E-2</c:v>
                </c:pt>
                <c:pt idx="35">
                  <c:v>2.828E-2</c:v>
                </c:pt>
                <c:pt idx="36">
                  <c:v>2.7910000000000001E-2</c:v>
                </c:pt>
                <c:pt idx="37">
                  <c:v>3.0620000000000001E-2</c:v>
                </c:pt>
                <c:pt idx="38">
                  <c:v>3.0450000000000001E-2</c:v>
                </c:pt>
                <c:pt idx="39">
                  <c:v>3.031E-2</c:v>
                </c:pt>
                <c:pt idx="40">
                  <c:v>2.862E-2</c:v>
                </c:pt>
                <c:pt idx="41">
                  <c:v>2.895E-2</c:v>
                </c:pt>
                <c:pt idx="42">
                  <c:v>2.895E-2</c:v>
                </c:pt>
                <c:pt idx="43">
                  <c:v>2.896E-2</c:v>
                </c:pt>
                <c:pt idx="44">
                  <c:v>2.9049999999999999E-2</c:v>
                </c:pt>
                <c:pt idx="45">
                  <c:v>2.8680000000000001E-2</c:v>
                </c:pt>
                <c:pt idx="46">
                  <c:v>2.76E-2</c:v>
                </c:pt>
                <c:pt idx="47">
                  <c:v>2.775E-2</c:v>
                </c:pt>
                <c:pt idx="48">
                  <c:v>2.5680000000000001E-2</c:v>
                </c:pt>
                <c:pt idx="49">
                  <c:v>2.4320000000000001E-2</c:v>
                </c:pt>
                <c:pt idx="50">
                  <c:v>2.436E-2</c:v>
                </c:pt>
                <c:pt idx="51">
                  <c:v>2.3939999999999999E-2</c:v>
                </c:pt>
                <c:pt idx="52">
                  <c:v>2.4170000000000001E-2</c:v>
                </c:pt>
                <c:pt idx="53">
                  <c:v>2.3810000000000001E-2</c:v>
                </c:pt>
                <c:pt idx="54">
                  <c:v>2.3800000000000002E-2</c:v>
                </c:pt>
                <c:pt idx="55">
                  <c:v>2.3959999999999999E-2</c:v>
                </c:pt>
                <c:pt idx="56">
                  <c:v>2.4240000000000001E-2</c:v>
                </c:pt>
                <c:pt idx="57">
                  <c:v>3.2939999999999997E-2</c:v>
                </c:pt>
                <c:pt idx="58">
                  <c:v>3.2969999999999999E-2</c:v>
                </c:pt>
                <c:pt idx="59">
                  <c:v>3.202E-2</c:v>
                </c:pt>
                <c:pt idx="60">
                  <c:v>3.2730000000000002E-2</c:v>
                </c:pt>
                <c:pt idx="61">
                  <c:v>3.261E-2</c:v>
                </c:pt>
                <c:pt idx="62">
                  <c:v>3.2149999999999998E-2</c:v>
                </c:pt>
                <c:pt idx="63">
                  <c:v>3.1559999999999998E-2</c:v>
                </c:pt>
                <c:pt idx="64">
                  <c:v>3.0630000000000001E-2</c:v>
                </c:pt>
                <c:pt idx="65">
                  <c:v>3.023E-2</c:v>
                </c:pt>
                <c:pt idx="66">
                  <c:v>2.9430000000000001E-2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C6-4C3F-937F-1BF2303B9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956492"/>
        <c:axId val="2041694483"/>
      </c:lineChart>
      <c:catAx>
        <c:axId val="1056956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694483"/>
        <c:crosses val="autoZero"/>
        <c:auto val="1"/>
        <c:lblAlgn val="ctr"/>
        <c:lblOffset val="100"/>
        <c:noMultiLvlLbl val="1"/>
      </c:catAx>
      <c:valAx>
        <c:axId val="2041694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69564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Ihner!$C$1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Ihner!$C$2:$C$67</c:f>
              <c:numCache>
                <c:formatCode>#,##0</c:formatCode>
                <c:ptCount val="66"/>
                <c:pt idx="0">
                  <c:v>6257547.7558445949</c:v>
                </c:pt>
                <c:pt idx="1">
                  <c:v>6117996.2611282589</c:v>
                </c:pt>
                <c:pt idx="2">
                  <c:v>5978459.0274280878</c:v>
                </c:pt>
                <c:pt idx="3">
                  <c:v>5838566.9629947338</c:v>
                </c:pt>
                <c:pt idx="4">
                  <c:v>5700500.8328237431</c:v>
                </c:pt>
                <c:pt idx="5">
                  <c:v>5565971.3063492812</c:v>
                </c:pt>
                <c:pt idx="6">
                  <c:v>5435943.5369455442</c:v>
                </c:pt>
                <c:pt idx="7">
                  <c:v>5304653.3661337337</c:v>
                </c:pt>
                <c:pt idx="8">
                  <c:v>5174463.8555286331</c:v>
                </c:pt>
                <c:pt idx="9">
                  <c:v>5045304.0713032689</c:v>
                </c:pt>
                <c:pt idx="10">
                  <c:v>4917642.082832926</c:v>
                </c:pt>
                <c:pt idx="11">
                  <c:v>4792836.6173179662</c:v>
                </c:pt>
                <c:pt idx="12">
                  <c:v>4669469.2399972398</c:v>
                </c:pt>
                <c:pt idx="13">
                  <c:v>4548701.2225388335</c:v>
                </c:pt>
                <c:pt idx="14">
                  <c:v>4427132.1730664289</c:v>
                </c:pt>
                <c:pt idx="15">
                  <c:v>4308476.7240851251</c:v>
                </c:pt>
                <c:pt idx="16">
                  <c:v>4200564.2290410604</c:v>
                </c:pt>
                <c:pt idx="17">
                  <c:v>4099951.4211656549</c:v>
                </c:pt>
                <c:pt idx="18">
                  <c:v>4002764.3038677457</c:v>
                </c:pt>
                <c:pt idx="19">
                  <c:v>3907537.6122570415</c:v>
                </c:pt>
                <c:pt idx="20">
                  <c:v>3818938.2449736525</c:v>
                </c:pt>
                <c:pt idx="21">
                  <c:v>3731180.8708903124</c:v>
                </c:pt>
                <c:pt idx="22">
                  <c:v>3644870.3412104491</c:v>
                </c:pt>
                <c:pt idx="23">
                  <c:v>3558019.0950990804</c:v>
                </c:pt>
                <c:pt idx="24">
                  <c:v>3471272.007628445</c:v>
                </c:pt>
                <c:pt idx="25">
                  <c:v>3387532.2113635382</c:v>
                </c:pt>
                <c:pt idx="26">
                  <c:v>3302686.2028132654</c:v>
                </c:pt>
                <c:pt idx="27">
                  <c:v>3221064.4301531841</c:v>
                </c:pt>
                <c:pt idx="28">
                  <c:v>3143698.0218358049</c:v>
                </c:pt>
                <c:pt idx="29">
                  <c:v>3071757.4620740311</c:v>
                </c:pt>
                <c:pt idx="30">
                  <c:v>3004398.8400794496</c:v>
                </c:pt>
                <c:pt idx="31">
                  <c:v>2940904.7074456969</c:v>
                </c:pt>
                <c:pt idx="32">
                  <c:v>2879231.5672746734</c:v>
                </c:pt>
                <c:pt idx="33">
                  <c:v>2794475.1363880248</c:v>
                </c:pt>
                <c:pt idx="34">
                  <c:v>2713583.2205824619</c:v>
                </c:pt>
                <c:pt idx="35">
                  <c:v>2638953.6124231354</c:v>
                </c:pt>
                <c:pt idx="36">
                  <c:v>2567300.262107709</c:v>
                </c:pt>
                <c:pt idx="37">
                  <c:v>2491025.0743316729</c:v>
                </c:pt>
                <c:pt idx="38">
                  <c:v>2417414.7938586758</c:v>
                </c:pt>
                <c:pt idx="39">
                  <c:v>2346298.4867260102</c:v>
                </c:pt>
                <c:pt idx="40">
                  <c:v>2281015.8141257316</c:v>
                </c:pt>
                <c:pt idx="41">
                  <c:v>2216838.3440650483</c:v>
                </c:pt>
                <c:pt idx="42">
                  <c:v>2154466.537795858</c:v>
                </c:pt>
                <c:pt idx="43">
                  <c:v>2093829.2429208693</c:v>
                </c:pt>
                <c:pt idx="44">
                  <c:v>2034720.6092229427</c:v>
                </c:pt>
                <c:pt idx="45">
                  <c:v>1977991.8042762985</c:v>
                </c:pt>
                <c:pt idx="46">
                  <c:v>1924865.5160337663</c:v>
                </c:pt>
                <c:pt idx="47">
                  <c:v>1872892.7424312979</c:v>
                </c:pt>
                <c:pt idx="48">
                  <c:v>1826001.0358311541</c:v>
                </c:pt>
                <c:pt idx="49">
                  <c:v>1782647.0593478153</c:v>
                </c:pt>
                <c:pt idx="50">
                  <c:v>1740254.4606855162</c:v>
                </c:pt>
                <c:pt idx="51">
                  <c:v>1699566.8307571891</c:v>
                </c:pt>
                <c:pt idx="52">
                  <c:v>1659457.7372479071</c:v>
                </c:pt>
                <c:pt idx="53">
                  <c:v>1620864.9429561216</c:v>
                </c:pt>
                <c:pt idx="54">
                  <c:v>1583185.1367025997</c:v>
                </c:pt>
                <c:pt idx="55">
                  <c:v>1546139.631140474</c:v>
                </c:pt>
                <c:pt idx="56">
                  <c:v>1509548.1831801862</c:v>
                </c:pt>
                <c:pt idx="57">
                  <c:v>1461409.3588980834</c:v>
                </c:pt>
                <c:pt idx="58">
                  <c:v>1414764.5709924621</c:v>
                </c:pt>
                <c:pt idx="59">
                  <c:v>1370869.3348893067</c:v>
                </c:pt>
                <c:pt idx="60">
                  <c:v>1327422.787068553</c:v>
                </c:pt>
                <c:pt idx="61">
                  <c:v>1285502.548947379</c:v>
                </c:pt>
                <c:pt idx="62">
                  <c:v>1245460.9784889591</c:v>
                </c:pt>
                <c:pt idx="63">
                  <c:v>1207356.79794579</c:v>
                </c:pt>
                <c:pt idx="64">
                  <c:v>1171474.5330000001</c:v>
                </c:pt>
                <c:pt idx="65">
                  <c:v>1137100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A-4E03-A8FB-D404ED54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494046"/>
        <c:axId val="1305030311"/>
      </c:lineChart>
      <c:catAx>
        <c:axId val="773494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5030311"/>
        <c:crosses val="autoZero"/>
        <c:auto val="1"/>
        <c:lblAlgn val="ctr"/>
        <c:lblOffset val="100"/>
        <c:noMultiLvlLbl val="1"/>
      </c:catAx>
      <c:valAx>
        <c:axId val="130503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34940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Ikzen!$D$1:$D$67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2.5829999999999999E-2</c:v>
                </c:pt>
                <c:pt idx="2">
                  <c:v>2.5319999999999999E-2</c:v>
                </c:pt>
                <c:pt idx="3">
                  <c:v>2.487E-2</c:v>
                </c:pt>
                <c:pt idx="4">
                  <c:v>2.5080000000000002E-2</c:v>
                </c:pt>
                <c:pt idx="5">
                  <c:v>2.2700000000000001E-2</c:v>
                </c:pt>
                <c:pt idx="6">
                  <c:v>2.1909999999999999E-2</c:v>
                </c:pt>
                <c:pt idx="7">
                  <c:v>2.085E-2</c:v>
                </c:pt>
                <c:pt idx="8">
                  <c:v>2.01E-2</c:v>
                </c:pt>
                <c:pt idx="9">
                  <c:v>1.951E-2</c:v>
                </c:pt>
                <c:pt idx="10">
                  <c:v>1.891E-2</c:v>
                </c:pt>
                <c:pt idx="11">
                  <c:v>1.9099999999999999E-2</c:v>
                </c:pt>
                <c:pt idx="12">
                  <c:v>2.0039999999999999E-2</c:v>
                </c:pt>
                <c:pt idx="13">
                  <c:v>1.9199999999999998E-2</c:v>
                </c:pt>
                <c:pt idx="14">
                  <c:v>1.9290000000000002E-2</c:v>
                </c:pt>
                <c:pt idx="15">
                  <c:v>1.9140000000000001E-2</c:v>
                </c:pt>
                <c:pt idx="16">
                  <c:v>1.9519999999999999E-2</c:v>
                </c:pt>
                <c:pt idx="17">
                  <c:v>4.8399999999999997E-3</c:v>
                </c:pt>
                <c:pt idx="18">
                  <c:v>5.4900000000000001E-3</c:v>
                </c:pt>
                <c:pt idx="19">
                  <c:v>6.3899999999999998E-3</c:v>
                </c:pt>
                <c:pt idx="20">
                  <c:v>1.77E-2</c:v>
                </c:pt>
                <c:pt idx="21">
                  <c:v>2.1600000000000001E-2</c:v>
                </c:pt>
                <c:pt idx="22">
                  <c:v>2.0240000000000001E-2</c:v>
                </c:pt>
                <c:pt idx="23">
                  <c:v>1.447E-2</c:v>
                </c:pt>
                <c:pt idx="24">
                  <c:v>1.21E-2</c:v>
                </c:pt>
                <c:pt idx="25">
                  <c:v>2.6720000000000001E-2</c:v>
                </c:pt>
                <c:pt idx="26">
                  <c:v>2.5350000000000001E-2</c:v>
                </c:pt>
                <c:pt idx="27">
                  <c:v>2.3959999999999999E-2</c:v>
                </c:pt>
                <c:pt idx="28">
                  <c:v>3.4869999999999998E-2</c:v>
                </c:pt>
                <c:pt idx="29">
                  <c:v>3.5139999999999998E-2</c:v>
                </c:pt>
                <c:pt idx="30">
                  <c:v>3.3599999999999998E-2</c:v>
                </c:pt>
                <c:pt idx="31">
                  <c:v>3.1600000000000003E-2</c:v>
                </c:pt>
                <c:pt idx="32">
                  <c:v>2.946E-2</c:v>
                </c:pt>
                <c:pt idx="33">
                  <c:v>2.903E-2</c:v>
                </c:pt>
                <c:pt idx="34">
                  <c:v>2.8649999999999998E-2</c:v>
                </c:pt>
                <c:pt idx="35">
                  <c:v>2.8039999999999999E-2</c:v>
                </c:pt>
                <c:pt idx="36">
                  <c:v>2.8119999999999999E-2</c:v>
                </c:pt>
                <c:pt idx="37">
                  <c:v>2.9049999999999999E-2</c:v>
                </c:pt>
                <c:pt idx="38">
                  <c:v>3.0669999999999999E-2</c:v>
                </c:pt>
                <c:pt idx="39">
                  <c:v>3.1460000000000002E-2</c:v>
                </c:pt>
                <c:pt idx="40">
                  <c:v>3.1489999999999997E-2</c:v>
                </c:pt>
                <c:pt idx="41">
                  <c:v>3.1440000000000003E-2</c:v>
                </c:pt>
                <c:pt idx="42">
                  <c:v>3.1289999999999998E-2</c:v>
                </c:pt>
                <c:pt idx="43">
                  <c:v>3.116E-2</c:v>
                </c:pt>
                <c:pt idx="44">
                  <c:v>3.099E-2</c:v>
                </c:pt>
                <c:pt idx="45">
                  <c:v>3.0679999999999999E-2</c:v>
                </c:pt>
                <c:pt idx="46">
                  <c:v>3.1060000000000001E-2</c:v>
                </c:pt>
                <c:pt idx="47">
                  <c:v>3.227E-2</c:v>
                </c:pt>
                <c:pt idx="48">
                  <c:v>3.3059999999999999E-2</c:v>
                </c:pt>
                <c:pt idx="49">
                  <c:v>3.3180000000000001E-2</c:v>
                </c:pt>
                <c:pt idx="50">
                  <c:v>3.3180000000000001E-2</c:v>
                </c:pt>
                <c:pt idx="51">
                  <c:v>3.3250000000000002E-2</c:v>
                </c:pt>
                <c:pt idx="52">
                  <c:v>3.3430000000000001E-2</c:v>
                </c:pt>
                <c:pt idx="53">
                  <c:v>3.3649999999999999E-2</c:v>
                </c:pt>
                <c:pt idx="54">
                  <c:v>3.3250000000000002E-2</c:v>
                </c:pt>
                <c:pt idx="55">
                  <c:v>3.2759999999999997E-2</c:v>
                </c:pt>
                <c:pt idx="56">
                  <c:v>3.2140000000000002E-2</c:v>
                </c:pt>
                <c:pt idx="57">
                  <c:v>3.2190000000000003E-2</c:v>
                </c:pt>
                <c:pt idx="58">
                  <c:v>3.1E-2</c:v>
                </c:pt>
                <c:pt idx="59">
                  <c:v>0.03</c:v>
                </c:pt>
                <c:pt idx="60">
                  <c:v>2.9860000000000001E-2</c:v>
                </c:pt>
                <c:pt idx="61">
                  <c:v>3.022E-2</c:v>
                </c:pt>
                <c:pt idx="62">
                  <c:v>3.099E-2</c:v>
                </c:pt>
                <c:pt idx="63">
                  <c:v>3.227E-2</c:v>
                </c:pt>
                <c:pt idx="64">
                  <c:v>3.4049999999999997E-2</c:v>
                </c:pt>
                <c:pt idx="65">
                  <c:v>3.6810000000000002E-2</c:v>
                </c:pt>
                <c:pt idx="66">
                  <c:v>4.0309999999999999E-2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93-4603-9FCF-3FF5954C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158794"/>
        <c:axId val="363255727"/>
      </c:lineChart>
      <c:catAx>
        <c:axId val="176215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3255727"/>
        <c:crosses val="autoZero"/>
        <c:auto val="1"/>
        <c:lblAlgn val="ctr"/>
        <c:lblOffset val="100"/>
        <c:noMultiLvlLbl val="1"/>
      </c:catAx>
      <c:valAx>
        <c:axId val="363255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21587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Ikzen!$C$1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Ikzen!$C$2:$C$67</c:f>
              <c:numCache>
                <c:formatCode>#,##0</c:formatCode>
                <c:ptCount val="66"/>
                <c:pt idx="0">
                  <c:v>3102053.1089019277</c:v>
                </c:pt>
                <c:pt idx="1">
                  <c:v>3023944.6193832583</c:v>
                </c:pt>
                <c:pt idx="2">
                  <c:v>2949269.1251348439</c:v>
                </c:pt>
                <c:pt idx="3">
                  <c:v>2877700.7085140985</c:v>
                </c:pt>
                <c:pt idx="4">
                  <c:v>2807293.7804991794</c:v>
                </c:pt>
                <c:pt idx="5">
                  <c:v>2744982.6738038324</c:v>
                </c:pt>
                <c:pt idx="6">
                  <c:v>2686129.5748195359</c:v>
                </c:pt>
                <c:pt idx="7">
                  <c:v>2631267.6444331058</c:v>
                </c:pt>
                <c:pt idx="8">
                  <c:v>2579421.2767700283</c:v>
                </c:pt>
                <c:pt idx="9">
                  <c:v>2530059.8098792839</c:v>
                </c:pt>
                <c:pt idx="10">
                  <c:v>2483104.3074258608</c:v>
                </c:pt>
                <c:pt idx="11">
                  <c:v>2436565.8987595537</c:v>
                </c:pt>
                <c:pt idx="12">
                  <c:v>2388696.4224535837</c:v>
                </c:pt>
                <c:pt idx="13">
                  <c:v>2343697.4317637202</c:v>
                </c:pt>
                <c:pt idx="14">
                  <c:v>2299343.1033010432</c:v>
                </c:pt>
                <c:pt idx="15">
                  <c:v>2256160.1971280132</c:v>
                </c:pt>
                <c:pt idx="16">
                  <c:v>2212963.1563167111</c:v>
                </c:pt>
                <c:pt idx="17">
                  <c:v>2202304.0049328362</c:v>
                </c:pt>
                <c:pt idx="18">
                  <c:v>2190279.3711850303</c:v>
                </c:pt>
                <c:pt idx="19">
                  <c:v>2176372.3518566666</c:v>
                </c:pt>
                <c:pt idx="20">
                  <c:v>2138520.5383282565</c:v>
                </c:pt>
                <c:pt idx="21">
                  <c:v>2093305.1471498201</c:v>
                </c:pt>
                <c:pt idx="22">
                  <c:v>2051777.1770856073</c:v>
                </c:pt>
                <c:pt idx="23">
                  <c:v>2022511.4365980339</c:v>
                </c:pt>
                <c:pt idx="24">
                  <c:v>1998331.62394826</c:v>
                </c:pt>
                <c:pt idx="25">
                  <c:v>1946325.7986094162</c:v>
                </c:pt>
                <c:pt idx="26">
                  <c:v>1898206.2696732006</c:v>
                </c:pt>
                <c:pt idx="27">
                  <c:v>1853789.4738790584</c:v>
                </c:pt>
                <c:pt idx="28">
                  <c:v>1791325.938406813</c:v>
                </c:pt>
                <c:pt idx="29">
                  <c:v>1730515.6195363072</c:v>
                </c:pt>
                <c:pt idx="30">
                  <c:v>1674260.4678176346</c:v>
                </c:pt>
                <c:pt idx="31">
                  <c:v>1622974.4744257799</c:v>
                </c:pt>
                <c:pt idx="32">
                  <c:v>1576529.9034695665</c:v>
                </c:pt>
                <c:pt idx="33">
                  <c:v>1532054.3652464615</c:v>
                </c:pt>
                <c:pt idx="34">
                  <c:v>1489383.5271923991</c:v>
                </c:pt>
                <c:pt idx="35">
                  <c:v>1448760.2886973261</c:v>
                </c:pt>
                <c:pt idx="36">
                  <c:v>1409135.4012151561</c:v>
                </c:pt>
                <c:pt idx="37">
                  <c:v>1369355.6204413353</c:v>
                </c:pt>
                <c:pt idx="38">
                  <c:v>1328607.2364979433</c:v>
                </c:pt>
                <c:pt idx="39">
                  <c:v>1288084.110385224</c:v>
                </c:pt>
                <c:pt idx="40">
                  <c:v>1248760.6378978216</c:v>
                </c:pt>
                <c:pt idx="41">
                  <c:v>1210696.344816782</c:v>
                </c:pt>
                <c:pt idx="42">
                  <c:v>1173963.0412558853</c:v>
                </c:pt>
                <c:pt idx="43">
                  <c:v>1138487.7625740769</c:v>
                </c:pt>
                <c:pt idx="44">
                  <c:v>1104266.5424243463</c:v>
                </c:pt>
                <c:pt idx="45">
                  <c:v>1071396.1097764061</c:v>
                </c:pt>
                <c:pt idx="46">
                  <c:v>1039121.0111694819</c:v>
                </c:pt>
                <c:pt idx="47">
                  <c:v>1006636.8403319692</c:v>
                </c:pt>
                <c:pt idx="48">
                  <c:v>974422.43464268208</c:v>
                </c:pt>
                <c:pt idx="49">
                  <c:v>943129.40111372853</c:v>
                </c:pt>
                <c:pt idx="50">
                  <c:v>912841.32591971243</c:v>
                </c:pt>
                <c:pt idx="51">
                  <c:v>883466.07879962493</c:v>
                </c:pt>
                <c:pt idx="52">
                  <c:v>854887.19971321221</c:v>
                </c:pt>
                <c:pt idx="53">
                  <c:v>827056.7403987929</c:v>
                </c:pt>
                <c:pt idx="54">
                  <c:v>800442.0424861291</c:v>
                </c:pt>
                <c:pt idx="55">
                  <c:v>775051.35993466945</c:v>
                </c:pt>
                <c:pt idx="56">
                  <c:v>750916.89105612552</c:v>
                </c:pt>
                <c:pt idx="57">
                  <c:v>727498.70765665779</c:v>
                </c:pt>
                <c:pt idx="58">
                  <c:v>705624.3527222675</c:v>
                </c:pt>
                <c:pt idx="59">
                  <c:v>685072.1871089976</c:v>
                </c:pt>
                <c:pt idx="60">
                  <c:v>665209.04502456414</c:v>
                </c:pt>
                <c:pt idx="61">
                  <c:v>645696.10862200719</c:v>
                </c:pt>
                <c:pt idx="62">
                  <c:v>626287.46022949507</c:v>
                </c:pt>
                <c:pt idx="63">
                  <c:v>606708.96202494996</c:v>
                </c:pt>
                <c:pt idx="64">
                  <c:v>586730.77899999998</c:v>
                </c:pt>
                <c:pt idx="65">
                  <c:v>565900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0-4AE8-B8AF-A06F1D0A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781416"/>
        <c:axId val="465300983"/>
      </c:lineChart>
      <c:catAx>
        <c:axId val="1133781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5300983"/>
        <c:crosses val="autoZero"/>
        <c:auto val="1"/>
        <c:lblAlgn val="ctr"/>
        <c:lblOffset val="100"/>
        <c:noMultiLvlLbl val="1"/>
      </c:catAx>
      <c:valAx>
        <c:axId val="465300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37814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Ilicuhe!$D$1:$D$67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6.5500000000000003E-3</c:v>
                </c:pt>
                <c:pt idx="2">
                  <c:v>5.0400000000000002E-3</c:v>
                </c:pt>
                <c:pt idx="3">
                  <c:v>3.8700000000000002E-3</c:v>
                </c:pt>
                <c:pt idx="4">
                  <c:v>5.62E-3</c:v>
                </c:pt>
                <c:pt idx="5">
                  <c:v>6.8300000000000001E-3</c:v>
                </c:pt>
                <c:pt idx="6">
                  <c:v>1.176E-2</c:v>
                </c:pt>
                <c:pt idx="7">
                  <c:v>1.098E-2</c:v>
                </c:pt>
                <c:pt idx="8">
                  <c:v>8.1899999999999994E-3</c:v>
                </c:pt>
                <c:pt idx="9">
                  <c:v>7.6E-3</c:v>
                </c:pt>
                <c:pt idx="10">
                  <c:v>6.9499999999999996E-3</c:v>
                </c:pt>
                <c:pt idx="11">
                  <c:v>6.2700000000000004E-3</c:v>
                </c:pt>
                <c:pt idx="12">
                  <c:v>4.7400000000000003E-3</c:v>
                </c:pt>
                <c:pt idx="13">
                  <c:v>3.9199999999999999E-3</c:v>
                </c:pt>
                <c:pt idx="14">
                  <c:v>4.45E-3</c:v>
                </c:pt>
                <c:pt idx="15">
                  <c:v>4.47E-3</c:v>
                </c:pt>
                <c:pt idx="16">
                  <c:v>2.3999999999999998E-3</c:v>
                </c:pt>
                <c:pt idx="17">
                  <c:v>2.49E-3</c:v>
                </c:pt>
                <c:pt idx="18">
                  <c:v>2.1099999999999999E-3</c:v>
                </c:pt>
                <c:pt idx="19">
                  <c:v>2.15E-3</c:v>
                </c:pt>
                <c:pt idx="20">
                  <c:v>2.66E-3</c:v>
                </c:pt>
                <c:pt idx="21">
                  <c:v>1.2199999999999999E-3</c:v>
                </c:pt>
                <c:pt idx="22">
                  <c:v>2.98E-3</c:v>
                </c:pt>
                <c:pt idx="23">
                  <c:v>3.1700000000000001E-3</c:v>
                </c:pt>
                <c:pt idx="24">
                  <c:v>4.5700000000000003E-3</c:v>
                </c:pt>
                <c:pt idx="25">
                  <c:v>4.81E-3</c:v>
                </c:pt>
                <c:pt idx="26">
                  <c:v>2.8E-3</c:v>
                </c:pt>
                <c:pt idx="27">
                  <c:v>2.1099999999999999E-3</c:v>
                </c:pt>
                <c:pt idx="28">
                  <c:v>1.92E-3</c:v>
                </c:pt>
                <c:pt idx="29">
                  <c:v>1.5900000000000001E-3</c:v>
                </c:pt>
                <c:pt idx="30">
                  <c:v>8.7000000000000001E-4</c:v>
                </c:pt>
                <c:pt idx="31">
                  <c:v>4.8000000000000001E-4</c:v>
                </c:pt>
                <c:pt idx="32">
                  <c:v>6.8999999999999997E-4</c:v>
                </c:pt>
                <c:pt idx="33">
                  <c:v>4.2000000000000002E-4</c:v>
                </c:pt>
                <c:pt idx="34">
                  <c:v>9.6000000000000002E-4</c:v>
                </c:pt>
                <c:pt idx="35">
                  <c:v>1.41E-3</c:v>
                </c:pt>
                <c:pt idx="36">
                  <c:v>2.1700000000000001E-3</c:v>
                </c:pt>
                <c:pt idx="37">
                  <c:v>2.2599999999999999E-3</c:v>
                </c:pt>
                <c:pt idx="38">
                  <c:v>1.73E-3</c:v>
                </c:pt>
                <c:pt idx="39">
                  <c:v>1.91E-3</c:v>
                </c:pt>
                <c:pt idx="40">
                  <c:v>1.1900000000000001E-3</c:v>
                </c:pt>
                <c:pt idx="41">
                  <c:v>9.5E-4</c:v>
                </c:pt>
                <c:pt idx="42">
                  <c:v>1.65E-3</c:v>
                </c:pt>
                <c:pt idx="43">
                  <c:v>2E-3</c:v>
                </c:pt>
                <c:pt idx="44">
                  <c:v>2.7699999999999999E-3</c:v>
                </c:pt>
                <c:pt idx="45">
                  <c:v>3.0799999999999998E-3</c:v>
                </c:pt>
                <c:pt idx="46">
                  <c:v>4.3899999999999998E-3</c:v>
                </c:pt>
                <c:pt idx="47">
                  <c:v>4.2100000000000002E-3</c:v>
                </c:pt>
                <c:pt idx="48">
                  <c:v>4.0499999999999998E-3</c:v>
                </c:pt>
                <c:pt idx="49">
                  <c:v>5.1500000000000001E-3</c:v>
                </c:pt>
                <c:pt idx="50">
                  <c:v>5.5999999999999999E-3</c:v>
                </c:pt>
                <c:pt idx="51">
                  <c:v>6.1000000000000004E-3</c:v>
                </c:pt>
                <c:pt idx="52">
                  <c:v>7.1700000000000002E-3</c:v>
                </c:pt>
                <c:pt idx="53">
                  <c:v>6.2500000000000003E-3</c:v>
                </c:pt>
                <c:pt idx="54">
                  <c:v>6.1900000000000002E-3</c:v>
                </c:pt>
                <c:pt idx="55">
                  <c:v>6.7600000000000004E-3</c:v>
                </c:pt>
                <c:pt idx="56">
                  <c:v>5.5199999999999997E-3</c:v>
                </c:pt>
                <c:pt idx="57">
                  <c:v>6.9300000000000004E-3</c:v>
                </c:pt>
                <c:pt idx="58">
                  <c:v>6.3E-3</c:v>
                </c:pt>
                <c:pt idx="59">
                  <c:v>5.8199999999999997E-3</c:v>
                </c:pt>
                <c:pt idx="60">
                  <c:v>5.3400000000000001E-3</c:v>
                </c:pt>
                <c:pt idx="61">
                  <c:v>5.1900000000000002E-3</c:v>
                </c:pt>
                <c:pt idx="62">
                  <c:v>5.4999999999999997E-3</c:v>
                </c:pt>
                <c:pt idx="63">
                  <c:v>5.11E-3</c:v>
                </c:pt>
                <c:pt idx="64">
                  <c:v>5.2599999999999999E-3</c:v>
                </c:pt>
                <c:pt idx="65">
                  <c:v>4.1599999999999996E-3</c:v>
                </c:pt>
                <c:pt idx="66">
                  <c:v>4.7099999999999998E-3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F4-4B8C-B943-17095273B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16609"/>
        <c:axId val="129862054"/>
      </c:lineChart>
      <c:catAx>
        <c:axId val="60316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862054"/>
        <c:crosses val="autoZero"/>
        <c:auto val="1"/>
        <c:lblAlgn val="ctr"/>
        <c:lblOffset val="100"/>
        <c:noMultiLvlLbl val="1"/>
      </c:catAx>
      <c:valAx>
        <c:axId val="129862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3166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Ilicuhe!$C$1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Ilicuhe!$C$2:$C$67</c:f>
              <c:numCache>
                <c:formatCode>#,##0</c:formatCode>
                <c:ptCount val="66"/>
                <c:pt idx="0">
                  <c:v>3254667.8040576503</c:v>
                </c:pt>
                <c:pt idx="1">
                  <c:v>3233488.4546794994</c:v>
                </c:pt>
                <c:pt idx="2">
                  <c:v>3217273.3967598299</c:v>
                </c:pt>
                <c:pt idx="3">
                  <c:v>3204870.5477400757</c:v>
                </c:pt>
                <c:pt idx="4">
                  <c:v>3186959.8334759409</c:v>
                </c:pt>
                <c:pt idx="5">
                  <c:v>3165340.557468432</c:v>
                </c:pt>
                <c:pt idx="6">
                  <c:v>3128548.8233063496</c:v>
                </c:pt>
                <c:pt idx="7">
                  <c:v>3094570.4398765056</c:v>
                </c:pt>
                <c:pt idx="8">
                  <c:v>3069431.7934878403</c:v>
                </c:pt>
                <c:pt idx="9">
                  <c:v>3046280.0649938867</c:v>
                </c:pt>
                <c:pt idx="10">
                  <c:v>3025254.5458998824</c:v>
                </c:pt>
                <c:pt idx="11">
                  <c:v>3006404.3903722484</c:v>
                </c:pt>
                <c:pt idx="12">
                  <c:v>2992221.2615923011</c:v>
                </c:pt>
                <c:pt idx="13">
                  <c:v>2980537.5543791349</c:v>
                </c:pt>
                <c:pt idx="14">
                  <c:v>2967332.9228723529</c:v>
                </c:pt>
                <c:pt idx="15">
                  <c:v>2954127.970842686</c:v>
                </c:pt>
                <c:pt idx="16">
                  <c:v>2947055.0387496869</c:v>
                </c:pt>
                <c:pt idx="17">
                  <c:v>2939735.0983547834</c:v>
                </c:pt>
                <c:pt idx="18">
                  <c:v>2933545.3177343635</c:v>
                </c:pt>
                <c:pt idx="19">
                  <c:v>2927251.72652234</c:v>
                </c:pt>
                <c:pt idx="20">
                  <c:v>2919485.8940441823</c:v>
                </c:pt>
                <c:pt idx="21">
                  <c:v>2915928.4613213702</c:v>
                </c:pt>
                <c:pt idx="22">
                  <c:v>2907264.8121810704</c:v>
                </c:pt>
                <c:pt idx="23">
                  <c:v>2898077.9052215186</c:v>
                </c:pt>
                <c:pt idx="24">
                  <c:v>2884893.9399161022</c:v>
                </c:pt>
                <c:pt idx="25">
                  <c:v>2871084.0257522338</c:v>
                </c:pt>
                <c:pt idx="26">
                  <c:v>2863067.4369288334</c:v>
                </c:pt>
                <c:pt idx="27">
                  <c:v>2857039.0844606212</c:v>
                </c:pt>
                <c:pt idx="28">
                  <c:v>2851564.0814242871</c:v>
                </c:pt>
                <c:pt idx="29">
                  <c:v>2847037.2921298007</c:v>
                </c:pt>
                <c:pt idx="30">
                  <c:v>2844562.5227350215</c:v>
                </c:pt>
                <c:pt idx="31">
                  <c:v>2843197.7877968787</c:v>
                </c:pt>
                <c:pt idx="32">
                  <c:v>2841237.3340363936</c:v>
                </c:pt>
                <c:pt idx="33">
                  <c:v>2840044.5153399506</c:v>
                </c:pt>
                <c:pt idx="34">
                  <c:v>2837320.6874799696</c:v>
                </c:pt>
                <c:pt idx="35">
                  <c:v>2833325.6982454439</c:v>
                </c:pt>
                <c:pt idx="36">
                  <c:v>2827190.6944385124</c:v>
                </c:pt>
                <c:pt idx="37">
                  <c:v>2820815.6510671009</c:v>
                </c:pt>
                <c:pt idx="38">
                  <c:v>2815944.0678297556</c:v>
                </c:pt>
                <c:pt idx="39">
                  <c:v>2810575.8679220243</c:v>
                </c:pt>
                <c:pt idx="40">
                  <c:v>2807235.257965046</c:v>
                </c:pt>
                <c:pt idx="41">
                  <c:v>2804570.9155952306</c:v>
                </c:pt>
                <c:pt idx="42">
                  <c:v>2799950.9964510864</c:v>
                </c:pt>
                <c:pt idx="43">
                  <c:v>2794362.2719072718</c:v>
                </c:pt>
                <c:pt idx="44">
                  <c:v>2786643.2700492358</c:v>
                </c:pt>
                <c:pt idx="45">
                  <c:v>2778086.7628197512</c:v>
                </c:pt>
                <c:pt idx="46">
                  <c:v>2765944.2674854901</c:v>
                </c:pt>
                <c:pt idx="47">
                  <c:v>2754348.4604669241</c:v>
                </c:pt>
                <c:pt idx="48">
                  <c:v>2743238.3451689896</c:v>
                </c:pt>
                <c:pt idx="49">
                  <c:v>2729183.0524488781</c:v>
                </c:pt>
                <c:pt idx="50">
                  <c:v>2713984.7379165455</c:v>
                </c:pt>
                <c:pt idx="51">
                  <c:v>2697529.8060993394</c:v>
                </c:pt>
                <c:pt idx="52">
                  <c:v>2678326.2071937602</c:v>
                </c:pt>
                <c:pt idx="53">
                  <c:v>2661690.6406894508</c:v>
                </c:pt>
                <c:pt idx="54">
                  <c:v>2645316.1338210986</c:v>
                </c:pt>
                <c:pt idx="55">
                  <c:v>2627553.8696621819</c:v>
                </c:pt>
                <c:pt idx="56">
                  <c:v>2613129.3953995765</c:v>
                </c:pt>
                <c:pt idx="57">
                  <c:v>2595145.0402705017</c:v>
                </c:pt>
                <c:pt idx="58">
                  <c:v>2578897.9829777419</c:v>
                </c:pt>
                <c:pt idx="59">
                  <c:v>2563975.6447254401</c:v>
                </c:pt>
                <c:pt idx="60">
                  <c:v>2550356.7397352541</c:v>
                </c:pt>
                <c:pt idx="61">
                  <c:v>2537188.7302253842</c:v>
                </c:pt>
                <c:pt idx="62">
                  <c:v>2523310.5223524454</c:v>
                </c:pt>
                <c:pt idx="63">
                  <c:v>2510481.9595392002</c:v>
                </c:pt>
                <c:pt idx="64">
                  <c:v>2497345.92</c:v>
                </c:pt>
                <c:pt idx="65">
                  <c:v>2487000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3-4016-B65A-71CBC4871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637810"/>
        <c:axId val="440041114"/>
      </c:lineChart>
      <c:catAx>
        <c:axId val="913637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0041114"/>
        <c:crosses val="autoZero"/>
        <c:auto val="1"/>
        <c:lblAlgn val="ctr"/>
        <c:lblOffset val="100"/>
        <c:noMultiLvlLbl val="1"/>
      </c:catAx>
      <c:valAx>
        <c:axId val="440041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36378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Inania!$D$1:$D$67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7.7799999999999996E-3</c:v>
                </c:pt>
                <c:pt idx="2">
                  <c:v>8.0599999999999995E-3</c:v>
                </c:pt>
                <c:pt idx="3">
                  <c:v>8.0700000000000008E-3</c:v>
                </c:pt>
                <c:pt idx="4">
                  <c:v>8.1399999999999997E-3</c:v>
                </c:pt>
                <c:pt idx="5">
                  <c:v>8.09E-3</c:v>
                </c:pt>
                <c:pt idx="6">
                  <c:v>8.1899999999999994E-3</c:v>
                </c:pt>
                <c:pt idx="7">
                  <c:v>8.6300000000000005E-3</c:v>
                </c:pt>
                <c:pt idx="8">
                  <c:v>9.2800000000000001E-3</c:v>
                </c:pt>
                <c:pt idx="9">
                  <c:v>9.8799999999999999E-3</c:v>
                </c:pt>
                <c:pt idx="10">
                  <c:v>1.0370000000000001E-2</c:v>
                </c:pt>
                <c:pt idx="11">
                  <c:v>1.0800000000000001E-2</c:v>
                </c:pt>
                <c:pt idx="12">
                  <c:v>1.112E-2</c:v>
                </c:pt>
                <c:pt idx="13">
                  <c:v>1.1480000000000001E-2</c:v>
                </c:pt>
                <c:pt idx="14">
                  <c:v>1.213E-2</c:v>
                </c:pt>
                <c:pt idx="15">
                  <c:v>1.2699999999999999E-2</c:v>
                </c:pt>
                <c:pt idx="16">
                  <c:v>1.337E-2</c:v>
                </c:pt>
                <c:pt idx="17">
                  <c:v>1.414E-2</c:v>
                </c:pt>
                <c:pt idx="18">
                  <c:v>1.4999999999999999E-2</c:v>
                </c:pt>
                <c:pt idx="19">
                  <c:v>1.4760000000000001E-2</c:v>
                </c:pt>
                <c:pt idx="20">
                  <c:v>1.4970000000000001E-2</c:v>
                </c:pt>
                <c:pt idx="21">
                  <c:v>1.5310000000000001E-2</c:v>
                </c:pt>
                <c:pt idx="22">
                  <c:v>1.5469999999999999E-2</c:v>
                </c:pt>
                <c:pt idx="23">
                  <c:v>1.5800000000000002E-2</c:v>
                </c:pt>
                <c:pt idx="24">
                  <c:v>1.661E-2</c:v>
                </c:pt>
                <c:pt idx="25">
                  <c:v>1.6740000000000001E-2</c:v>
                </c:pt>
                <c:pt idx="26">
                  <c:v>1.7579999999999998E-2</c:v>
                </c:pt>
                <c:pt idx="27">
                  <c:v>1.814E-2</c:v>
                </c:pt>
                <c:pt idx="28">
                  <c:v>1.874E-2</c:v>
                </c:pt>
                <c:pt idx="29">
                  <c:v>1.9470000000000001E-2</c:v>
                </c:pt>
                <c:pt idx="30">
                  <c:v>2.017E-2</c:v>
                </c:pt>
                <c:pt idx="31">
                  <c:v>2.1049999999999999E-2</c:v>
                </c:pt>
                <c:pt idx="32">
                  <c:v>2.1569999999999999E-2</c:v>
                </c:pt>
                <c:pt idx="33">
                  <c:v>2.2159999999999999E-2</c:v>
                </c:pt>
                <c:pt idx="34">
                  <c:v>2.2519999999999998E-2</c:v>
                </c:pt>
                <c:pt idx="35">
                  <c:v>2.307E-2</c:v>
                </c:pt>
                <c:pt idx="36">
                  <c:v>2.351E-2</c:v>
                </c:pt>
                <c:pt idx="37">
                  <c:v>2.3689999999999999E-2</c:v>
                </c:pt>
                <c:pt idx="38">
                  <c:v>2.384E-2</c:v>
                </c:pt>
                <c:pt idx="39">
                  <c:v>2.3879999999999998E-2</c:v>
                </c:pt>
                <c:pt idx="40">
                  <c:v>2.385E-2</c:v>
                </c:pt>
                <c:pt idx="41">
                  <c:v>2.3779999999999999E-2</c:v>
                </c:pt>
                <c:pt idx="42">
                  <c:v>2.3789999999999999E-2</c:v>
                </c:pt>
                <c:pt idx="43">
                  <c:v>2.4150000000000001E-2</c:v>
                </c:pt>
                <c:pt idx="44">
                  <c:v>2.4279999999999999E-2</c:v>
                </c:pt>
                <c:pt idx="45">
                  <c:v>2.4389999999999998E-2</c:v>
                </c:pt>
                <c:pt idx="46">
                  <c:v>2.4570000000000002E-2</c:v>
                </c:pt>
                <c:pt idx="47">
                  <c:v>2.4899999999999999E-2</c:v>
                </c:pt>
                <c:pt idx="48">
                  <c:v>2.5270000000000001E-2</c:v>
                </c:pt>
                <c:pt idx="49">
                  <c:v>2.598E-2</c:v>
                </c:pt>
                <c:pt idx="50">
                  <c:v>2.6890000000000001E-2</c:v>
                </c:pt>
                <c:pt idx="51">
                  <c:v>2.777E-2</c:v>
                </c:pt>
                <c:pt idx="52">
                  <c:v>2.86E-2</c:v>
                </c:pt>
                <c:pt idx="53">
                  <c:v>2.929E-2</c:v>
                </c:pt>
                <c:pt idx="54">
                  <c:v>2.9659999999999999E-2</c:v>
                </c:pt>
                <c:pt idx="55">
                  <c:v>3.0030000000000001E-2</c:v>
                </c:pt>
                <c:pt idx="56">
                  <c:v>3.032E-2</c:v>
                </c:pt>
                <c:pt idx="57">
                  <c:v>3.066E-2</c:v>
                </c:pt>
                <c:pt idx="58">
                  <c:v>3.0720000000000001E-2</c:v>
                </c:pt>
                <c:pt idx="59">
                  <c:v>3.074E-2</c:v>
                </c:pt>
                <c:pt idx="60">
                  <c:v>3.0700000000000002E-2</c:v>
                </c:pt>
                <c:pt idx="61">
                  <c:v>3.0589999999999999E-2</c:v>
                </c:pt>
                <c:pt idx="62">
                  <c:v>3.0429999999999999E-2</c:v>
                </c:pt>
                <c:pt idx="63">
                  <c:v>3.0290000000000001E-2</c:v>
                </c:pt>
                <c:pt idx="64">
                  <c:v>3.0120000000000001E-2</c:v>
                </c:pt>
                <c:pt idx="65">
                  <c:v>2.989E-2</c:v>
                </c:pt>
                <c:pt idx="66">
                  <c:v>2.9520000000000001E-2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BF-48D5-BFA8-2C93B590A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449335"/>
        <c:axId val="1439511134"/>
      </c:lineChart>
      <c:catAx>
        <c:axId val="598449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9511134"/>
        <c:crosses val="autoZero"/>
        <c:auto val="1"/>
        <c:lblAlgn val="ctr"/>
        <c:lblOffset val="100"/>
        <c:noMultiLvlLbl val="1"/>
      </c:catAx>
      <c:valAx>
        <c:axId val="1439511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84493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Inania!$C$1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Inania!$C$2:$C$67</c:f>
              <c:numCache>
                <c:formatCode>#,##0</c:formatCode>
                <c:ptCount val="66"/>
                <c:pt idx="0">
                  <c:v>336479087.15711862</c:v>
                </c:pt>
                <c:pt idx="1">
                  <c:v>333881489.17136544</c:v>
                </c:pt>
                <c:pt idx="2">
                  <c:v>331211921.08740097</c:v>
                </c:pt>
                <c:pt idx="3">
                  <c:v>328560438.34991711</c:v>
                </c:pt>
                <c:pt idx="4">
                  <c:v>325907550.88570744</c:v>
                </c:pt>
                <c:pt idx="5">
                  <c:v>323292117.65388751</c:v>
                </c:pt>
                <c:pt idx="6">
                  <c:v>320665864.22587758</c:v>
                </c:pt>
                <c:pt idx="7">
                  <c:v>317922195.67718351</c:v>
                </c:pt>
                <c:pt idx="8">
                  <c:v>314999004.91160387</c:v>
                </c:pt>
                <c:pt idx="9">
                  <c:v>311917262.35949212</c:v>
                </c:pt>
                <c:pt idx="10">
                  <c:v>308715878.69740009</c:v>
                </c:pt>
                <c:pt idx="11">
                  <c:v>305417371.08963209</c:v>
                </c:pt>
                <c:pt idx="12">
                  <c:v>302058480.78332156</c:v>
                </c:pt>
                <c:pt idx="13">
                  <c:v>298630206.01823229</c:v>
                </c:pt>
                <c:pt idx="14">
                  <c:v>295051234.54322302</c:v>
                </c:pt>
                <c:pt idx="15">
                  <c:v>291351075.87955272</c:v>
                </c:pt>
                <c:pt idx="16">
                  <c:v>287507105.87401706</c:v>
                </c:pt>
                <c:pt idx="17">
                  <c:v>283498437.96124506</c:v>
                </c:pt>
                <c:pt idx="18">
                  <c:v>279308805.87314785</c:v>
                </c:pt>
                <c:pt idx="19">
                  <c:v>275246172.36898166</c:v>
                </c:pt>
                <c:pt idx="20">
                  <c:v>271186510.30964625</c:v>
                </c:pt>
                <c:pt idx="21">
                  <c:v>267097251.3908523</c:v>
                </c:pt>
                <c:pt idx="22">
                  <c:v>263028205.05859581</c:v>
                </c:pt>
                <c:pt idx="23">
                  <c:v>258937000.45146269</c:v>
                </c:pt>
                <c:pt idx="24">
                  <c:v>254706328.33777228</c:v>
                </c:pt>
                <c:pt idx="25">
                  <c:v>250512744.98669502</c:v>
                </c:pt>
                <c:pt idx="26">
                  <c:v>246184815.92277271</c:v>
                </c:pt>
                <c:pt idx="27">
                  <c:v>241798589.50907803</c:v>
                </c:pt>
                <c:pt idx="28">
                  <c:v>237350638.54278621</c:v>
                </c:pt>
                <c:pt idx="29">
                  <c:v>232817678.34540123</c:v>
                </c:pt>
                <c:pt idx="30">
                  <c:v>228214590.0638141</c:v>
                </c:pt>
                <c:pt idx="31">
                  <c:v>223509710.65453613</c:v>
                </c:pt>
                <c:pt idx="32">
                  <c:v>218790401.69008106</c:v>
                </c:pt>
                <c:pt idx="33">
                  <c:v>214047117.56484413</c:v>
                </c:pt>
                <c:pt idx="34">
                  <c:v>209332939.761417</c:v>
                </c:pt>
                <c:pt idx="35">
                  <c:v>204612528.72375989</c:v>
                </c:pt>
                <c:pt idx="36">
                  <c:v>199912583.87681597</c:v>
                </c:pt>
                <c:pt idx="37">
                  <c:v>195286252.55381608</c:v>
                </c:pt>
                <c:pt idx="38">
                  <c:v>190739033.98364595</c:v>
                </c:pt>
                <c:pt idx="39">
                  <c:v>186290418.7831054</c:v>
                </c:pt>
                <c:pt idx="40">
                  <c:v>181950890.05528682</c:v>
                </c:pt>
                <c:pt idx="41">
                  <c:v>177724599.08895156</c:v>
                </c:pt>
                <c:pt idx="42">
                  <c:v>173594779.28965077</c:v>
                </c:pt>
                <c:pt idx="43">
                  <c:v>169501322.35478279</c:v>
                </c:pt>
                <c:pt idx="44">
                  <c:v>165483385.74880186</c:v>
                </c:pt>
                <c:pt idx="45">
                  <c:v>161543343.59843603</c:v>
                </c:pt>
                <c:pt idx="46">
                  <c:v>157669406.28598928</c:v>
                </c:pt>
                <c:pt idx="47">
                  <c:v>153838819.67605552</c:v>
                </c:pt>
                <c:pt idx="48">
                  <c:v>150047128.73297331</c:v>
                </c:pt>
                <c:pt idx="49">
                  <c:v>146247615.67766753</c:v>
                </c:pt>
                <c:pt idx="50">
                  <c:v>142417995.77137524</c:v>
                </c:pt>
                <c:pt idx="51">
                  <c:v>138569909.38767937</c:v>
                </c:pt>
                <c:pt idx="52">
                  <c:v>134717003.09904665</c:v>
                </c:pt>
                <c:pt idx="53">
                  <c:v>130883427.50735618</c:v>
                </c:pt>
                <c:pt idx="54">
                  <c:v>127113248.55520868</c:v>
                </c:pt>
                <c:pt idx="55">
                  <c:v>123407326.53923544</c:v>
                </c:pt>
                <c:pt idx="56">
                  <c:v>119775726.51140952</c:v>
                </c:pt>
                <c:pt idx="57">
                  <c:v>116212646.76169594</c:v>
                </c:pt>
                <c:pt idx="58">
                  <c:v>112748997.55675249</c:v>
                </c:pt>
                <c:pt idx="59">
                  <c:v>109386457.84266885</c:v>
                </c:pt>
                <c:pt idx="60">
                  <c:v>106128318.46576972</c:v>
                </c:pt>
                <c:pt idx="61">
                  <c:v>102978214.87281047</c:v>
                </c:pt>
                <c:pt idx="62">
                  <c:v>99937128.065769121</c:v>
                </c:pt>
                <c:pt idx="63">
                  <c:v>96999027.522123992</c:v>
                </c:pt>
                <c:pt idx="64">
                  <c:v>94162842.700000003</c:v>
                </c:pt>
                <c:pt idx="65">
                  <c:v>91430000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7-4BE1-AA9A-DF43AE44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893865"/>
        <c:axId val="1746319604"/>
      </c:lineChart>
      <c:catAx>
        <c:axId val="1041893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6319604"/>
        <c:crosses val="autoZero"/>
        <c:auto val="1"/>
        <c:lblAlgn val="ctr"/>
        <c:lblOffset val="100"/>
        <c:noMultiLvlLbl val="1"/>
      </c:catAx>
      <c:valAx>
        <c:axId val="1746319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1893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Inrea!$D$1:$D$67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7.6899999999999998E-3</c:v>
                </c:pt>
                <c:pt idx="2">
                  <c:v>7.9600000000000001E-3</c:v>
                </c:pt>
                <c:pt idx="3">
                  <c:v>7.8700000000000003E-3</c:v>
                </c:pt>
                <c:pt idx="4">
                  <c:v>7.6699999999999997E-3</c:v>
                </c:pt>
                <c:pt idx="5">
                  <c:v>7.7600000000000004E-3</c:v>
                </c:pt>
                <c:pt idx="6">
                  <c:v>9.4999999999999998E-3</c:v>
                </c:pt>
                <c:pt idx="7">
                  <c:v>1.2370000000000001E-2</c:v>
                </c:pt>
                <c:pt idx="8">
                  <c:v>1.244E-2</c:v>
                </c:pt>
                <c:pt idx="9">
                  <c:v>1.261E-2</c:v>
                </c:pt>
                <c:pt idx="10">
                  <c:v>1.2279999999999999E-2</c:v>
                </c:pt>
                <c:pt idx="11">
                  <c:v>1.225E-2</c:v>
                </c:pt>
                <c:pt idx="12">
                  <c:v>9.4500000000000001E-3</c:v>
                </c:pt>
                <c:pt idx="13">
                  <c:v>1.001E-2</c:v>
                </c:pt>
                <c:pt idx="14">
                  <c:v>1.0279999999999999E-2</c:v>
                </c:pt>
                <c:pt idx="15">
                  <c:v>1.338E-2</c:v>
                </c:pt>
                <c:pt idx="16">
                  <c:v>2.1170000000000001E-2</c:v>
                </c:pt>
                <c:pt idx="17">
                  <c:v>3.124E-2</c:v>
                </c:pt>
                <c:pt idx="18">
                  <c:v>3.209E-2</c:v>
                </c:pt>
                <c:pt idx="19">
                  <c:v>3.2710000000000003E-2</c:v>
                </c:pt>
                <c:pt idx="20">
                  <c:v>3.3079999999999998E-2</c:v>
                </c:pt>
                <c:pt idx="21">
                  <c:v>3.3349999999999998E-2</c:v>
                </c:pt>
                <c:pt idx="22">
                  <c:v>3.2509999999999997E-2</c:v>
                </c:pt>
                <c:pt idx="23">
                  <c:v>3.356E-2</c:v>
                </c:pt>
                <c:pt idx="24">
                  <c:v>2.92E-2</c:v>
                </c:pt>
                <c:pt idx="25">
                  <c:v>3.9829999999999997E-2</c:v>
                </c:pt>
                <c:pt idx="26">
                  <c:v>2.4369999999999999E-2</c:v>
                </c:pt>
                <c:pt idx="27">
                  <c:v>8.1399999999999997E-3</c:v>
                </c:pt>
                <c:pt idx="28">
                  <c:v>-2.2599999999999999E-3</c:v>
                </c:pt>
                <c:pt idx="29">
                  <c:v>-4.1999999999999997E-3</c:v>
                </c:pt>
                <c:pt idx="30">
                  <c:v>-2.5300000000000001E-3</c:v>
                </c:pt>
                <c:pt idx="31">
                  <c:v>1.2700000000000001E-3</c:v>
                </c:pt>
                <c:pt idx="32">
                  <c:v>4.7699999999999999E-3</c:v>
                </c:pt>
                <c:pt idx="33">
                  <c:v>7.0200000000000002E-3</c:v>
                </c:pt>
                <c:pt idx="34">
                  <c:v>7.1199999999999996E-3</c:v>
                </c:pt>
                <c:pt idx="35">
                  <c:v>5.2399999999999999E-3</c:v>
                </c:pt>
                <c:pt idx="36">
                  <c:v>2.0600000000000002E-3</c:v>
                </c:pt>
                <c:pt idx="37">
                  <c:v>2.5500000000000002E-3</c:v>
                </c:pt>
                <c:pt idx="38">
                  <c:v>3.1800000000000001E-3</c:v>
                </c:pt>
                <c:pt idx="39">
                  <c:v>3.5799999999999998E-3</c:v>
                </c:pt>
                <c:pt idx="40">
                  <c:v>4.2399999999999998E-3</c:v>
                </c:pt>
                <c:pt idx="41">
                  <c:v>1.0800000000000001E-2</c:v>
                </c:pt>
                <c:pt idx="42">
                  <c:v>1.204E-2</c:v>
                </c:pt>
                <c:pt idx="43">
                  <c:v>1.0919999999999999E-2</c:v>
                </c:pt>
                <c:pt idx="44">
                  <c:v>7.3200000000000001E-3</c:v>
                </c:pt>
                <c:pt idx="45">
                  <c:v>-3.4199999999999999E-3</c:v>
                </c:pt>
                <c:pt idx="46">
                  <c:v>-2.3600000000000001E-3</c:v>
                </c:pt>
                <c:pt idx="47">
                  <c:v>-1.08E-3</c:v>
                </c:pt>
                <c:pt idx="48">
                  <c:v>4.8999999999999998E-4</c:v>
                </c:pt>
                <c:pt idx="49">
                  <c:v>2.1900000000000001E-3</c:v>
                </c:pt>
                <c:pt idx="50">
                  <c:v>7.8899999999999994E-3</c:v>
                </c:pt>
                <c:pt idx="51">
                  <c:v>9.3799999999999994E-3</c:v>
                </c:pt>
                <c:pt idx="52">
                  <c:v>1.034E-2</c:v>
                </c:pt>
                <c:pt idx="53">
                  <c:v>1.1209999999999999E-2</c:v>
                </c:pt>
                <c:pt idx="54">
                  <c:v>1.286E-2</c:v>
                </c:pt>
                <c:pt idx="55">
                  <c:v>1.366E-2</c:v>
                </c:pt>
                <c:pt idx="56">
                  <c:v>1.009E-2</c:v>
                </c:pt>
                <c:pt idx="57">
                  <c:v>2.4580000000000001E-2</c:v>
                </c:pt>
                <c:pt idx="58">
                  <c:v>2.4680000000000001E-2</c:v>
                </c:pt>
                <c:pt idx="59">
                  <c:v>2.5430000000000001E-2</c:v>
                </c:pt>
                <c:pt idx="60">
                  <c:v>2.5909999999999999E-2</c:v>
                </c:pt>
                <c:pt idx="61">
                  <c:v>2.6540000000000001E-2</c:v>
                </c:pt>
                <c:pt idx="62">
                  <c:v>2.64E-2</c:v>
                </c:pt>
                <c:pt idx="63">
                  <c:v>2.6880000000000001E-2</c:v>
                </c:pt>
                <c:pt idx="64">
                  <c:v>2.6429999999999999E-2</c:v>
                </c:pt>
                <c:pt idx="65">
                  <c:v>2.6270000000000002E-2</c:v>
                </c:pt>
                <c:pt idx="66">
                  <c:v>2.546E-2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99-40DA-8493-BA411EBB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899567"/>
        <c:axId val="1074420022"/>
      </c:lineChart>
      <c:catAx>
        <c:axId val="192589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4420022"/>
        <c:crosses val="autoZero"/>
        <c:auto val="1"/>
        <c:lblAlgn val="ctr"/>
        <c:lblOffset val="100"/>
        <c:noMultiLvlLbl val="1"/>
      </c:catAx>
      <c:valAx>
        <c:axId val="1074420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58995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Inrea!$C$1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Inrea!$C$2:$C$67</c:f>
              <c:numCache>
                <c:formatCode>#,##0</c:formatCode>
                <c:ptCount val="66"/>
                <c:pt idx="0">
                  <c:v>2051787.1050554302</c:v>
                </c:pt>
                <c:pt idx="1">
                  <c:v>2036129.2709617345</c:v>
                </c:pt>
                <c:pt idx="2">
                  <c:v>2020049.6755444012</c:v>
                </c:pt>
                <c:pt idx="3">
                  <c:v>2004276.0232414906</c:v>
                </c:pt>
                <c:pt idx="4">
                  <c:v>1989020.2380159085</c:v>
                </c:pt>
                <c:pt idx="5">
                  <c:v>1973704.2927045214</c:v>
                </c:pt>
                <c:pt idx="6">
                  <c:v>1955130.5524561875</c:v>
                </c:pt>
                <c:pt idx="7">
                  <c:v>1931241.1000485865</c:v>
                </c:pt>
                <c:pt idx="8">
                  <c:v>1907511.6550596445</c:v>
                </c:pt>
                <c:pt idx="9">
                  <c:v>1883757.4733210658</c:v>
                </c:pt>
                <c:pt idx="10">
                  <c:v>1860905.553128646</c:v>
                </c:pt>
                <c:pt idx="11">
                  <c:v>1838385.3328018235</c:v>
                </c:pt>
                <c:pt idx="12">
                  <c:v>1821175.2269075473</c:v>
                </c:pt>
                <c:pt idx="13">
                  <c:v>1803125.9362853311</c:v>
                </c:pt>
                <c:pt idx="14">
                  <c:v>1784778.4141874837</c:v>
                </c:pt>
                <c:pt idx="15">
                  <c:v>1761213.379174134</c:v>
                </c:pt>
                <c:pt idx="16">
                  <c:v>1724701.4494884633</c:v>
                </c:pt>
                <c:pt idx="17">
                  <c:v>1672453.9869365653</c:v>
                </c:pt>
                <c:pt idx="18">
                  <c:v>1620453.6299514242</c:v>
                </c:pt>
                <c:pt idx="19">
                  <c:v>1569127.47039481</c:v>
                </c:pt>
                <c:pt idx="20">
                  <c:v>1518882.8264943759</c:v>
                </c:pt>
                <c:pt idx="21">
                  <c:v>1469862.89881877</c:v>
                </c:pt>
                <c:pt idx="22">
                  <c:v>1423582.240190187</c:v>
                </c:pt>
                <c:pt idx="23">
                  <c:v>1377358.1022777457</c:v>
                </c:pt>
                <c:pt idx="24">
                  <c:v>1338280.3170207404</c:v>
                </c:pt>
                <c:pt idx="25">
                  <c:v>1287018.3751389557</c:v>
                </c:pt>
                <c:pt idx="26">
                  <c:v>1256399.9093481414</c:v>
                </c:pt>
                <c:pt idx="27">
                  <c:v>1246255.3904697178</c:v>
                </c:pt>
                <c:pt idx="28">
                  <c:v>1249078.3074445424</c:v>
                </c:pt>
                <c:pt idx="29">
                  <c:v>1254346.5630091811</c:v>
                </c:pt>
                <c:pt idx="30">
                  <c:v>1257528.1091252679</c:v>
                </c:pt>
                <c:pt idx="31">
                  <c:v>1255933.0741211339</c:v>
                </c:pt>
                <c:pt idx="32">
                  <c:v>1249970.7138162307</c:v>
                </c:pt>
                <c:pt idx="33">
                  <c:v>1241257.089051092</c:v>
                </c:pt>
                <c:pt idx="34">
                  <c:v>1232481.8185033482</c:v>
                </c:pt>
                <c:pt idx="35">
                  <c:v>1226057.2783647173</c:v>
                </c:pt>
                <c:pt idx="36">
                  <c:v>1223536.7925720189</c:v>
                </c:pt>
                <c:pt idx="37">
                  <c:v>1220424.7095626341</c:v>
                </c:pt>
                <c:pt idx="38">
                  <c:v>1216556.0612877391</c:v>
                </c:pt>
                <c:pt idx="39">
                  <c:v>1212216.3268376603</c:v>
                </c:pt>
                <c:pt idx="40">
                  <c:v>1207098.2303410145</c:v>
                </c:pt>
                <c:pt idx="41">
                  <c:v>1194200.8610417636</c:v>
                </c:pt>
                <c:pt idx="42">
                  <c:v>1179993.736454847</c:v>
                </c:pt>
                <c:pt idx="43">
                  <c:v>1167247.3949025115</c:v>
                </c:pt>
                <c:pt idx="44">
                  <c:v>1158765.233394067</c:v>
                </c:pt>
                <c:pt idx="45">
                  <c:v>1162741.8103855858</c:v>
                </c:pt>
                <c:pt idx="46">
                  <c:v>1165492.3723844129</c:v>
                </c:pt>
                <c:pt idx="47">
                  <c:v>1166752.4650466633</c:v>
                </c:pt>
                <c:pt idx="48">
                  <c:v>1166181.0363388571</c:v>
                </c:pt>
                <c:pt idx="49">
                  <c:v>1163632.6807679753</c:v>
                </c:pt>
                <c:pt idx="50">
                  <c:v>1154523.4904284945</c:v>
                </c:pt>
                <c:pt idx="51">
                  <c:v>1143794.6961783418</c:v>
                </c:pt>
                <c:pt idx="52">
                  <c:v>1132088.896983532</c:v>
                </c:pt>
                <c:pt idx="53">
                  <c:v>1119538.8662923942</c:v>
                </c:pt>
                <c:pt idx="54">
                  <c:v>1105324.3945781195</c:v>
                </c:pt>
                <c:pt idx="55">
                  <c:v>1090429.1326264422</c:v>
                </c:pt>
                <c:pt idx="56">
                  <c:v>1079536.6082492077</c:v>
                </c:pt>
                <c:pt idx="57">
                  <c:v>1053638.1817419897</c:v>
                </c:pt>
                <c:pt idx="58">
                  <c:v>1028260.7074813498</c:v>
                </c:pt>
                <c:pt idx="59">
                  <c:v>1002760.5077687894</c:v>
                </c:pt>
                <c:pt idx="60">
                  <c:v>977435.16270315065</c:v>
                </c:pt>
                <c:pt idx="61">
                  <c:v>952164.71126614709</c:v>
                </c:pt>
                <c:pt idx="62">
                  <c:v>927674.11463966011</c:v>
                </c:pt>
                <c:pt idx="63">
                  <c:v>903390.96548735991</c:v>
                </c:pt>
                <c:pt idx="64">
                  <c:v>880129.152</c:v>
                </c:pt>
                <c:pt idx="65">
                  <c:v>857600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B-4BFD-BD92-F98585FA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59065"/>
        <c:axId val="2107622370"/>
      </c:lineChart>
      <c:catAx>
        <c:axId val="540859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7622370"/>
        <c:crosses val="autoZero"/>
        <c:auto val="1"/>
        <c:lblAlgn val="ctr"/>
        <c:lblOffset val="100"/>
        <c:noMultiLvlLbl val="1"/>
      </c:catAx>
      <c:valAx>
        <c:axId val="2107622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08590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Iquir!$D$1:$D$67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2.1729999999999999E-2</c:v>
                </c:pt>
                <c:pt idx="2">
                  <c:v>2.282E-2</c:v>
                </c:pt>
                <c:pt idx="3">
                  <c:v>2.3970000000000002E-2</c:v>
                </c:pt>
                <c:pt idx="4">
                  <c:v>2.5489999999999999E-2</c:v>
                </c:pt>
                <c:pt idx="5">
                  <c:v>2.6689999999999998E-2</c:v>
                </c:pt>
                <c:pt idx="6">
                  <c:v>2.8340000000000001E-2</c:v>
                </c:pt>
                <c:pt idx="7">
                  <c:v>2.971E-2</c:v>
                </c:pt>
                <c:pt idx="8">
                  <c:v>3.0720000000000001E-2</c:v>
                </c:pt>
                <c:pt idx="9">
                  <c:v>2.9860000000000001E-2</c:v>
                </c:pt>
                <c:pt idx="10">
                  <c:v>3.0599999999999999E-2</c:v>
                </c:pt>
                <c:pt idx="11">
                  <c:v>3.0339999999999999E-2</c:v>
                </c:pt>
                <c:pt idx="12">
                  <c:v>3.1119999999999998E-2</c:v>
                </c:pt>
                <c:pt idx="13">
                  <c:v>3.0980000000000001E-2</c:v>
                </c:pt>
                <c:pt idx="14">
                  <c:v>3.073E-2</c:v>
                </c:pt>
                <c:pt idx="15">
                  <c:v>3.2219999999999999E-2</c:v>
                </c:pt>
                <c:pt idx="16">
                  <c:v>3.0470000000000001E-2</c:v>
                </c:pt>
                <c:pt idx="17">
                  <c:v>2.9770000000000001E-2</c:v>
                </c:pt>
                <c:pt idx="18">
                  <c:v>2.7890000000000002E-2</c:v>
                </c:pt>
                <c:pt idx="19">
                  <c:v>2.7300000000000001E-2</c:v>
                </c:pt>
                <c:pt idx="20">
                  <c:v>2.7359999999999999E-2</c:v>
                </c:pt>
                <c:pt idx="21">
                  <c:v>2.7699999999999999E-2</c:v>
                </c:pt>
                <c:pt idx="22">
                  <c:v>2.9100000000000001E-2</c:v>
                </c:pt>
                <c:pt idx="23">
                  <c:v>2.8969999999999999E-2</c:v>
                </c:pt>
                <c:pt idx="24">
                  <c:v>3.0429999999999999E-2</c:v>
                </c:pt>
                <c:pt idx="25">
                  <c:v>3.0870000000000002E-2</c:v>
                </c:pt>
                <c:pt idx="26">
                  <c:v>3.3980000000000003E-2</c:v>
                </c:pt>
                <c:pt idx="27">
                  <c:v>3.4849999999999999E-2</c:v>
                </c:pt>
                <c:pt idx="28">
                  <c:v>3.5299999999999998E-2</c:v>
                </c:pt>
                <c:pt idx="29">
                  <c:v>3.524E-2</c:v>
                </c:pt>
                <c:pt idx="30">
                  <c:v>3.5299999999999998E-2</c:v>
                </c:pt>
                <c:pt idx="31">
                  <c:v>3.6319999999999998E-2</c:v>
                </c:pt>
                <c:pt idx="32">
                  <c:v>3.6540000000000003E-2</c:v>
                </c:pt>
                <c:pt idx="33">
                  <c:v>3.7019999999999997E-2</c:v>
                </c:pt>
                <c:pt idx="34">
                  <c:v>3.6020000000000003E-2</c:v>
                </c:pt>
                <c:pt idx="35">
                  <c:v>3.5520000000000003E-2</c:v>
                </c:pt>
                <c:pt idx="36">
                  <c:v>3.5990000000000001E-2</c:v>
                </c:pt>
                <c:pt idx="37">
                  <c:v>3.4869999999999998E-2</c:v>
                </c:pt>
                <c:pt idx="38">
                  <c:v>3.4419999999999999E-2</c:v>
                </c:pt>
                <c:pt idx="39">
                  <c:v>3.4419999999999999E-2</c:v>
                </c:pt>
                <c:pt idx="40">
                  <c:v>3.1940000000000003E-2</c:v>
                </c:pt>
                <c:pt idx="41">
                  <c:v>3.3020000000000001E-2</c:v>
                </c:pt>
                <c:pt idx="42">
                  <c:v>3.3439999999999998E-2</c:v>
                </c:pt>
                <c:pt idx="43">
                  <c:v>3.431E-2</c:v>
                </c:pt>
                <c:pt idx="44">
                  <c:v>3.4750000000000003E-2</c:v>
                </c:pt>
                <c:pt idx="45">
                  <c:v>3.4799999999999998E-2</c:v>
                </c:pt>
                <c:pt idx="46">
                  <c:v>3.7830000000000003E-2</c:v>
                </c:pt>
                <c:pt idx="47">
                  <c:v>3.9149999999999997E-2</c:v>
                </c:pt>
                <c:pt idx="48">
                  <c:v>3.9320000000000001E-2</c:v>
                </c:pt>
                <c:pt idx="49">
                  <c:v>3.9759999999999997E-2</c:v>
                </c:pt>
                <c:pt idx="50">
                  <c:v>3.9570000000000001E-2</c:v>
                </c:pt>
                <c:pt idx="51">
                  <c:v>4.0160000000000001E-2</c:v>
                </c:pt>
                <c:pt idx="52">
                  <c:v>3.9469999999999998E-2</c:v>
                </c:pt>
                <c:pt idx="53">
                  <c:v>3.9070000000000001E-2</c:v>
                </c:pt>
                <c:pt idx="54">
                  <c:v>3.8600000000000002E-2</c:v>
                </c:pt>
                <c:pt idx="55">
                  <c:v>3.7909999999999999E-2</c:v>
                </c:pt>
                <c:pt idx="56">
                  <c:v>3.6670000000000001E-2</c:v>
                </c:pt>
                <c:pt idx="57">
                  <c:v>3.5430000000000003E-2</c:v>
                </c:pt>
                <c:pt idx="58">
                  <c:v>3.2469999999999999E-2</c:v>
                </c:pt>
                <c:pt idx="59">
                  <c:v>3.2669999999999998E-2</c:v>
                </c:pt>
                <c:pt idx="60">
                  <c:v>3.0839999999999999E-2</c:v>
                </c:pt>
                <c:pt idx="61">
                  <c:v>2.9000000000000001E-2</c:v>
                </c:pt>
                <c:pt idx="62">
                  <c:v>2.725E-2</c:v>
                </c:pt>
                <c:pt idx="63">
                  <c:v>2.5149999999999999E-2</c:v>
                </c:pt>
                <c:pt idx="64">
                  <c:v>2.4150000000000001E-2</c:v>
                </c:pt>
                <c:pt idx="65">
                  <c:v>2.2700000000000001E-2</c:v>
                </c:pt>
                <c:pt idx="66">
                  <c:v>1.9939999999999999E-2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1D-4F1E-9948-8D4A85482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05072"/>
        <c:axId val="1084136723"/>
      </c:lineChart>
      <c:catAx>
        <c:axId val="10250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4136723"/>
        <c:crosses val="autoZero"/>
        <c:auto val="1"/>
        <c:lblAlgn val="ctr"/>
        <c:lblOffset val="100"/>
        <c:noMultiLvlLbl val="1"/>
      </c:catAx>
      <c:valAx>
        <c:axId val="1084136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5050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Iquir!$C$1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Iquir!$C$2:$C$67</c:f>
              <c:numCache>
                <c:formatCode>#,##0</c:formatCode>
                <c:ptCount val="66"/>
                <c:pt idx="0">
                  <c:v>36358714.310645491</c:v>
                </c:pt>
                <c:pt idx="1">
                  <c:v>35585442.642034091</c:v>
                </c:pt>
                <c:pt idx="2">
                  <c:v>34791500.598379076</c:v>
                </c:pt>
                <c:pt idx="3">
                  <c:v>33977070.225083813</c:v>
                </c:pt>
                <c:pt idx="4">
                  <c:v>33132522.233355582</c:v>
                </c:pt>
                <c:pt idx="5">
                  <c:v>32271203.80383132</c:v>
                </c:pt>
                <c:pt idx="6">
                  <c:v>31381842.390484974</c:v>
                </c:pt>
                <c:pt idx="7">
                  <c:v>30476388.876950771</c:v>
                </c:pt>
                <c:pt idx="8">
                  <c:v>29568058.131161489</c:v>
                </c:pt>
                <c:pt idx="9">
                  <c:v>28710754.98724243</c:v>
                </c:pt>
                <c:pt idx="10">
                  <c:v>27858291.27425037</c:v>
                </c:pt>
                <c:pt idx="11">
                  <c:v>27037959.580575701</c:v>
                </c:pt>
                <c:pt idx="12">
                  <c:v>26221933.024842598</c:v>
                </c:pt>
                <c:pt idx="13">
                  <c:v>25433988.074300759</c:v>
                </c:pt>
                <c:pt idx="14">
                  <c:v>24675703.699611694</c:v>
                </c:pt>
                <c:pt idx="15">
                  <c:v>23905469.473185655</c:v>
                </c:pt>
                <c:pt idx="16">
                  <c:v>23198607.890754368</c:v>
                </c:pt>
                <c:pt idx="17">
                  <c:v>22527950.795570239</c:v>
                </c:pt>
                <c:pt idx="18">
                  <c:v>21916694.194486026</c:v>
                </c:pt>
                <c:pt idx="19">
                  <c:v>21334268.660066217</c:v>
                </c:pt>
                <c:pt idx="20">
                  <c:v>20766107.946645983</c:v>
                </c:pt>
                <c:pt idx="21">
                  <c:v>20206390.918211523</c:v>
                </c:pt>
                <c:pt idx="22">
                  <c:v>19635012.067060076</c:v>
                </c:pt>
                <c:pt idx="23">
                  <c:v>19082200.712421235</c:v>
                </c:pt>
                <c:pt idx="24">
                  <c:v>18518677.360345911</c:v>
                </c:pt>
                <c:pt idx="25">
                  <c:v>17964124.826938327</c:v>
                </c:pt>
                <c:pt idx="26">
                  <c:v>17373764.315497715</c:v>
                </c:pt>
                <c:pt idx="27">
                  <c:v>16788678.857320108</c:v>
                </c:pt>
                <c:pt idx="28">
                  <c:v>16216245.394880818</c:v>
                </c:pt>
                <c:pt idx="29">
                  <c:v>15664237.659751188</c:v>
                </c:pt>
                <c:pt idx="30">
                  <c:v>15130143.590989269</c:v>
                </c:pt>
                <c:pt idx="31">
                  <c:v>14599876.091351388</c:v>
                </c:pt>
                <c:pt idx="32">
                  <c:v>14085202.781707786</c:v>
                </c:pt>
                <c:pt idx="33">
                  <c:v>13582382.964366922</c:v>
                </c:pt>
                <c:pt idx="34">
                  <c:v>13110155.174964694</c:v>
                </c:pt>
                <c:pt idx="35">
                  <c:v>12660455.785464978</c:v>
                </c:pt>
                <c:pt idx="36">
                  <c:v>12220635.127235763</c:v>
                </c:pt>
                <c:pt idx="37">
                  <c:v>11808860.173003145</c:v>
                </c:pt>
                <c:pt idx="38">
                  <c:v>11415924.066629751</c:v>
                </c:pt>
                <c:pt idx="39">
                  <c:v>11036062.785551084</c:v>
                </c:pt>
                <c:pt idx="40">
                  <c:v>10694481.060479373</c:v>
                </c:pt>
                <c:pt idx="41">
                  <c:v>10352636.987163242</c:v>
                </c:pt>
                <c:pt idx="42">
                  <c:v>10017646.875641782</c:v>
                </c:pt>
                <c:pt idx="43">
                  <c:v>9685342.7653622031</c:v>
                </c:pt>
                <c:pt idx="44">
                  <c:v>9360079.9858537838</c:v>
                </c:pt>
                <c:pt idx="45">
                  <c:v>9045303.4266078323</c:v>
                </c:pt>
                <c:pt idx="46">
                  <c:v>8715592.5600607339</c:v>
                </c:pt>
                <c:pt idx="47">
                  <c:v>8387232.4111636756</c:v>
                </c:pt>
                <c:pt idx="48">
                  <c:v>8069923.037335638</c:v>
                </c:pt>
                <c:pt idx="49">
                  <c:v>7761332.4587747538</c:v>
                </c:pt>
                <c:pt idx="50">
                  <c:v>7465906.5371016413</c:v>
                </c:pt>
                <c:pt idx="51">
                  <c:v>7177652.0315159606</c:v>
                </c:pt>
                <c:pt idx="52">
                  <c:v>6905107.440826538</c:v>
                </c:pt>
                <c:pt idx="53">
                  <c:v>6645468.9682374997</c:v>
                </c:pt>
                <c:pt idx="54">
                  <c:v>6398487.3562849024</c:v>
                </c:pt>
                <c:pt idx="55">
                  <c:v>6164780.5265243631</c:v>
                </c:pt>
                <c:pt idx="56">
                  <c:v>5946714.5056038694</c:v>
                </c:pt>
                <c:pt idx="57">
                  <c:v>5743231.8028296158</c:v>
                </c:pt>
                <c:pt idx="58">
                  <c:v>5562613.7348587522</c:v>
                </c:pt>
                <c:pt idx="59">
                  <c:v>5386632.4526312882</c:v>
                </c:pt>
                <c:pt idx="60">
                  <c:v>5225478.6898367237</c:v>
                </c:pt>
                <c:pt idx="61">
                  <c:v>5078210.5829317048</c:v>
                </c:pt>
                <c:pt idx="62">
                  <c:v>4943500.2024158724</c:v>
                </c:pt>
                <c:pt idx="63">
                  <c:v>4822221.3358199997</c:v>
                </c:pt>
                <c:pt idx="64">
                  <c:v>4708510.8</c:v>
                </c:pt>
                <c:pt idx="65">
                  <c:v>4604000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9-4CE2-954C-380B8A7F3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093888"/>
        <c:axId val="822485410"/>
      </c:lineChart>
      <c:catAx>
        <c:axId val="151809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2485410"/>
        <c:crosses val="autoZero"/>
        <c:auto val="1"/>
        <c:lblAlgn val="ctr"/>
        <c:lblOffset val="100"/>
        <c:noMultiLvlLbl val="1"/>
      </c:catAx>
      <c:valAx>
        <c:axId val="82248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80938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Isari!$D$1:$D$67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1.439E-2</c:v>
                </c:pt>
                <c:pt idx="2">
                  <c:v>1.422E-2</c:v>
                </c:pt>
                <c:pt idx="3">
                  <c:v>1.4420000000000001E-2</c:v>
                </c:pt>
                <c:pt idx="4">
                  <c:v>1.554E-2</c:v>
                </c:pt>
                <c:pt idx="5">
                  <c:v>1.6310000000000002E-2</c:v>
                </c:pt>
                <c:pt idx="6">
                  <c:v>1.652E-2</c:v>
                </c:pt>
                <c:pt idx="7">
                  <c:v>1.703E-2</c:v>
                </c:pt>
                <c:pt idx="8">
                  <c:v>1.7090000000000001E-2</c:v>
                </c:pt>
                <c:pt idx="9">
                  <c:v>1.7010000000000001E-2</c:v>
                </c:pt>
                <c:pt idx="10">
                  <c:v>1.7149999999999999E-2</c:v>
                </c:pt>
                <c:pt idx="11">
                  <c:v>1.7219999999999999E-2</c:v>
                </c:pt>
                <c:pt idx="12">
                  <c:v>1.738E-2</c:v>
                </c:pt>
                <c:pt idx="13">
                  <c:v>1.7670000000000002E-2</c:v>
                </c:pt>
                <c:pt idx="14">
                  <c:v>1.7610000000000001E-2</c:v>
                </c:pt>
                <c:pt idx="15">
                  <c:v>1.736E-2</c:v>
                </c:pt>
                <c:pt idx="16">
                  <c:v>1.7260000000000001E-2</c:v>
                </c:pt>
                <c:pt idx="17">
                  <c:v>1.7469999999999999E-2</c:v>
                </c:pt>
                <c:pt idx="18">
                  <c:v>1.8069999999999999E-2</c:v>
                </c:pt>
                <c:pt idx="19">
                  <c:v>1.8180000000000002E-2</c:v>
                </c:pt>
                <c:pt idx="20">
                  <c:v>1.8759999999999999E-2</c:v>
                </c:pt>
                <c:pt idx="21">
                  <c:v>1.8919999999999999E-2</c:v>
                </c:pt>
                <c:pt idx="22">
                  <c:v>1.9120000000000002E-2</c:v>
                </c:pt>
                <c:pt idx="23">
                  <c:v>1.959E-2</c:v>
                </c:pt>
                <c:pt idx="24">
                  <c:v>2.103E-2</c:v>
                </c:pt>
                <c:pt idx="25">
                  <c:v>2.1090000000000001E-2</c:v>
                </c:pt>
                <c:pt idx="26">
                  <c:v>2.213E-2</c:v>
                </c:pt>
                <c:pt idx="27">
                  <c:v>2.264E-2</c:v>
                </c:pt>
                <c:pt idx="28">
                  <c:v>2.3E-2</c:v>
                </c:pt>
                <c:pt idx="29">
                  <c:v>2.3810000000000001E-2</c:v>
                </c:pt>
                <c:pt idx="30">
                  <c:v>2.4490000000000001E-2</c:v>
                </c:pt>
                <c:pt idx="31">
                  <c:v>2.5340000000000001E-2</c:v>
                </c:pt>
                <c:pt idx="32">
                  <c:v>2.6100000000000002E-2</c:v>
                </c:pt>
                <c:pt idx="33">
                  <c:v>2.6239999999999999E-2</c:v>
                </c:pt>
                <c:pt idx="34">
                  <c:v>2.6280000000000001E-2</c:v>
                </c:pt>
                <c:pt idx="35">
                  <c:v>2.6530000000000001E-2</c:v>
                </c:pt>
                <c:pt idx="36">
                  <c:v>2.6890000000000001E-2</c:v>
                </c:pt>
                <c:pt idx="37">
                  <c:v>2.6980000000000001E-2</c:v>
                </c:pt>
                <c:pt idx="38">
                  <c:v>2.7269999999999999E-2</c:v>
                </c:pt>
                <c:pt idx="39">
                  <c:v>2.76E-2</c:v>
                </c:pt>
                <c:pt idx="40">
                  <c:v>2.7879999999999999E-2</c:v>
                </c:pt>
                <c:pt idx="41">
                  <c:v>2.827E-2</c:v>
                </c:pt>
                <c:pt idx="42">
                  <c:v>2.8639999999999999E-2</c:v>
                </c:pt>
                <c:pt idx="43">
                  <c:v>2.9000000000000001E-2</c:v>
                </c:pt>
                <c:pt idx="44">
                  <c:v>2.9270000000000001E-2</c:v>
                </c:pt>
                <c:pt idx="45">
                  <c:v>2.9479999999999999E-2</c:v>
                </c:pt>
                <c:pt idx="46">
                  <c:v>2.964E-2</c:v>
                </c:pt>
                <c:pt idx="47">
                  <c:v>2.9770000000000001E-2</c:v>
                </c:pt>
                <c:pt idx="48">
                  <c:v>2.9870000000000001E-2</c:v>
                </c:pt>
                <c:pt idx="49">
                  <c:v>2.9850000000000002E-2</c:v>
                </c:pt>
                <c:pt idx="50">
                  <c:v>2.9760000000000002E-2</c:v>
                </c:pt>
                <c:pt idx="51">
                  <c:v>2.9590000000000002E-2</c:v>
                </c:pt>
                <c:pt idx="52">
                  <c:v>2.9350000000000001E-2</c:v>
                </c:pt>
                <c:pt idx="53">
                  <c:v>2.9049999999999999E-2</c:v>
                </c:pt>
                <c:pt idx="54">
                  <c:v>2.8729999999999999E-2</c:v>
                </c:pt>
                <c:pt idx="55">
                  <c:v>2.843E-2</c:v>
                </c:pt>
                <c:pt idx="56">
                  <c:v>2.802E-2</c:v>
                </c:pt>
                <c:pt idx="57">
                  <c:v>2.7699999999999999E-2</c:v>
                </c:pt>
                <c:pt idx="58">
                  <c:v>2.7369999999999998E-2</c:v>
                </c:pt>
                <c:pt idx="59">
                  <c:v>2.707E-2</c:v>
                </c:pt>
                <c:pt idx="60">
                  <c:v>2.6800000000000001E-2</c:v>
                </c:pt>
                <c:pt idx="61">
                  <c:v>2.657E-2</c:v>
                </c:pt>
                <c:pt idx="62">
                  <c:v>2.6380000000000001E-2</c:v>
                </c:pt>
                <c:pt idx="63">
                  <c:v>2.6190000000000001E-2</c:v>
                </c:pt>
                <c:pt idx="64">
                  <c:v>2.5999999999999999E-2</c:v>
                </c:pt>
                <c:pt idx="65">
                  <c:v>2.5739999999999999E-2</c:v>
                </c:pt>
                <c:pt idx="66">
                  <c:v>2.537E-2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55-4739-ADEC-CC5AFB76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644885"/>
        <c:axId val="1578557267"/>
      </c:lineChart>
      <c:catAx>
        <c:axId val="2030644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8557267"/>
        <c:crosses val="autoZero"/>
        <c:auto val="1"/>
        <c:lblAlgn val="ctr"/>
        <c:lblOffset val="100"/>
        <c:noMultiLvlLbl val="1"/>
      </c:catAx>
      <c:valAx>
        <c:axId val="1578557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06448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Isari!$C$1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Isari!$C$2:$C$67</c:f>
              <c:numCache>
                <c:formatCode>#,##0</c:formatCode>
                <c:ptCount val="66"/>
                <c:pt idx="0">
                  <c:v>12783114.76058523</c:v>
                </c:pt>
                <c:pt idx="1">
                  <c:v>12601775.215237956</c:v>
                </c:pt>
                <c:pt idx="2">
                  <c:v>12425090.429332845</c:v>
                </c:pt>
                <c:pt idx="3">
                  <c:v>12248467.527585067</c:v>
                </c:pt>
                <c:pt idx="4">
                  <c:v>12061038.981807772</c:v>
                </c:pt>
                <c:pt idx="5">
                  <c:v>11867480.376861166</c:v>
                </c:pt>
                <c:pt idx="6">
                  <c:v>11674615.725082798</c:v>
                </c:pt>
                <c:pt idx="7">
                  <c:v>11479126.205798056</c:v>
                </c:pt>
                <c:pt idx="8">
                  <c:v>11286244.290867137</c:v>
                </c:pt>
                <c:pt idx="9">
                  <c:v>11097476.220358834</c:v>
                </c:pt>
                <c:pt idx="10">
                  <c:v>10910363.486564256</c:v>
                </c:pt>
                <c:pt idx="11">
                  <c:v>10725667.492346058</c:v>
                </c:pt>
                <c:pt idx="12">
                  <c:v>10542439.887108119</c:v>
                </c:pt>
                <c:pt idx="13">
                  <c:v>10359389.475083394</c:v>
                </c:pt>
                <c:pt idx="14">
                  <c:v>10180117.604075624</c:v>
                </c:pt>
                <c:pt idx="15">
                  <c:v>10006406.38915981</c:v>
                </c:pt>
                <c:pt idx="16">
                  <c:v>9836626.2205923852</c:v>
                </c:pt>
                <c:pt idx="17">
                  <c:v>9667730.9607088007</c:v>
                </c:pt>
                <c:pt idx="18">
                  <c:v>9496135.787037041</c:v>
                </c:pt>
                <c:pt idx="19">
                  <c:v>9326578.5883017145</c:v>
                </c:pt>
                <c:pt idx="20">
                  <c:v>9154833.9042578377</c:v>
                </c:pt>
                <c:pt idx="21">
                  <c:v>8984840.7178756297</c:v>
                </c:pt>
                <c:pt idx="22">
                  <c:v>8816273.567269437</c:v>
                </c:pt>
                <c:pt idx="23">
                  <c:v>8646881.1652423404</c:v>
                </c:pt>
                <c:pt idx="24">
                  <c:v>8468782.6657809652</c:v>
                </c:pt>
                <c:pt idx="25">
                  <c:v>8293865.0518377079</c:v>
                </c:pt>
                <c:pt idx="26">
                  <c:v>8114295.6882565897</c:v>
                </c:pt>
                <c:pt idx="27">
                  <c:v>7934655.0968635976</c:v>
                </c:pt>
                <c:pt idx="28">
                  <c:v>7756261.0917532733</c:v>
                </c:pt>
                <c:pt idx="29">
                  <c:v>7575879.4031639388</c:v>
                </c:pt>
                <c:pt idx="30">
                  <c:v>7394781.211299222</c:v>
                </c:pt>
                <c:pt idx="31">
                  <c:v>7212028.411355475</c:v>
                </c:pt>
                <c:pt idx="32">
                  <c:v>7028582.4104429148</c:v>
                </c:pt>
                <c:pt idx="33">
                  <c:v>6848868.111204898</c:v>
                </c:pt>
                <c:pt idx="34">
                  <c:v>6673488.8248868706</c:v>
                </c:pt>
                <c:pt idx="35">
                  <c:v>6501016.8479117714</c:v>
                </c:pt>
                <c:pt idx="36">
                  <c:v>6330782.1167912539</c:v>
                </c:pt>
                <c:pt idx="37">
                  <c:v>6164464.8550032657</c:v>
                </c:pt>
                <c:pt idx="38">
                  <c:v>6000822.4274078542</c:v>
                </c:pt>
                <c:pt idx="39">
                  <c:v>5839648.1387775922</c:v>
                </c:pt>
                <c:pt idx="40">
                  <c:v>5681254.7561754221</c:v>
                </c:pt>
                <c:pt idx="41">
                  <c:v>5525061.2739605568</c:v>
                </c:pt>
                <c:pt idx="42">
                  <c:v>5371229.2677326929</c:v>
                </c:pt>
                <c:pt idx="43">
                  <c:v>5219853.5157752121</c:v>
                </c:pt>
                <c:pt idx="44">
                  <c:v>5071413.2499491991</c:v>
                </c:pt>
                <c:pt idx="45">
                  <c:v>4926189.1925527444</c:v>
                </c:pt>
                <c:pt idx="46">
                  <c:v>4784380.1644776268</c:v>
                </c:pt>
                <c:pt idx="47">
                  <c:v>4646066.7571182167</c:v>
                </c:pt>
                <c:pt idx="48">
                  <c:v>4511313.8135087108</c:v>
                </c:pt>
                <c:pt idx="49">
                  <c:v>4380554.2685912624</c:v>
                </c:pt>
                <c:pt idx="50">
                  <c:v>4253956.5224821921</c:v>
                </c:pt>
                <c:pt idx="51">
                  <c:v>4131699.5332920798</c:v>
                </c:pt>
                <c:pt idx="52">
                  <c:v>4013891.8087065429</c:v>
                </c:pt>
                <c:pt idx="53">
                  <c:v>3900579.9608440241</c:v>
                </c:pt>
                <c:pt idx="54">
                  <c:v>3791645.9720665524</c:v>
                </c:pt>
                <c:pt idx="55">
                  <c:v>3686829.4118866161</c:v>
                </c:pt>
                <c:pt idx="56">
                  <c:v>3586340.1605869695</c:v>
                </c:pt>
                <c:pt idx="57">
                  <c:v>3489676.1317378315</c:v>
                </c:pt>
                <c:pt idx="58">
                  <c:v>3396708.2275497941</c:v>
                </c:pt>
                <c:pt idx="59">
                  <c:v>3307182.7894396628</c:v>
                </c:pt>
                <c:pt idx="60">
                  <c:v>3220863.6437861929</c:v>
                </c:pt>
                <c:pt idx="61">
                  <c:v>3137500.261829386</c:v>
                </c:pt>
                <c:pt idx="62">
                  <c:v>3056860.2874465459</c:v>
                </c:pt>
                <c:pt idx="63">
                  <c:v>2978844.3538200003</c:v>
                </c:pt>
                <c:pt idx="64">
                  <c:v>2903357.0700000003</c:v>
                </c:pt>
                <c:pt idx="65">
                  <c:v>2830500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2-432F-BDF3-8C3568E87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482598"/>
        <c:axId val="1334548558"/>
      </c:lineChart>
      <c:catAx>
        <c:axId val="2113482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4548558"/>
        <c:crosses val="autoZero"/>
        <c:auto val="1"/>
        <c:lblAlgn val="ctr"/>
        <c:lblOffset val="100"/>
        <c:noMultiLvlLbl val="1"/>
      </c:catAx>
      <c:valAx>
        <c:axId val="1334548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34825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Isnti!$D$1:$D$67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5.8199999999999997E-3</c:v>
                </c:pt>
                <c:pt idx="2">
                  <c:v>5.6100000000000004E-3</c:v>
                </c:pt>
                <c:pt idx="3">
                  <c:v>5.5199999999999997E-3</c:v>
                </c:pt>
                <c:pt idx="4">
                  <c:v>5.3499999999999997E-3</c:v>
                </c:pt>
                <c:pt idx="5">
                  <c:v>5.4099999999999999E-3</c:v>
                </c:pt>
                <c:pt idx="6">
                  <c:v>5.6899999999999997E-3</c:v>
                </c:pt>
                <c:pt idx="7">
                  <c:v>6.0400000000000002E-3</c:v>
                </c:pt>
                <c:pt idx="8">
                  <c:v>6.79E-3</c:v>
                </c:pt>
                <c:pt idx="9">
                  <c:v>6.7099999999999998E-3</c:v>
                </c:pt>
                <c:pt idx="10">
                  <c:v>4.81E-3</c:v>
                </c:pt>
                <c:pt idx="11">
                  <c:v>5.1999999999999998E-3</c:v>
                </c:pt>
                <c:pt idx="12">
                  <c:v>5.7000000000000002E-3</c:v>
                </c:pt>
                <c:pt idx="13">
                  <c:v>6.3800000000000003E-3</c:v>
                </c:pt>
                <c:pt idx="14">
                  <c:v>7.28E-3</c:v>
                </c:pt>
                <c:pt idx="15">
                  <c:v>8.6E-3</c:v>
                </c:pt>
                <c:pt idx="16">
                  <c:v>9.8499999999999994E-3</c:v>
                </c:pt>
                <c:pt idx="17">
                  <c:v>1.0670000000000001E-2</c:v>
                </c:pt>
                <c:pt idx="18">
                  <c:v>1.1039999999999999E-2</c:v>
                </c:pt>
                <c:pt idx="19">
                  <c:v>1.468E-2</c:v>
                </c:pt>
                <c:pt idx="20">
                  <c:v>1.9E-2</c:v>
                </c:pt>
                <c:pt idx="21">
                  <c:v>2.0619999999999999E-2</c:v>
                </c:pt>
                <c:pt idx="22">
                  <c:v>2.198E-2</c:v>
                </c:pt>
                <c:pt idx="23">
                  <c:v>2.198E-2</c:v>
                </c:pt>
                <c:pt idx="24">
                  <c:v>3.6519999999999997E-2</c:v>
                </c:pt>
                <c:pt idx="25">
                  <c:v>3.9640000000000002E-2</c:v>
                </c:pt>
                <c:pt idx="26">
                  <c:v>4.0719999999999999E-2</c:v>
                </c:pt>
                <c:pt idx="27">
                  <c:v>4.027E-2</c:v>
                </c:pt>
                <c:pt idx="28">
                  <c:v>5.2859999999999997E-2</c:v>
                </c:pt>
                <c:pt idx="29">
                  <c:v>3.8899999999999997E-2</c:v>
                </c:pt>
                <c:pt idx="30">
                  <c:v>3.8730000000000001E-2</c:v>
                </c:pt>
                <c:pt idx="31">
                  <c:v>4.0529999999999997E-2</c:v>
                </c:pt>
                <c:pt idx="32">
                  <c:v>3.2620000000000003E-2</c:v>
                </c:pt>
                <c:pt idx="33">
                  <c:v>3.2550000000000003E-2</c:v>
                </c:pt>
                <c:pt idx="34">
                  <c:v>3.32E-2</c:v>
                </c:pt>
                <c:pt idx="35">
                  <c:v>3.3270000000000001E-2</c:v>
                </c:pt>
                <c:pt idx="36">
                  <c:v>3.32E-2</c:v>
                </c:pt>
                <c:pt idx="37">
                  <c:v>3.3070000000000002E-2</c:v>
                </c:pt>
                <c:pt idx="38">
                  <c:v>3.2989999999999998E-2</c:v>
                </c:pt>
                <c:pt idx="39">
                  <c:v>3.2890000000000003E-2</c:v>
                </c:pt>
                <c:pt idx="40">
                  <c:v>3.108E-2</c:v>
                </c:pt>
                <c:pt idx="41">
                  <c:v>2.9649999999999999E-2</c:v>
                </c:pt>
                <c:pt idx="42">
                  <c:v>2.9049999999999999E-2</c:v>
                </c:pt>
                <c:pt idx="43">
                  <c:v>2.835E-2</c:v>
                </c:pt>
                <c:pt idx="44">
                  <c:v>2.775E-2</c:v>
                </c:pt>
                <c:pt idx="45">
                  <c:v>2.7109999999999999E-2</c:v>
                </c:pt>
                <c:pt idx="46">
                  <c:v>2.64E-2</c:v>
                </c:pt>
                <c:pt idx="47">
                  <c:v>2.5669999999999998E-2</c:v>
                </c:pt>
                <c:pt idx="48">
                  <c:v>2.486E-2</c:v>
                </c:pt>
                <c:pt idx="49">
                  <c:v>2.3990000000000001E-2</c:v>
                </c:pt>
                <c:pt idx="50">
                  <c:v>2.6880000000000001E-2</c:v>
                </c:pt>
                <c:pt idx="51">
                  <c:v>2.6120000000000001E-2</c:v>
                </c:pt>
                <c:pt idx="52">
                  <c:v>2.4340000000000001E-2</c:v>
                </c:pt>
                <c:pt idx="53">
                  <c:v>2.3189999999999999E-2</c:v>
                </c:pt>
                <c:pt idx="54">
                  <c:v>2.2720000000000001E-2</c:v>
                </c:pt>
                <c:pt idx="55">
                  <c:v>2.2620000000000001E-2</c:v>
                </c:pt>
                <c:pt idx="56">
                  <c:v>2.2769999999999999E-2</c:v>
                </c:pt>
                <c:pt idx="57">
                  <c:v>2.3089999999999999E-2</c:v>
                </c:pt>
                <c:pt idx="58">
                  <c:v>2.3359999999999999E-2</c:v>
                </c:pt>
                <c:pt idx="59">
                  <c:v>2.351E-2</c:v>
                </c:pt>
                <c:pt idx="60">
                  <c:v>2.367E-2</c:v>
                </c:pt>
                <c:pt idx="61">
                  <c:v>2.392E-2</c:v>
                </c:pt>
                <c:pt idx="62">
                  <c:v>2.41E-2</c:v>
                </c:pt>
                <c:pt idx="63">
                  <c:v>2.444E-2</c:v>
                </c:pt>
                <c:pt idx="64">
                  <c:v>2.4719999999999999E-2</c:v>
                </c:pt>
                <c:pt idx="65">
                  <c:v>2.5090000000000001E-2</c:v>
                </c:pt>
                <c:pt idx="66">
                  <c:v>2.5430000000000001E-2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6D-477C-8653-E7FD1E21A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953838"/>
        <c:axId val="1754207885"/>
      </c:lineChart>
      <c:catAx>
        <c:axId val="1346953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4207885"/>
        <c:crosses val="autoZero"/>
        <c:auto val="1"/>
        <c:lblAlgn val="ctr"/>
        <c:lblOffset val="100"/>
        <c:noMultiLvlLbl val="1"/>
      </c:catAx>
      <c:valAx>
        <c:axId val="1754207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69538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Isnti!$C$1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Isnti!$C$2:$C$67</c:f>
              <c:numCache>
                <c:formatCode>#,##0</c:formatCode>
                <c:ptCount val="66"/>
                <c:pt idx="0">
                  <c:v>35958594.008806027</c:v>
                </c:pt>
                <c:pt idx="1">
                  <c:v>35750525.947789893</c:v>
                </c:pt>
                <c:pt idx="2">
                  <c:v>35551084.364505023</c:v>
                </c:pt>
                <c:pt idx="3">
                  <c:v>35355919.687828213</c:v>
                </c:pt>
                <c:pt idx="4">
                  <c:v>35167772.10705547</c:v>
                </c:pt>
                <c:pt idx="5">
                  <c:v>34978538.215310641</c:v>
                </c:pt>
                <c:pt idx="6">
                  <c:v>34780636.39422749</c:v>
                </c:pt>
                <c:pt idx="7">
                  <c:v>34571822.585809201</c:v>
                </c:pt>
                <c:pt idx="8">
                  <c:v>34338663.063607305</c:v>
                </c:pt>
                <c:pt idx="9">
                  <c:v>34109786.39688421</c:v>
                </c:pt>
                <c:pt idx="10">
                  <c:v>33946503.714019775</c:v>
                </c:pt>
                <c:pt idx="11">
                  <c:v>33770895.059709281</c:v>
                </c:pt>
                <c:pt idx="12">
                  <c:v>33579491.955562569</c:v>
                </c:pt>
                <c:pt idx="13">
                  <c:v>33366612.964846842</c:v>
                </c:pt>
                <c:pt idx="14">
                  <c:v>33125459.618821822</c:v>
                </c:pt>
                <c:pt idx="15">
                  <c:v>32843009.735099964</c:v>
                </c:pt>
                <c:pt idx="16">
                  <c:v>32522661.519136474</c:v>
                </c:pt>
                <c:pt idx="17">
                  <c:v>32179308.299579956</c:v>
                </c:pt>
                <c:pt idx="18">
                  <c:v>31827927.97473884</c:v>
                </c:pt>
                <c:pt idx="19">
                  <c:v>31367453.75363547</c:v>
                </c:pt>
                <c:pt idx="20">
                  <c:v>30782584.645373378</c:v>
                </c:pt>
                <c:pt idx="21">
                  <c:v>30160671.597042363</c:v>
                </c:pt>
                <c:pt idx="22">
                  <c:v>29511997.883561675</c:v>
                </c:pt>
                <c:pt idx="23">
                  <c:v>28877275.370909091</c:v>
                </c:pt>
                <c:pt idx="24">
                  <c:v>27859834.225011669</c:v>
                </c:pt>
                <c:pt idx="25">
                  <c:v>26797578.224204216</c:v>
                </c:pt>
                <c:pt idx="26">
                  <c:v>25749075.855373409</c:v>
                </c:pt>
                <c:pt idx="27">
                  <c:v>24752300.705945004</c:v>
                </c:pt>
                <c:pt idx="28">
                  <c:v>23509584.09090003</c:v>
                </c:pt>
                <c:pt idx="29">
                  <c:v>22629304.159110628</c:v>
                </c:pt>
                <c:pt idx="30">
                  <c:v>21785549.814784043</c:v>
                </c:pt>
                <c:pt idx="31">
                  <c:v>20936974.248492636</c:v>
                </c:pt>
                <c:pt idx="32">
                  <c:v>20275584.676350094</c:v>
                </c:pt>
                <c:pt idx="33">
                  <c:v>19636419.230400555</c:v>
                </c:pt>
                <c:pt idx="34">
                  <c:v>19005438.666667204</c:v>
                </c:pt>
                <c:pt idx="35">
                  <c:v>18393487.342773143</c:v>
                </c:pt>
                <c:pt idx="36">
                  <c:v>17802446.13121675</c:v>
                </c:pt>
                <c:pt idx="37">
                  <c:v>17232565.200051062</c:v>
                </c:pt>
                <c:pt idx="38">
                  <c:v>16682218.801780326</c:v>
                </c:pt>
                <c:pt idx="39">
                  <c:v>16151012.016555805</c:v>
                </c:pt>
                <c:pt idx="40">
                  <c:v>15664169.624622537</c:v>
                </c:pt>
                <c:pt idx="41">
                  <c:v>15213101.174790014</c:v>
                </c:pt>
                <c:pt idx="42">
                  <c:v>14783636.533492068</c:v>
                </c:pt>
                <c:pt idx="43">
                  <c:v>14376074.812556101</c:v>
                </c:pt>
                <c:pt idx="44">
                  <c:v>13987910.301684361</c:v>
                </c:pt>
                <c:pt idx="45">
                  <c:v>13618707.150825482</c:v>
                </c:pt>
                <c:pt idx="46">
                  <c:v>13268420.840632778</c:v>
                </c:pt>
                <c:pt idx="47">
                  <c:v>12936344.86787444</c:v>
                </c:pt>
                <c:pt idx="48">
                  <c:v>12622548.316720759</c:v>
                </c:pt>
                <c:pt idx="49">
                  <c:v>12326827.719724568</c:v>
                </c:pt>
                <c:pt idx="50">
                  <c:v>12004156.006275872</c:v>
                </c:pt>
                <c:pt idx="51">
                  <c:v>11698588.865118966</c:v>
                </c:pt>
                <c:pt idx="52">
                  <c:v>11420611.188783964</c:v>
                </c:pt>
                <c:pt idx="53">
                  <c:v>11161769.748320414</c:v>
                </c:pt>
                <c:pt idx="54">
                  <c:v>10913808.029881505</c:v>
                </c:pt>
                <c:pt idx="55">
                  <c:v>10672398.378558511</c:v>
                </c:pt>
                <c:pt idx="56">
                  <c:v>10434798.027472952</c:v>
                </c:pt>
                <c:pt idx="57">
                  <c:v>10199296.276449727</c:v>
                </c:pt>
                <c:pt idx="58">
                  <c:v>9966479.3195451517</c:v>
                </c:pt>
                <c:pt idx="59">
                  <c:v>9737549.5300926734</c:v>
                </c:pt>
                <c:pt idx="60">
                  <c:v>9512391.229686005</c:v>
                </c:pt>
                <c:pt idx="61">
                  <c:v>9290170.3547992092</c:v>
                </c:pt>
                <c:pt idx="62">
                  <c:v>9071546.0939353667</c:v>
                </c:pt>
                <c:pt idx="63">
                  <c:v>8855126.7950640023</c:v>
                </c:pt>
                <c:pt idx="64">
                  <c:v>8641508.7000000011</c:v>
                </c:pt>
                <c:pt idx="65">
                  <c:v>8430000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A-4566-8B87-AADFA0A2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401598"/>
        <c:axId val="1350883129"/>
      </c:lineChart>
      <c:catAx>
        <c:axId val="1973401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0883129"/>
        <c:crosses val="autoZero"/>
        <c:auto val="1"/>
        <c:lblAlgn val="ctr"/>
        <c:lblOffset val="100"/>
        <c:noMultiLvlLbl val="1"/>
      </c:catAx>
      <c:valAx>
        <c:axId val="1350883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34015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Isuibul!$D$1:$D$67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1.4449999999999999E-2</c:v>
                </c:pt>
                <c:pt idx="2">
                  <c:v>1.4800000000000001E-2</c:v>
                </c:pt>
                <c:pt idx="3">
                  <c:v>1.523E-2</c:v>
                </c:pt>
                <c:pt idx="4">
                  <c:v>1.6279999999999999E-2</c:v>
                </c:pt>
                <c:pt idx="5">
                  <c:v>1.643E-2</c:v>
                </c:pt>
                <c:pt idx="6">
                  <c:v>1.6420000000000001E-2</c:v>
                </c:pt>
                <c:pt idx="7">
                  <c:v>1.6570000000000001E-2</c:v>
                </c:pt>
                <c:pt idx="8">
                  <c:v>1.678E-2</c:v>
                </c:pt>
                <c:pt idx="9">
                  <c:v>1.7069999999999998E-2</c:v>
                </c:pt>
                <c:pt idx="10">
                  <c:v>1.7330000000000002E-2</c:v>
                </c:pt>
                <c:pt idx="11">
                  <c:v>1.762E-2</c:v>
                </c:pt>
                <c:pt idx="12">
                  <c:v>1.797E-2</c:v>
                </c:pt>
                <c:pt idx="13">
                  <c:v>1.8280000000000001E-2</c:v>
                </c:pt>
                <c:pt idx="14">
                  <c:v>1.8370000000000001E-2</c:v>
                </c:pt>
                <c:pt idx="15">
                  <c:v>1.7219999999999999E-2</c:v>
                </c:pt>
                <c:pt idx="16">
                  <c:v>1.7219999999999999E-2</c:v>
                </c:pt>
                <c:pt idx="17">
                  <c:v>1.7770000000000001E-2</c:v>
                </c:pt>
                <c:pt idx="18">
                  <c:v>1.84E-2</c:v>
                </c:pt>
                <c:pt idx="19">
                  <c:v>1.9089999999999999E-2</c:v>
                </c:pt>
                <c:pt idx="20">
                  <c:v>1.9789999999999999E-2</c:v>
                </c:pt>
                <c:pt idx="21">
                  <c:v>2.06E-2</c:v>
                </c:pt>
                <c:pt idx="22">
                  <c:v>2.1649999999999999E-2</c:v>
                </c:pt>
                <c:pt idx="23">
                  <c:v>2.298E-2</c:v>
                </c:pt>
                <c:pt idx="24">
                  <c:v>1.5310000000000001E-2</c:v>
                </c:pt>
                <c:pt idx="25">
                  <c:v>1.2999999999999999E-2</c:v>
                </c:pt>
                <c:pt idx="26">
                  <c:v>1.37E-2</c:v>
                </c:pt>
                <c:pt idx="27">
                  <c:v>1.423E-2</c:v>
                </c:pt>
                <c:pt idx="28">
                  <c:v>1.4760000000000001E-2</c:v>
                </c:pt>
                <c:pt idx="29">
                  <c:v>1.5350000000000001E-2</c:v>
                </c:pt>
                <c:pt idx="30">
                  <c:v>1.584E-2</c:v>
                </c:pt>
                <c:pt idx="31">
                  <c:v>1.6250000000000001E-2</c:v>
                </c:pt>
                <c:pt idx="32">
                  <c:v>1.669E-2</c:v>
                </c:pt>
                <c:pt idx="33">
                  <c:v>1.7270000000000001E-2</c:v>
                </c:pt>
                <c:pt idx="34">
                  <c:v>1.3270000000000001E-2</c:v>
                </c:pt>
                <c:pt idx="35">
                  <c:v>8.6700000000000006E-3</c:v>
                </c:pt>
                <c:pt idx="36">
                  <c:v>8.2900000000000005E-3</c:v>
                </c:pt>
                <c:pt idx="37">
                  <c:v>7.9600000000000001E-3</c:v>
                </c:pt>
                <c:pt idx="38">
                  <c:v>7.7499999999999999E-3</c:v>
                </c:pt>
                <c:pt idx="39">
                  <c:v>7.6299999999999996E-3</c:v>
                </c:pt>
                <c:pt idx="40">
                  <c:v>7.6299999999999996E-3</c:v>
                </c:pt>
                <c:pt idx="41">
                  <c:v>3.1E-4</c:v>
                </c:pt>
                <c:pt idx="42">
                  <c:v>-1.191E-2</c:v>
                </c:pt>
                <c:pt idx="43">
                  <c:v>3.81E-3</c:v>
                </c:pt>
                <c:pt idx="44">
                  <c:v>1.091E-2</c:v>
                </c:pt>
                <c:pt idx="45">
                  <c:v>1.0410000000000001E-2</c:v>
                </c:pt>
                <c:pt idx="46">
                  <c:v>9.8799999999999999E-3</c:v>
                </c:pt>
                <c:pt idx="47">
                  <c:v>9.5399999999999999E-3</c:v>
                </c:pt>
                <c:pt idx="48">
                  <c:v>9.3600000000000003E-3</c:v>
                </c:pt>
                <c:pt idx="49">
                  <c:v>9.3200000000000002E-3</c:v>
                </c:pt>
                <c:pt idx="50">
                  <c:v>9.4000000000000004E-3</c:v>
                </c:pt>
                <c:pt idx="51">
                  <c:v>8.8199999999999997E-3</c:v>
                </c:pt>
                <c:pt idx="52">
                  <c:v>8.1300000000000001E-3</c:v>
                </c:pt>
                <c:pt idx="53">
                  <c:v>9.1599999999999997E-3</c:v>
                </c:pt>
                <c:pt idx="54">
                  <c:v>0.01</c:v>
                </c:pt>
                <c:pt idx="55">
                  <c:v>9.8899999999999995E-3</c:v>
                </c:pt>
                <c:pt idx="56">
                  <c:v>2.0729999999999998E-2</c:v>
                </c:pt>
                <c:pt idx="57">
                  <c:v>2.0369999999999999E-2</c:v>
                </c:pt>
                <c:pt idx="58">
                  <c:v>1.9259999999999999E-2</c:v>
                </c:pt>
                <c:pt idx="59">
                  <c:v>1.8200000000000001E-2</c:v>
                </c:pt>
                <c:pt idx="60">
                  <c:v>1.7409999999999998E-2</c:v>
                </c:pt>
                <c:pt idx="61">
                  <c:v>1.677E-2</c:v>
                </c:pt>
                <c:pt idx="62">
                  <c:v>1.6299999999999999E-2</c:v>
                </c:pt>
                <c:pt idx="63">
                  <c:v>1.5879999999999998E-2</c:v>
                </c:pt>
                <c:pt idx="64">
                  <c:v>1.5480000000000001E-2</c:v>
                </c:pt>
                <c:pt idx="65">
                  <c:v>1.478E-2</c:v>
                </c:pt>
                <c:pt idx="66">
                  <c:v>1.4080000000000001E-2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2F-4CC5-84C1-88B2460D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60716"/>
        <c:axId val="1702413630"/>
      </c:lineChart>
      <c:catAx>
        <c:axId val="204860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2413630"/>
        <c:crosses val="autoZero"/>
        <c:auto val="1"/>
        <c:lblAlgn val="ctr"/>
        <c:lblOffset val="100"/>
        <c:noMultiLvlLbl val="1"/>
      </c:catAx>
      <c:valAx>
        <c:axId val="1702413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607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Isuibul!$C$1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Isuibul!$C$2:$C$67</c:f>
              <c:numCache>
                <c:formatCode>#,##0</c:formatCode>
                <c:ptCount val="66"/>
                <c:pt idx="0">
                  <c:v>37466.586087327174</c:v>
                </c:pt>
                <c:pt idx="1">
                  <c:v>36932.90560138713</c:v>
                </c:pt>
                <c:pt idx="2">
                  <c:v>36394.270399474903</c:v>
                </c:pt>
                <c:pt idx="3">
                  <c:v>35848.300778616569</c:v>
                </c:pt>
                <c:pt idx="4">
                  <c:v>35274.039416909283</c:v>
                </c:pt>
                <c:pt idx="5">
                  <c:v>34703.855077978107</c:v>
                </c:pt>
                <c:pt idx="6">
                  <c:v>34143.223350561879</c:v>
                </c:pt>
                <c:pt idx="7">
                  <c:v>33586.691866336681</c:v>
                </c:pt>
                <c:pt idx="8">
                  <c:v>33032.408059104899</c:v>
                </c:pt>
                <c:pt idx="9">
                  <c:v>32478.008454781779</c:v>
                </c:pt>
                <c:pt idx="10">
                  <c:v>31924.752494059721</c:v>
                </c:pt>
                <c:pt idx="11">
                  <c:v>31371.978237514712</c:v>
                </c:pt>
                <c:pt idx="12">
                  <c:v>30818.175621594655</c:v>
                </c:pt>
                <c:pt idx="13">
                  <c:v>30264.932652703239</c:v>
                </c:pt>
                <c:pt idx="14">
                  <c:v>29718.994719702307</c:v>
                </c:pt>
                <c:pt idx="15">
                  <c:v>29215.896973813244</c:v>
                </c:pt>
                <c:pt idx="16">
                  <c:v>28721.315913777988</c:v>
                </c:pt>
                <c:pt idx="17">
                  <c:v>28219.849193607581</c:v>
                </c:pt>
                <c:pt idx="18">
                  <c:v>27709.98546112292</c:v>
                </c:pt>
                <c:pt idx="19">
                  <c:v>27190.910970692399</c:v>
                </c:pt>
                <c:pt idx="20">
                  <c:v>26663.24534530874</c:v>
                </c:pt>
                <c:pt idx="21">
                  <c:v>26125.068925444582</c:v>
                </c:pt>
                <c:pt idx="22">
                  <c:v>25571.44709582008</c:v>
                </c:pt>
                <c:pt idx="23">
                  <c:v>24997.01567559491</c:v>
                </c:pt>
                <c:pt idx="24">
                  <c:v>24620.082216854862</c:v>
                </c:pt>
                <c:pt idx="25">
                  <c:v>24304.128545759984</c:v>
                </c:pt>
                <c:pt idx="26">
                  <c:v>23975.661976679476</c:v>
                </c:pt>
                <c:pt idx="27">
                  <c:v>23639.275092118627</c:v>
                </c:pt>
                <c:pt idx="28">
                  <c:v>23295.434479205549</c:v>
                </c:pt>
                <c:pt idx="29">
                  <c:v>22943.255507170481</c:v>
                </c:pt>
                <c:pt idx="30">
                  <c:v>22585.501168658921</c:v>
                </c:pt>
                <c:pt idx="31">
                  <c:v>22224.35539351431</c:v>
                </c:pt>
                <c:pt idx="32">
                  <c:v>21859.520004636917</c:v>
                </c:pt>
                <c:pt idx="33">
                  <c:v>21488.415076269743</c:v>
                </c:pt>
                <c:pt idx="34">
                  <c:v>21206.998210022743</c:v>
                </c:pt>
                <c:pt idx="35">
                  <c:v>21024.713940161542</c:v>
                </c:pt>
                <c:pt idx="36">
                  <c:v>20851.852086365572</c:v>
                </c:pt>
                <c:pt idx="37">
                  <c:v>20687.182116716511</c:v>
                </c:pt>
                <c:pt idx="38">
                  <c:v>20528.08942368297</c:v>
                </c:pt>
                <c:pt idx="39">
                  <c:v>20372.646133682967</c:v>
                </c:pt>
                <c:pt idx="40">
                  <c:v>20218.379895083479</c:v>
                </c:pt>
                <c:pt idx="41">
                  <c:v>20212.11413970017</c:v>
                </c:pt>
                <c:pt idx="42">
                  <c:v>20455.742027244654</c:v>
                </c:pt>
                <c:pt idx="43">
                  <c:v>20378.101460679463</c:v>
                </c:pt>
                <c:pt idx="44">
                  <c:v>20158.175763103998</c:v>
                </c:pt>
                <c:pt idx="45">
                  <c:v>19950.491150230104</c:v>
                </c:pt>
                <c:pt idx="46">
                  <c:v>19755.308700271424</c:v>
                </c:pt>
                <c:pt idx="47">
                  <c:v>19568.624027053334</c:v>
                </c:pt>
                <c:pt idx="48">
                  <c:v>19387.160207511031</c:v>
                </c:pt>
                <c:pt idx="49">
                  <c:v>19208.140339546459</c:v>
                </c:pt>
                <c:pt idx="50">
                  <c:v>19029.265246231877</c:v>
                </c:pt>
                <c:pt idx="51">
                  <c:v>18862.894516595505</c:v>
                </c:pt>
                <c:pt idx="52">
                  <c:v>18710.775908459727</c:v>
                </c:pt>
                <c:pt idx="53">
                  <c:v>18540.940889908168</c:v>
                </c:pt>
                <c:pt idx="54">
                  <c:v>18357.367217730858</c:v>
                </c:pt>
                <c:pt idx="55">
                  <c:v>18177.59084428092</c:v>
                </c:pt>
                <c:pt idx="56">
                  <c:v>17808.422251017331</c:v>
                </c:pt>
                <c:pt idx="57">
                  <c:v>17452.906544701757</c:v>
                </c:pt>
                <c:pt idx="58">
                  <c:v>17123.115343191879</c:v>
                </c:pt>
                <c:pt idx="59">
                  <c:v>16817.045121971991</c:v>
                </c:pt>
                <c:pt idx="60">
                  <c:v>16529.270522180825</c:v>
                </c:pt>
                <c:pt idx="61">
                  <c:v>16256.646559380022</c:v>
                </c:pt>
                <c:pt idx="62">
                  <c:v>15995.913174633497</c:v>
                </c:pt>
                <c:pt idx="63">
                  <c:v>15745.868778431999</c:v>
                </c:pt>
                <c:pt idx="64">
                  <c:v>15505.838400000001</c:v>
                </c:pt>
                <c:pt idx="65">
                  <c:v>15280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2-4D4B-84F3-9E7DDF157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975465"/>
        <c:axId val="686691993"/>
      </c:lineChart>
      <c:catAx>
        <c:axId val="186197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6691993"/>
        <c:crosses val="autoZero"/>
        <c:auto val="1"/>
        <c:lblAlgn val="ctr"/>
        <c:lblOffset val="100"/>
        <c:noMultiLvlLbl val="1"/>
      </c:catAx>
      <c:valAx>
        <c:axId val="68669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19754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Jathua!$D$1:$D$67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2.7279999999999999E-2</c:v>
                </c:pt>
                <c:pt idx="2">
                  <c:v>2.7799999999999998E-2</c:v>
                </c:pt>
                <c:pt idx="3">
                  <c:v>2.8299999999999999E-2</c:v>
                </c:pt>
                <c:pt idx="4">
                  <c:v>2.8459999999999999E-2</c:v>
                </c:pt>
                <c:pt idx="5">
                  <c:v>2.896E-2</c:v>
                </c:pt>
                <c:pt idx="6">
                  <c:v>2.9350000000000001E-2</c:v>
                </c:pt>
                <c:pt idx="7">
                  <c:v>2.9610000000000001E-2</c:v>
                </c:pt>
                <c:pt idx="8">
                  <c:v>2.9520000000000001E-2</c:v>
                </c:pt>
                <c:pt idx="9">
                  <c:v>2.8549999999999999E-2</c:v>
                </c:pt>
                <c:pt idx="10">
                  <c:v>2.7859999999999999E-2</c:v>
                </c:pt>
                <c:pt idx="11">
                  <c:v>2.7230000000000001E-2</c:v>
                </c:pt>
                <c:pt idx="12">
                  <c:v>2.631E-2</c:v>
                </c:pt>
                <c:pt idx="13">
                  <c:v>2.5399999999999999E-2</c:v>
                </c:pt>
                <c:pt idx="14">
                  <c:v>2.4649999999999998E-2</c:v>
                </c:pt>
                <c:pt idx="15">
                  <c:v>2.4320000000000001E-2</c:v>
                </c:pt>
                <c:pt idx="16">
                  <c:v>2.4070000000000001E-2</c:v>
                </c:pt>
                <c:pt idx="17">
                  <c:v>2.3890000000000002E-2</c:v>
                </c:pt>
                <c:pt idx="18">
                  <c:v>2.2790000000000001E-2</c:v>
                </c:pt>
                <c:pt idx="19">
                  <c:v>2.043E-2</c:v>
                </c:pt>
                <c:pt idx="20">
                  <c:v>1.9689999999999999E-2</c:v>
                </c:pt>
                <c:pt idx="21">
                  <c:v>1.9740000000000001E-2</c:v>
                </c:pt>
                <c:pt idx="22">
                  <c:v>-2.2620000000000001E-2</c:v>
                </c:pt>
                <c:pt idx="23">
                  <c:v>-8.0999999999999996E-4</c:v>
                </c:pt>
                <c:pt idx="24">
                  <c:v>3.022E-2</c:v>
                </c:pt>
                <c:pt idx="25">
                  <c:v>2.7990000000000001E-2</c:v>
                </c:pt>
                <c:pt idx="26">
                  <c:v>3.3660000000000002E-2</c:v>
                </c:pt>
                <c:pt idx="27">
                  <c:v>4.5560000000000003E-2</c:v>
                </c:pt>
                <c:pt idx="28">
                  <c:v>4.8899999999999999E-2</c:v>
                </c:pt>
                <c:pt idx="29">
                  <c:v>5.9369999999999999E-2</c:v>
                </c:pt>
                <c:pt idx="30">
                  <c:v>3.5560000000000001E-2</c:v>
                </c:pt>
                <c:pt idx="31">
                  <c:v>3.8170000000000003E-2</c:v>
                </c:pt>
                <c:pt idx="32">
                  <c:v>3.8809999999999997E-2</c:v>
                </c:pt>
                <c:pt idx="33">
                  <c:v>3.9370000000000002E-2</c:v>
                </c:pt>
                <c:pt idx="34">
                  <c:v>3.9550000000000002E-2</c:v>
                </c:pt>
                <c:pt idx="35">
                  <c:v>3.9410000000000001E-2</c:v>
                </c:pt>
                <c:pt idx="36">
                  <c:v>3.9120000000000002E-2</c:v>
                </c:pt>
                <c:pt idx="37">
                  <c:v>3.7909999999999999E-2</c:v>
                </c:pt>
                <c:pt idx="38">
                  <c:v>3.5929999999999997E-2</c:v>
                </c:pt>
                <c:pt idx="39">
                  <c:v>3.2340000000000001E-2</c:v>
                </c:pt>
                <c:pt idx="40">
                  <c:v>2.9690000000000001E-2</c:v>
                </c:pt>
                <c:pt idx="41">
                  <c:v>2.845E-2</c:v>
                </c:pt>
                <c:pt idx="42">
                  <c:v>2.7550000000000002E-2</c:v>
                </c:pt>
                <c:pt idx="43">
                  <c:v>2.6610000000000002E-2</c:v>
                </c:pt>
                <c:pt idx="44">
                  <c:v>2.58E-2</c:v>
                </c:pt>
                <c:pt idx="45">
                  <c:v>2.5319999999999999E-2</c:v>
                </c:pt>
                <c:pt idx="46">
                  <c:v>2.4750000000000001E-2</c:v>
                </c:pt>
                <c:pt idx="47">
                  <c:v>2.452E-2</c:v>
                </c:pt>
                <c:pt idx="48">
                  <c:v>2.4799999999999999E-2</c:v>
                </c:pt>
                <c:pt idx="49">
                  <c:v>2.479E-2</c:v>
                </c:pt>
                <c:pt idx="50">
                  <c:v>2.4660000000000001E-2</c:v>
                </c:pt>
                <c:pt idx="51">
                  <c:v>2.4420000000000001E-2</c:v>
                </c:pt>
                <c:pt idx="52">
                  <c:v>2.443E-2</c:v>
                </c:pt>
                <c:pt idx="53">
                  <c:v>2.46E-2</c:v>
                </c:pt>
                <c:pt idx="54">
                  <c:v>2.4289999999999999E-2</c:v>
                </c:pt>
                <c:pt idx="55">
                  <c:v>2.3980000000000001E-2</c:v>
                </c:pt>
                <c:pt idx="56">
                  <c:v>2.3630000000000002E-2</c:v>
                </c:pt>
                <c:pt idx="57">
                  <c:v>2.3199999999999998E-2</c:v>
                </c:pt>
                <c:pt idx="58">
                  <c:v>2.2579999999999999E-2</c:v>
                </c:pt>
                <c:pt idx="59">
                  <c:v>2.1909999999999999E-2</c:v>
                </c:pt>
                <c:pt idx="60">
                  <c:v>2.1309999999999999E-2</c:v>
                </c:pt>
                <c:pt idx="61">
                  <c:v>2.0590000000000001E-2</c:v>
                </c:pt>
                <c:pt idx="62">
                  <c:v>1.9859999999999999E-2</c:v>
                </c:pt>
                <c:pt idx="63">
                  <c:v>1.9689999999999999E-2</c:v>
                </c:pt>
                <c:pt idx="64">
                  <c:v>1.9060000000000001E-2</c:v>
                </c:pt>
                <c:pt idx="65">
                  <c:v>1.821E-2</c:v>
                </c:pt>
                <c:pt idx="66">
                  <c:v>1.711E-2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F4-4D3F-81F7-2B6BEB4B4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915038"/>
        <c:axId val="1631820580"/>
      </c:lineChart>
      <c:catAx>
        <c:axId val="1878915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1820580"/>
        <c:crosses val="autoZero"/>
        <c:auto val="1"/>
        <c:lblAlgn val="ctr"/>
        <c:lblOffset val="100"/>
        <c:noMultiLvlLbl val="1"/>
      </c:catAx>
      <c:valAx>
        <c:axId val="1631820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89150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Jathua!$C$1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Jathua!$C$2:$C$67</c:f>
              <c:numCache>
                <c:formatCode>#,##0</c:formatCode>
                <c:ptCount val="66"/>
                <c:pt idx="0">
                  <c:v>13153870.456224238</c:v>
                </c:pt>
                <c:pt idx="1">
                  <c:v>12804562.004735066</c:v>
                </c:pt>
                <c:pt idx="2">
                  <c:v>12458223.394371536</c:v>
                </c:pt>
                <c:pt idx="3">
                  <c:v>12115358.741973681</c:v>
                </c:pt>
                <c:pt idx="4">
                  <c:v>11780097.176335182</c:v>
                </c:pt>
                <c:pt idx="5">
                  <c:v>11448547.248032169</c:v>
                </c:pt>
                <c:pt idx="6">
                  <c:v>11122113.224881886</c:v>
                </c:pt>
                <c:pt idx="7">
                  <c:v>10802258.354990615</c:v>
                </c:pt>
                <c:pt idx="8">
                  <c:v>10492519.188544773</c:v>
                </c:pt>
                <c:pt idx="9">
                  <c:v>10201272.848713987</c:v>
                </c:pt>
                <c:pt idx="10">
                  <c:v>9924768.7902184986</c:v>
                </c:pt>
                <c:pt idx="11">
                  <c:v>9661681.21084713</c:v>
                </c:pt>
                <c:pt idx="12">
                  <c:v>9413998.8997935615</c:v>
                </c:pt>
                <c:pt idx="13">
                  <c:v>9180806.4168066718</c:v>
                </c:pt>
                <c:pt idx="14">
                  <c:v>8959943.8020852692</c:v>
                </c:pt>
                <c:pt idx="15">
                  <c:v>8747211.6155940238</c:v>
                </c:pt>
                <c:pt idx="16">
                  <c:v>8541614.9438944831</c:v>
                </c:pt>
                <c:pt idx="17">
                  <c:v>8342316.9909799714</c:v>
                </c:pt>
                <c:pt idx="18">
                  <c:v>8156431.907801182</c:v>
                </c:pt>
                <c:pt idx="19">
                  <c:v>7993132.2166157234</c:v>
                </c:pt>
                <c:pt idx="20">
                  <c:v>7838786.5102293082</c:v>
                </c:pt>
                <c:pt idx="21">
                  <c:v>7687044.256603946</c:v>
                </c:pt>
                <c:pt idx="22">
                  <c:v>7864949.4123104075</c:v>
                </c:pt>
                <c:pt idx="23">
                  <c:v>7871325.1857108334</c:v>
                </c:pt>
                <c:pt idx="24">
                  <c:v>7640431.3503046278</c:v>
                </c:pt>
                <c:pt idx="25">
                  <c:v>7432398.515846096</c:v>
                </c:pt>
                <c:pt idx="26">
                  <c:v>7190370.6401003189</c:v>
                </c:pt>
                <c:pt idx="27">
                  <c:v>6877052.144401391</c:v>
                </c:pt>
                <c:pt idx="28">
                  <c:v>6556442.124512719</c:v>
                </c:pt>
                <c:pt idx="29">
                  <c:v>6189001.1275689509</c:v>
                </c:pt>
                <c:pt idx="30">
                  <c:v>5976477.5846584942</c:v>
                </c:pt>
                <c:pt idx="31">
                  <c:v>5756742.7152185999</c:v>
                </c:pt>
                <c:pt idx="32">
                  <c:v>5541670.4837444769</c:v>
                </c:pt>
                <c:pt idx="33">
                  <c:v>5331759.1269177264</c:v>
                </c:pt>
                <c:pt idx="34">
                  <c:v>5128910.708400487</c:v>
                </c:pt>
                <c:pt idx="35">
                  <c:v>4934444.2601095689</c:v>
                </c:pt>
                <c:pt idx="36">
                  <c:v>4748676.0529193636</c:v>
                </c:pt>
                <c:pt idx="37">
                  <c:v>4575229.1170904636</c:v>
                </c:pt>
                <c:pt idx="38">
                  <c:v>4416542.7365656598</c:v>
                </c:pt>
                <c:pt idx="39">
                  <c:v>4278186.1950187534</c:v>
                </c:pt>
                <c:pt idx="40">
                  <c:v>4154829.3127239789</c:v>
                </c:pt>
                <c:pt idx="41">
                  <c:v>4039894.3193387901</c:v>
                </c:pt>
                <c:pt idx="42">
                  <c:v>3931579.3093657633</c:v>
                </c:pt>
                <c:pt idx="43">
                  <c:v>3829671.7442512377</c:v>
                </c:pt>
                <c:pt idx="44">
                  <c:v>3733351.2811963712</c:v>
                </c:pt>
                <c:pt idx="45">
                  <c:v>3641157.1813642289</c:v>
                </c:pt>
                <c:pt idx="46">
                  <c:v>3553215.1074547241</c:v>
                </c:pt>
                <c:pt idx="47">
                  <c:v>3468175.4455303205</c:v>
                </c:pt>
                <c:pt idx="48">
                  <c:v>3384246.1412278698</c:v>
                </c:pt>
                <c:pt idx="49">
                  <c:v>3302380.1376163601</c:v>
                </c:pt>
                <c:pt idx="50">
                  <c:v>3222903.3412218299</c:v>
                </c:pt>
                <c:pt idx="51">
                  <c:v>3146076.1613613847</c:v>
                </c:pt>
                <c:pt idx="52">
                  <c:v>3071050.4000872532</c:v>
                </c:pt>
                <c:pt idx="53">
                  <c:v>2997316.4162475634</c:v>
                </c:pt>
                <c:pt idx="54">
                  <c:v>2926238.0929693384</c:v>
                </c:pt>
                <c:pt idx="55">
                  <c:v>2857710.2023177589</c:v>
                </c:pt>
                <c:pt idx="56">
                  <c:v>2791741.3541199053</c:v>
                </c:pt>
                <c:pt idx="57">
                  <c:v>2728441.5110632377</c:v>
                </c:pt>
                <c:pt idx="58">
                  <c:v>2668193.6973764766</c:v>
                </c:pt>
                <c:pt idx="59">
                  <c:v>2610986.9728023764</c:v>
                </c:pt>
                <c:pt idx="60">
                  <c:v>2556507.7917599715</c:v>
                </c:pt>
                <c:pt idx="61">
                  <c:v>2504931.2571747433</c:v>
                </c:pt>
                <c:pt idx="62">
                  <c:v>2456152.0769269736</c:v>
                </c:pt>
                <c:pt idx="63">
                  <c:v>2408724.2955476404</c:v>
                </c:pt>
                <c:pt idx="64">
                  <c:v>2363672.6940000001</c:v>
                </c:pt>
                <c:pt idx="65">
                  <c:v>2321400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1-4E67-9392-10859CAB7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224942"/>
        <c:axId val="109213727"/>
      </c:lineChart>
      <c:catAx>
        <c:axId val="189122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213727"/>
        <c:crosses val="autoZero"/>
        <c:auto val="1"/>
        <c:lblAlgn val="ctr"/>
        <c:lblOffset val="100"/>
        <c:noMultiLvlLbl val="1"/>
      </c:catAx>
      <c:valAx>
        <c:axId val="109213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224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Jau!$D$1:$D$67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2.043E-2</c:v>
                </c:pt>
                <c:pt idx="2">
                  <c:v>2.1559999999999999E-2</c:v>
                </c:pt>
                <c:pt idx="3">
                  <c:v>2.3990000000000001E-2</c:v>
                </c:pt>
                <c:pt idx="4">
                  <c:v>2.2089999999999999E-2</c:v>
                </c:pt>
                <c:pt idx="5">
                  <c:v>2.281E-2</c:v>
                </c:pt>
                <c:pt idx="6">
                  <c:v>1.924E-2</c:v>
                </c:pt>
                <c:pt idx="7">
                  <c:v>1.9120000000000002E-2</c:v>
                </c:pt>
                <c:pt idx="8">
                  <c:v>1.864E-2</c:v>
                </c:pt>
                <c:pt idx="9">
                  <c:v>1.8700000000000001E-2</c:v>
                </c:pt>
                <c:pt idx="10">
                  <c:v>1.9050000000000001E-2</c:v>
                </c:pt>
                <c:pt idx="11">
                  <c:v>2.002E-2</c:v>
                </c:pt>
                <c:pt idx="12">
                  <c:v>2.043E-2</c:v>
                </c:pt>
                <c:pt idx="13">
                  <c:v>2.086E-2</c:v>
                </c:pt>
                <c:pt idx="14">
                  <c:v>2.1049999999999999E-2</c:v>
                </c:pt>
                <c:pt idx="15">
                  <c:v>2.103E-2</c:v>
                </c:pt>
                <c:pt idx="16">
                  <c:v>2.146E-2</c:v>
                </c:pt>
                <c:pt idx="17">
                  <c:v>2.1770000000000001E-2</c:v>
                </c:pt>
                <c:pt idx="18">
                  <c:v>2.2859999999999998E-2</c:v>
                </c:pt>
                <c:pt idx="19">
                  <c:v>2.0820000000000002E-2</c:v>
                </c:pt>
                <c:pt idx="20">
                  <c:v>2.0629999999999999E-2</c:v>
                </c:pt>
                <c:pt idx="21">
                  <c:v>2.0840000000000001E-2</c:v>
                </c:pt>
                <c:pt idx="22">
                  <c:v>2.1250000000000002E-2</c:v>
                </c:pt>
                <c:pt idx="23">
                  <c:v>2.1839999999999998E-2</c:v>
                </c:pt>
                <c:pt idx="24">
                  <c:v>2.4340000000000001E-2</c:v>
                </c:pt>
                <c:pt idx="25">
                  <c:v>2.3439999999999999E-2</c:v>
                </c:pt>
                <c:pt idx="26">
                  <c:v>3.1820000000000001E-2</c:v>
                </c:pt>
                <c:pt idx="27">
                  <c:v>2.6700000000000002E-2</c:v>
                </c:pt>
                <c:pt idx="28">
                  <c:v>2.776E-2</c:v>
                </c:pt>
                <c:pt idx="29">
                  <c:v>2.785E-2</c:v>
                </c:pt>
                <c:pt idx="30">
                  <c:v>2.7609999999999999E-2</c:v>
                </c:pt>
                <c:pt idx="31">
                  <c:v>2.9590000000000002E-2</c:v>
                </c:pt>
                <c:pt idx="32">
                  <c:v>2.9940000000000001E-2</c:v>
                </c:pt>
                <c:pt idx="33">
                  <c:v>3.0300000000000001E-2</c:v>
                </c:pt>
                <c:pt idx="34">
                  <c:v>2.8230000000000002E-2</c:v>
                </c:pt>
                <c:pt idx="35">
                  <c:v>2.682E-2</c:v>
                </c:pt>
                <c:pt idx="36">
                  <c:v>2.691E-2</c:v>
                </c:pt>
                <c:pt idx="37">
                  <c:v>2.5239999999999999E-2</c:v>
                </c:pt>
                <c:pt idx="38">
                  <c:v>2.4750000000000001E-2</c:v>
                </c:pt>
                <c:pt idx="39">
                  <c:v>2.4340000000000001E-2</c:v>
                </c:pt>
                <c:pt idx="40">
                  <c:v>2.299E-2</c:v>
                </c:pt>
                <c:pt idx="41">
                  <c:v>2.3810000000000001E-2</c:v>
                </c:pt>
                <c:pt idx="42">
                  <c:v>2.333E-2</c:v>
                </c:pt>
                <c:pt idx="43">
                  <c:v>2.2890000000000001E-2</c:v>
                </c:pt>
                <c:pt idx="44">
                  <c:v>2.3109999999999999E-2</c:v>
                </c:pt>
                <c:pt idx="45">
                  <c:v>2.291E-2</c:v>
                </c:pt>
                <c:pt idx="46">
                  <c:v>2.3310000000000001E-2</c:v>
                </c:pt>
                <c:pt idx="47">
                  <c:v>2.419E-2</c:v>
                </c:pt>
                <c:pt idx="48">
                  <c:v>2.4510000000000001E-2</c:v>
                </c:pt>
                <c:pt idx="49">
                  <c:v>2.47E-2</c:v>
                </c:pt>
                <c:pt idx="50">
                  <c:v>2.4979999999999999E-2</c:v>
                </c:pt>
                <c:pt idx="51">
                  <c:v>2.5149999999999999E-2</c:v>
                </c:pt>
                <c:pt idx="52">
                  <c:v>2.58E-2</c:v>
                </c:pt>
                <c:pt idx="53">
                  <c:v>2.6259999999999999E-2</c:v>
                </c:pt>
                <c:pt idx="54">
                  <c:v>2.632E-2</c:v>
                </c:pt>
                <c:pt idx="55">
                  <c:v>2.632E-2</c:v>
                </c:pt>
                <c:pt idx="56">
                  <c:v>2.537E-2</c:v>
                </c:pt>
                <c:pt idx="57">
                  <c:v>2.504E-2</c:v>
                </c:pt>
                <c:pt idx="58">
                  <c:v>2.3290000000000002E-2</c:v>
                </c:pt>
                <c:pt idx="59">
                  <c:v>2.4629999999999999E-2</c:v>
                </c:pt>
                <c:pt idx="60">
                  <c:v>2.4549999999999999E-2</c:v>
                </c:pt>
                <c:pt idx="61">
                  <c:v>2.461E-2</c:v>
                </c:pt>
                <c:pt idx="62">
                  <c:v>2.4969999999999999E-2</c:v>
                </c:pt>
                <c:pt idx="63">
                  <c:v>2.461E-2</c:v>
                </c:pt>
                <c:pt idx="64">
                  <c:v>2.358E-2</c:v>
                </c:pt>
                <c:pt idx="65">
                  <c:v>2.2069999999999999E-2</c:v>
                </c:pt>
                <c:pt idx="66">
                  <c:v>2.0740000000000001E-2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2A-4F2A-850E-F8988D6F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017713"/>
        <c:axId val="1640384149"/>
      </c:lineChart>
      <c:catAx>
        <c:axId val="211601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0384149"/>
        <c:crosses val="autoZero"/>
        <c:auto val="1"/>
        <c:lblAlgn val="ctr"/>
        <c:lblOffset val="100"/>
        <c:noMultiLvlLbl val="1"/>
      </c:catAx>
      <c:valAx>
        <c:axId val="1640384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60177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Jau!$C$1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Jau!$C$2:$C$67</c:f>
              <c:numCache>
                <c:formatCode>#,##0</c:formatCode>
                <c:ptCount val="66"/>
                <c:pt idx="0">
                  <c:v>22993508.527761962</c:v>
                </c:pt>
                <c:pt idx="1">
                  <c:v>22533156.147665165</c:v>
                </c:pt>
                <c:pt idx="2">
                  <c:v>22057594.412139438</c:v>
                </c:pt>
                <c:pt idx="3">
                  <c:v>21540829.902771939</c:v>
                </c:pt>
                <c:pt idx="4">
                  <c:v>21075277.033110529</c:v>
                </c:pt>
                <c:pt idx="5">
                  <c:v>20605270.806025095</c:v>
                </c:pt>
                <c:pt idx="6">
                  <c:v>20216309.02047123</c:v>
                </c:pt>
                <c:pt idx="7">
                  <c:v>19837025.100548737</c:v>
                </c:pt>
                <c:pt idx="8">
                  <c:v>19474029.196329162</c:v>
                </c:pt>
                <c:pt idx="9">
                  <c:v>19116549.716628216</c:v>
                </c:pt>
                <c:pt idx="10">
                  <c:v>18759187.200459462</c:v>
                </c:pt>
                <c:pt idx="11">
                  <c:v>18390999.392619226</c:v>
                </c:pt>
                <c:pt idx="12">
                  <c:v>18022793.716981299</c:v>
                </c:pt>
                <c:pt idx="13">
                  <c:v>17654520.420999251</c:v>
                </c:pt>
                <c:pt idx="14">
                  <c:v>17290554.253953528</c:v>
                </c:pt>
                <c:pt idx="15">
                  <c:v>16934423.331296362</c:v>
                </c:pt>
                <c:pt idx="16">
                  <c:v>16578645.596789265</c:v>
                </c:pt>
                <c:pt idx="17">
                  <c:v>16225418.241668148</c:v>
                </c:pt>
                <c:pt idx="18">
                  <c:v>15862794.753600832</c:v>
                </c:pt>
                <c:pt idx="19">
                  <c:v>15539267.210282745</c:v>
                </c:pt>
                <c:pt idx="20">
                  <c:v>15225171.913703052</c:v>
                </c:pt>
                <c:pt idx="21">
                  <c:v>14914356.719665229</c:v>
                </c:pt>
                <c:pt idx="22">
                  <c:v>14604021.267726051</c:v>
                </c:pt>
                <c:pt idx="23">
                  <c:v>14291886.467280641</c:v>
                </c:pt>
                <c:pt idx="24">
                  <c:v>13952287.782650918</c:v>
                </c:pt>
                <c:pt idx="25">
                  <c:v>13632736.440485928</c:v>
                </c:pt>
                <c:pt idx="26">
                  <c:v>13212320.405192697</c:v>
                </c:pt>
                <c:pt idx="27">
                  <c:v>12868725.436050158</c:v>
                </c:pt>
                <c:pt idx="28">
                  <c:v>12521138.627743986</c:v>
                </c:pt>
                <c:pt idx="29">
                  <c:v>12181873.45210292</c:v>
                </c:pt>
                <c:pt idx="30">
                  <c:v>11854568.807332471</c:v>
                </c:pt>
                <c:pt idx="31">
                  <c:v>11513873.29648935</c:v>
                </c:pt>
                <c:pt idx="32">
                  <c:v>11179168.977308726</c:v>
                </c:pt>
                <c:pt idx="33">
                  <c:v>10850401.8026873</c:v>
                </c:pt>
                <c:pt idx="34">
                  <c:v>10552504.597888896</c:v>
                </c:pt>
                <c:pt idx="35">
                  <c:v>10276878.710863536</c:v>
                </c:pt>
                <c:pt idx="36">
                  <c:v>10007574.871082701</c:v>
                </c:pt>
                <c:pt idx="37">
                  <c:v>9761202.1293382049</c:v>
                </c:pt>
                <c:pt idx="38">
                  <c:v>9525447.3084539678</c:v>
                </c:pt>
                <c:pt idx="39">
                  <c:v>9299107.0430266969</c:v>
                </c:pt>
                <c:pt idx="40">
                  <c:v>9090125.0677198172</c:v>
                </c:pt>
                <c:pt idx="41">
                  <c:v>8878722.6806925274</c:v>
                </c:pt>
                <c:pt idx="42">
                  <c:v>8676304.4967825897</c:v>
                </c:pt>
                <c:pt idx="43">
                  <c:v>8482148.1261744555</c:v>
                </c:pt>
                <c:pt idx="44">
                  <c:v>8290553.4362624316</c:v>
                </c:pt>
                <c:pt idx="45">
                  <c:v>8104870.8451989247</c:v>
                </c:pt>
                <c:pt idx="46">
                  <c:v>7920249.8218515655</c:v>
                </c:pt>
                <c:pt idx="47">
                  <c:v>7733184.0985086421</c:v>
                </c:pt>
                <c:pt idx="48">
                  <c:v>7548178.2496106839</c:v>
                </c:pt>
                <c:pt idx="49">
                  <c:v>7366232.3115162337</c:v>
                </c:pt>
                <c:pt idx="50">
                  <c:v>7186708.3372516865</c:v>
                </c:pt>
                <c:pt idx="51">
                  <c:v>7010396.8563153548</c:v>
                </c:pt>
                <c:pt idx="52">
                  <c:v>6834077.6528712753</c:v>
                </c:pt>
                <c:pt idx="53">
                  <c:v>6659206.880197295</c:v>
                </c:pt>
                <c:pt idx="54">
                  <c:v>6488431.3666276559</c:v>
                </c:pt>
                <c:pt idx="55">
                  <c:v>6322035.3950304547</c:v>
                </c:pt>
                <c:pt idx="56">
                  <c:v>6165613.7735943664</c:v>
                </c:pt>
                <c:pt idx="57">
                  <c:v>6014998.2182103787</c:v>
                </c:pt>
                <c:pt idx="58">
                  <c:v>5878097.3313629357</c:v>
                </c:pt>
                <c:pt idx="59">
                  <c:v>5736799.9486282226</c:v>
                </c:pt>
                <c:pt idx="60">
                  <c:v>5599336.2438419033</c:v>
                </c:pt>
                <c:pt idx="61">
                  <c:v>5464846.3745638859</c:v>
                </c:pt>
                <c:pt idx="62">
                  <c:v>5331713.488749804</c:v>
                </c:pt>
                <c:pt idx="63">
                  <c:v>5203651.6223244006</c:v>
                </c:pt>
                <c:pt idx="64">
                  <c:v>5083776.1800000006</c:v>
                </c:pt>
                <c:pt idx="65">
                  <c:v>4974000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A-4B7A-B35F-DFB807C7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45072"/>
        <c:axId val="1158667585"/>
      </c:lineChart>
      <c:catAx>
        <c:axId val="8094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8667585"/>
        <c:crosses val="autoZero"/>
        <c:auto val="1"/>
        <c:lblAlgn val="ctr"/>
        <c:lblOffset val="100"/>
        <c:noMultiLvlLbl val="1"/>
      </c:catAx>
      <c:valAx>
        <c:axId val="1158667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450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Jshain!$D$1:$D$67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1.2160000000000001E-2</c:v>
                </c:pt>
                <c:pt idx="2">
                  <c:v>1.2959999999999999E-2</c:v>
                </c:pt>
                <c:pt idx="3">
                  <c:v>1.354E-2</c:v>
                </c:pt>
                <c:pt idx="4">
                  <c:v>1.363E-2</c:v>
                </c:pt>
                <c:pt idx="5">
                  <c:v>1.213E-2</c:v>
                </c:pt>
                <c:pt idx="6">
                  <c:v>1.163E-2</c:v>
                </c:pt>
                <c:pt idx="7">
                  <c:v>1.047E-2</c:v>
                </c:pt>
                <c:pt idx="8">
                  <c:v>1.26E-2</c:v>
                </c:pt>
                <c:pt idx="9">
                  <c:v>1.3129999999999999E-2</c:v>
                </c:pt>
                <c:pt idx="10">
                  <c:v>1.354E-2</c:v>
                </c:pt>
                <c:pt idx="11">
                  <c:v>1.2829999999999999E-2</c:v>
                </c:pt>
                <c:pt idx="12">
                  <c:v>1.23E-2</c:v>
                </c:pt>
                <c:pt idx="13">
                  <c:v>8.8400000000000006E-3</c:v>
                </c:pt>
                <c:pt idx="14">
                  <c:v>8.9499999999999996E-3</c:v>
                </c:pt>
                <c:pt idx="15">
                  <c:v>8.9899999999999997E-3</c:v>
                </c:pt>
                <c:pt idx="16">
                  <c:v>9.7599999999999996E-3</c:v>
                </c:pt>
                <c:pt idx="17">
                  <c:v>8.5000000000000006E-3</c:v>
                </c:pt>
                <c:pt idx="18">
                  <c:v>1.0030000000000001E-2</c:v>
                </c:pt>
                <c:pt idx="19">
                  <c:v>1.244E-2</c:v>
                </c:pt>
                <c:pt idx="20">
                  <c:v>1.427E-2</c:v>
                </c:pt>
                <c:pt idx="21">
                  <c:v>1.4460000000000001E-2</c:v>
                </c:pt>
                <c:pt idx="22">
                  <c:v>1.435E-2</c:v>
                </c:pt>
                <c:pt idx="23">
                  <c:v>1.338E-2</c:v>
                </c:pt>
                <c:pt idx="24">
                  <c:v>1.2999999999999999E-2</c:v>
                </c:pt>
                <c:pt idx="25">
                  <c:v>1.1849999999999999E-2</c:v>
                </c:pt>
                <c:pt idx="26">
                  <c:v>1.103E-2</c:v>
                </c:pt>
                <c:pt idx="27">
                  <c:v>6.5900000000000004E-3</c:v>
                </c:pt>
                <c:pt idx="28">
                  <c:v>1.7670000000000002E-2</c:v>
                </c:pt>
                <c:pt idx="29">
                  <c:v>1.18E-2</c:v>
                </c:pt>
                <c:pt idx="30">
                  <c:v>1.3100000000000001E-2</c:v>
                </c:pt>
                <c:pt idx="31">
                  <c:v>1.3650000000000001E-2</c:v>
                </c:pt>
                <c:pt idx="32">
                  <c:v>1.406E-2</c:v>
                </c:pt>
                <c:pt idx="33">
                  <c:v>1.721E-2</c:v>
                </c:pt>
                <c:pt idx="34">
                  <c:v>1.6660000000000001E-2</c:v>
                </c:pt>
                <c:pt idx="35">
                  <c:v>1.6209999999999999E-2</c:v>
                </c:pt>
                <c:pt idx="36">
                  <c:v>1.5640000000000001E-2</c:v>
                </c:pt>
                <c:pt idx="37">
                  <c:v>1.566E-2</c:v>
                </c:pt>
                <c:pt idx="38">
                  <c:v>2.095E-2</c:v>
                </c:pt>
                <c:pt idx="39">
                  <c:v>2.486E-2</c:v>
                </c:pt>
                <c:pt idx="40">
                  <c:v>2.5139999999999999E-2</c:v>
                </c:pt>
                <c:pt idx="41">
                  <c:v>1.729E-2</c:v>
                </c:pt>
                <c:pt idx="42">
                  <c:v>1.7239999999999998E-2</c:v>
                </c:pt>
                <c:pt idx="43">
                  <c:v>1.738E-2</c:v>
                </c:pt>
                <c:pt idx="44">
                  <c:v>1.788E-2</c:v>
                </c:pt>
                <c:pt idx="45">
                  <c:v>1.866E-2</c:v>
                </c:pt>
                <c:pt idx="46">
                  <c:v>1.9439999999999999E-2</c:v>
                </c:pt>
                <c:pt idx="47">
                  <c:v>2.034E-2</c:v>
                </c:pt>
                <c:pt idx="48">
                  <c:v>2.155E-2</c:v>
                </c:pt>
                <c:pt idx="49">
                  <c:v>2.283E-2</c:v>
                </c:pt>
                <c:pt idx="50">
                  <c:v>2.5190000000000001E-2</c:v>
                </c:pt>
                <c:pt idx="51">
                  <c:v>2.6669999999999999E-2</c:v>
                </c:pt>
                <c:pt idx="52">
                  <c:v>2.8830000000000001E-2</c:v>
                </c:pt>
                <c:pt idx="53">
                  <c:v>3.0509999999999999E-2</c:v>
                </c:pt>
                <c:pt idx="54">
                  <c:v>3.1109999999999999E-2</c:v>
                </c:pt>
                <c:pt idx="55">
                  <c:v>3.1390000000000001E-2</c:v>
                </c:pt>
                <c:pt idx="56">
                  <c:v>3.1029999999999999E-2</c:v>
                </c:pt>
                <c:pt idx="57">
                  <c:v>3.0079999999999999E-2</c:v>
                </c:pt>
                <c:pt idx="58">
                  <c:v>2.8809999999999999E-2</c:v>
                </c:pt>
                <c:pt idx="59">
                  <c:v>2.7310000000000001E-2</c:v>
                </c:pt>
                <c:pt idx="60">
                  <c:v>2.5729999999999999E-2</c:v>
                </c:pt>
                <c:pt idx="61">
                  <c:v>2.4029999999999999E-2</c:v>
                </c:pt>
                <c:pt idx="62">
                  <c:v>2.231E-2</c:v>
                </c:pt>
                <c:pt idx="63">
                  <c:v>2.0740000000000001E-2</c:v>
                </c:pt>
                <c:pt idx="64">
                  <c:v>1.925E-2</c:v>
                </c:pt>
                <c:pt idx="65">
                  <c:v>1.7940000000000001E-2</c:v>
                </c:pt>
                <c:pt idx="66">
                  <c:v>1.6979999999999999E-2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2C-48FA-BBEB-E69E8D860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868684"/>
        <c:axId val="36204706"/>
      </c:lineChart>
      <c:catAx>
        <c:axId val="248868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204706"/>
        <c:crosses val="autoZero"/>
        <c:auto val="1"/>
        <c:lblAlgn val="ctr"/>
        <c:lblOffset val="100"/>
        <c:noMultiLvlLbl val="1"/>
      </c:catAx>
      <c:valAx>
        <c:axId val="3620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88686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Jshain!$C$1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Jshain!$C$2:$C$67</c:f>
              <c:numCache>
                <c:formatCode>#,##0</c:formatCode>
                <c:ptCount val="66"/>
                <c:pt idx="0">
                  <c:v>12584591.775440041</c:v>
                </c:pt>
                <c:pt idx="1">
                  <c:v>12433401.611840066</c:v>
                </c:pt>
                <c:pt idx="2">
                  <c:v>12274326.342442015</c:v>
                </c:pt>
                <c:pt idx="3">
                  <c:v>12110352.174005972</c:v>
                </c:pt>
                <c:pt idx="4">
                  <c:v>11947507.644807249</c:v>
                </c:pt>
                <c:pt idx="5">
                  <c:v>11804321.228307875</c:v>
                </c:pt>
                <c:pt idx="6">
                  <c:v>11668615.233146382</c:v>
                </c:pt>
                <c:pt idx="7">
                  <c:v>11547710.702095443</c:v>
                </c:pt>
                <c:pt idx="8">
                  <c:v>11404020.049472095</c:v>
                </c:pt>
                <c:pt idx="9">
                  <c:v>11256225.804656949</c:v>
                </c:pt>
                <c:pt idx="10">
                  <c:v>11105852.560981261</c:v>
                </c:pt>
                <c:pt idx="11">
                  <c:v>10965169.437103227</c:v>
                </c:pt>
                <c:pt idx="12">
                  <c:v>10831936.616717601</c:v>
                </c:pt>
                <c:pt idx="13">
                  <c:v>10737021.34800127</c:v>
                </c:pt>
                <c:pt idx="14">
                  <c:v>10641777.439914038</c:v>
                </c:pt>
                <c:pt idx="15">
                  <c:v>10546960.267112695</c:v>
                </c:pt>
                <c:pt idx="16">
                  <c:v>10445016.902147733</c:v>
                </c:pt>
                <c:pt idx="17">
                  <c:v>10356982.550468748</c:v>
                </c:pt>
                <c:pt idx="18">
                  <c:v>10254133.590555478</c:v>
                </c:pt>
                <c:pt idx="19">
                  <c:v>10128139.534743272</c:v>
                </c:pt>
                <c:pt idx="20">
                  <c:v>9985644.3893078491</c:v>
                </c:pt>
                <c:pt idx="21">
                  <c:v>9843310.1249017697</c:v>
                </c:pt>
                <c:pt idx="22">
                  <c:v>9704056.908268122</c:v>
                </c:pt>
                <c:pt idx="23">
                  <c:v>9575930.9521286413</c:v>
                </c:pt>
                <c:pt idx="24">
                  <c:v>9453041.4137498941</c:v>
                </c:pt>
                <c:pt idx="25">
                  <c:v>9342334.7469979692</c:v>
                </c:pt>
                <c:pt idx="26">
                  <c:v>9240412.9916995224</c:v>
                </c:pt>
                <c:pt idx="27">
                  <c:v>9179917.3364523016</c:v>
                </c:pt>
                <c:pt idx="28">
                  <c:v>9020524.665610956</c:v>
                </c:pt>
                <c:pt idx="29">
                  <c:v>8915323.8442488201</c:v>
                </c:pt>
                <c:pt idx="30">
                  <c:v>8800043.2773159798</c:v>
                </c:pt>
                <c:pt idx="31">
                  <c:v>8681540.2528643813</c:v>
                </c:pt>
                <c:pt idx="32">
                  <c:v>8561170.1998544279</c:v>
                </c:pt>
                <c:pt idx="33">
                  <c:v>8416325.2424321715</c:v>
                </c:pt>
                <c:pt idx="34">
                  <c:v>8278406.9821102154</c:v>
                </c:pt>
                <c:pt idx="35">
                  <c:v>8146354.5744582471</c:v>
                </c:pt>
                <c:pt idx="36">
                  <c:v>8020907.5799084781</c:v>
                </c:pt>
                <c:pt idx="37">
                  <c:v>7897236.8508245656</c:v>
                </c:pt>
                <c:pt idx="38">
                  <c:v>7735184.7307160636</c:v>
                </c:pt>
                <c:pt idx="39">
                  <c:v>7547552.5737330588</c:v>
                </c:pt>
                <c:pt idx="40">
                  <c:v>7362460.3212566664</c:v>
                </c:pt>
                <c:pt idx="41">
                  <c:v>7237326.938490171</c:v>
                </c:pt>
                <c:pt idx="42">
                  <c:v>7114670.0272208834</c:v>
                </c:pt>
                <c:pt idx="43">
                  <c:v>6993129.4375954745</c:v>
                </c:pt>
                <c:pt idx="44">
                  <c:v>6870288.6760673905</c:v>
                </c:pt>
                <c:pt idx="45">
                  <c:v>6744437.472824486</c:v>
                </c:pt>
                <c:pt idx="46">
                  <c:v>6615825.8189049736</c:v>
                </c:pt>
                <c:pt idx="47">
                  <c:v>6483942.4298811899</c:v>
                </c:pt>
                <c:pt idx="48">
                  <c:v>6347161.1080037104</c:v>
                </c:pt>
                <c:pt idx="49">
                  <c:v>6205489.7764083091</c:v>
                </c:pt>
                <c:pt idx="50">
                  <c:v>6053014.3450563401</c:v>
                </c:pt>
                <c:pt idx="51">
                  <c:v>5895774.0511131529</c:v>
                </c:pt>
                <c:pt idx="52">
                  <c:v>5730561.9500920009</c:v>
                </c:pt>
                <c:pt idx="53">
                  <c:v>5560898.9239231069</c:v>
                </c:pt>
                <c:pt idx="54">
                  <c:v>5393118.9920795131</c:v>
                </c:pt>
                <c:pt idx="55">
                  <c:v>5228981.2700137803</c:v>
                </c:pt>
                <c:pt idx="56">
                  <c:v>5071609.2354381355</c:v>
                </c:pt>
                <c:pt idx="57">
                  <c:v>4923510.053042613</c:v>
                </c:pt>
                <c:pt idx="58">
                  <c:v>4785635.8832462877</c:v>
                </c:pt>
                <c:pt idx="59">
                  <c:v>4658414.581038136</c:v>
                </c:pt>
                <c:pt idx="60">
                  <c:v>4541560.2361616958</c:v>
                </c:pt>
                <c:pt idx="61">
                  <c:v>4434987.4868526272</c:v>
                </c:pt>
                <c:pt idx="62">
                  <c:v>4338202.1958629256</c:v>
                </c:pt>
                <c:pt idx="63">
                  <c:v>4250056.0337235006</c:v>
                </c:pt>
                <c:pt idx="64">
                  <c:v>4169787.6220000004</c:v>
                </c:pt>
                <c:pt idx="65">
                  <c:v>4096300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E-4577-9098-C62C38B1C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573096"/>
        <c:axId val="1814624780"/>
      </c:lineChart>
      <c:catAx>
        <c:axId val="1277573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4624780"/>
        <c:crosses val="autoZero"/>
        <c:auto val="1"/>
        <c:lblAlgn val="ctr"/>
        <c:lblOffset val="100"/>
        <c:noMultiLvlLbl val="1"/>
      </c:catAx>
      <c:valAx>
        <c:axId val="1814624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75730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Kaastini!$D$1:$D$67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2.1649999999999999E-2</c:v>
                </c:pt>
                <c:pt idx="2">
                  <c:v>2.147E-2</c:v>
                </c:pt>
                <c:pt idx="3">
                  <c:v>2.0959999999999999E-2</c:v>
                </c:pt>
                <c:pt idx="4">
                  <c:v>1.899E-2</c:v>
                </c:pt>
                <c:pt idx="5">
                  <c:v>1.7299999999999999E-2</c:v>
                </c:pt>
                <c:pt idx="6">
                  <c:v>1.4590000000000001E-2</c:v>
                </c:pt>
                <c:pt idx="7">
                  <c:v>1.2529999999999999E-2</c:v>
                </c:pt>
                <c:pt idx="8">
                  <c:v>1.078E-2</c:v>
                </c:pt>
                <c:pt idx="9">
                  <c:v>9.4000000000000004E-3</c:v>
                </c:pt>
                <c:pt idx="10">
                  <c:v>8.4799999999999997E-3</c:v>
                </c:pt>
                <c:pt idx="11">
                  <c:v>8.0700000000000008E-3</c:v>
                </c:pt>
                <c:pt idx="12">
                  <c:v>8.1200000000000005E-3</c:v>
                </c:pt>
                <c:pt idx="13">
                  <c:v>8.4499999999999992E-3</c:v>
                </c:pt>
                <c:pt idx="14">
                  <c:v>8.8599999999999998E-3</c:v>
                </c:pt>
                <c:pt idx="15">
                  <c:v>9.1199999999999996E-3</c:v>
                </c:pt>
                <c:pt idx="16">
                  <c:v>9.1400000000000006E-3</c:v>
                </c:pt>
                <c:pt idx="17">
                  <c:v>8.1600000000000006E-3</c:v>
                </c:pt>
                <c:pt idx="18">
                  <c:v>9.3900000000000008E-3</c:v>
                </c:pt>
                <c:pt idx="19">
                  <c:v>1.0319999999999999E-2</c:v>
                </c:pt>
                <c:pt idx="20">
                  <c:v>1.128E-2</c:v>
                </c:pt>
                <c:pt idx="21">
                  <c:v>1.234E-2</c:v>
                </c:pt>
                <c:pt idx="22">
                  <c:v>1.349E-2</c:v>
                </c:pt>
                <c:pt idx="23">
                  <c:v>1.4670000000000001E-2</c:v>
                </c:pt>
                <c:pt idx="24">
                  <c:v>1.5820000000000001E-2</c:v>
                </c:pt>
                <c:pt idx="25">
                  <c:v>1.6920000000000001E-2</c:v>
                </c:pt>
                <c:pt idx="26">
                  <c:v>1.8069999999999999E-2</c:v>
                </c:pt>
                <c:pt idx="27">
                  <c:v>1.9619999999999999E-2</c:v>
                </c:pt>
                <c:pt idx="28">
                  <c:v>2.6040000000000001E-2</c:v>
                </c:pt>
                <c:pt idx="29">
                  <c:v>2.6200000000000001E-2</c:v>
                </c:pt>
                <c:pt idx="30">
                  <c:v>2.572E-2</c:v>
                </c:pt>
                <c:pt idx="31">
                  <c:v>2.5100000000000001E-2</c:v>
                </c:pt>
                <c:pt idx="32">
                  <c:v>2.46E-2</c:v>
                </c:pt>
                <c:pt idx="33">
                  <c:v>2.4279999999999999E-2</c:v>
                </c:pt>
                <c:pt idx="34">
                  <c:v>2.4119999999999999E-2</c:v>
                </c:pt>
                <c:pt idx="35">
                  <c:v>2.4080000000000001E-2</c:v>
                </c:pt>
                <c:pt idx="36">
                  <c:v>2.4150000000000001E-2</c:v>
                </c:pt>
                <c:pt idx="37">
                  <c:v>2.4250000000000001E-2</c:v>
                </c:pt>
                <c:pt idx="38">
                  <c:v>2.5999999999999999E-2</c:v>
                </c:pt>
                <c:pt idx="39">
                  <c:v>2.8129999999999999E-2</c:v>
                </c:pt>
                <c:pt idx="40">
                  <c:v>2.8889999999999999E-2</c:v>
                </c:pt>
                <c:pt idx="41">
                  <c:v>2.8920000000000001E-2</c:v>
                </c:pt>
                <c:pt idx="42">
                  <c:v>2.8670000000000001E-2</c:v>
                </c:pt>
                <c:pt idx="43">
                  <c:v>2.8209999999999999E-2</c:v>
                </c:pt>
                <c:pt idx="44">
                  <c:v>2.76E-2</c:v>
                </c:pt>
                <c:pt idx="45">
                  <c:v>2.69E-2</c:v>
                </c:pt>
                <c:pt idx="46">
                  <c:v>2.6110000000000001E-2</c:v>
                </c:pt>
                <c:pt idx="47">
                  <c:v>2.5479999999999999E-2</c:v>
                </c:pt>
                <c:pt idx="48">
                  <c:v>2.647E-2</c:v>
                </c:pt>
                <c:pt idx="49">
                  <c:v>2.7830000000000001E-2</c:v>
                </c:pt>
                <c:pt idx="50">
                  <c:v>2.8510000000000001E-2</c:v>
                </c:pt>
                <c:pt idx="51">
                  <c:v>2.828E-2</c:v>
                </c:pt>
                <c:pt idx="52">
                  <c:v>2.7179999999999999E-2</c:v>
                </c:pt>
                <c:pt idx="53">
                  <c:v>2.5989999999999999E-2</c:v>
                </c:pt>
                <c:pt idx="54">
                  <c:v>3.073E-2</c:v>
                </c:pt>
                <c:pt idx="55">
                  <c:v>3.2030000000000003E-2</c:v>
                </c:pt>
                <c:pt idx="56">
                  <c:v>3.177E-2</c:v>
                </c:pt>
                <c:pt idx="57">
                  <c:v>3.0939999999999999E-2</c:v>
                </c:pt>
                <c:pt idx="58">
                  <c:v>2.93E-2</c:v>
                </c:pt>
                <c:pt idx="59">
                  <c:v>2.819E-2</c:v>
                </c:pt>
                <c:pt idx="60">
                  <c:v>2.801E-2</c:v>
                </c:pt>
                <c:pt idx="61">
                  <c:v>1.7999999999999999E-2</c:v>
                </c:pt>
                <c:pt idx="62">
                  <c:v>1.686E-2</c:v>
                </c:pt>
                <c:pt idx="63">
                  <c:v>1.6369999999999999E-2</c:v>
                </c:pt>
                <c:pt idx="64">
                  <c:v>1.6039999999999999E-2</c:v>
                </c:pt>
                <c:pt idx="65">
                  <c:v>1.584E-2</c:v>
                </c:pt>
                <c:pt idx="66">
                  <c:v>1.6240000000000001E-2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68-4299-936B-938A5169E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283790"/>
        <c:axId val="1994261589"/>
      </c:lineChart>
      <c:catAx>
        <c:axId val="310283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261589"/>
        <c:crosses val="autoZero"/>
        <c:auto val="1"/>
        <c:lblAlgn val="ctr"/>
        <c:lblOffset val="100"/>
        <c:noMultiLvlLbl val="1"/>
      </c:catAx>
      <c:valAx>
        <c:axId val="1994261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02837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Kaastini!$C$1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Kaastini!$C$2:$C$67</c:f>
              <c:numCache>
                <c:formatCode>#,##0</c:formatCode>
                <c:ptCount val="66"/>
                <c:pt idx="0">
                  <c:v>4348249.0110484492</c:v>
                </c:pt>
                <c:pt idx="1">
                  <c:v>4256104.351831302</c:v>
                </c:pt>
                <c:pt idx="2">
                  <c:v>4166646.4524962078</c:v>
                </c:pt>
                <c:pt idx="3">
                  <c:v>4081106.4610721353</c:v>
                </c:pt>
                <c:pt idx="4">
                  <c:v>4005050.5511066201</c:v>
                </c:pt>
                <c:pt idx="5">
                  <c:v>3936941.463783171</c:v>
                </c:pt>
                <c:pt idx="6">
                  <c:v>3880327.4857658469</c:v>
                </c:pt>
                <c:pt idx="7">
                  <c:v>3832308.6582776285</c:v>
                </c:pt>
                <c:pt idx="8">
                  <c:v>3791436.9677651203</c:v>
                </c:pt>
                <c:pt idx="9">
                  <c:v>3756129.351857658</c:v>
                </c:pt>
                <c:pt idx="10">
                  <c:v>3724545.2084896653</c:v>
                </c:pt>
                <c:pt idx="11">
                  <c:v>3694728.7474973616</c:v>
                </c:pt>
                <c:pt idx="12">
                  <c:v>3664969.1976127466</c:v>
                </c:pt>
                <c:pt idx="13">
                  <c:v>3634259.7031213706</c:v>
                </c:pt>
                <c:pt idx="14">
                  <c:v>3602342.9446319314</c:v>
                </c:pt>
                <c:pt idx="15">
                  <c:v>3569786.4918264737</c:v>
                </c:pt>
                <c:pt idx="16">
                  <c:v>3537454.1607967913</c:v>
                </c:pt>
                <c:pt idx="17">
                  <c:v>3508822.1718742973</c:v>
                </c:pt>
                <c:pt idx="18">
                  <c:v>3476180.8338444973</c:v>
                </c:pt>
                <c:pt idx="19">
                  <c:v>3440673.0875806645</c:v>
                </c:pt>
                <c:pt idx="20">
                  <c:v>3402295.1977500441</c:v>
                </c:pt>
                <c:pt idx="21">
                  <c:v>3360822.6462947666</c:v>
                </c:pt>
                <c:pt idx="22">
                  <c:v>3316088.6109332768</c:v>
                </c:pt>
                <c:pt idx="23">
                  <c:v>3268144.924885211</c:v>
                </c:pt>
                <c:pt idx="24">
                  <c:v>3217248.0605670405</c:v>
                </c:pt>
                <c:pt idx="25">
                  <c:v>3163717.9528055699</c:v>
                </c:pt>
                <c:pt idx="26">
                  <c:v>3107564.2665097388</c:v>
                </c:pt>
                <c:pt idx="27">
                  <c:v>3047767.0764694088</c:v>
                </c:pt>
                <c:pt idx="28">
                  <c:v>2970417.4071862781</c:v>
                </c:pt>
                <c:pt idx="29">
                  <c:v>2894579.4262193316</c:v>
                </c:pt>
                <c:pt idx="30">
                  <c:v>2821997.6467450489</c:v>
                </c:pt>
                <c:pt idx="31">
                  <c:v>2752899.8602527063</c:v>
                </c:pt>
                <c:pt idx="32">
                  <c:v>2686804.4702837267</c:v>
                </c:pt>
                <c:pt idx="33">
                  <c:v>2623115.2324400814</c:v>
                </c:pt>
                <c:pt idx="34">
                  <c:v>2561335.8126392234</c:v>
                </c:pt>
                <c:pt idx="35">
                  <c:v>2501109.1053816336</c:v>
                </c:pt>
                <c:pt idx="36">
                  <c:v>2442131.6265992615</c:v>
                </c:pt>
                <c:pt idx="37">
                  <c:v>2384312.0591645218</c:v>
                </c:pt>
                <c:pt idx="38">
                  <c:v>2323890.8958718535</c:v>
                </c:pt>
                <c:pt idx="39">
                  <c:v>2260308.4200167814</c:v>
                </c:pt>
                <c:pt idx="40">
                  <c:v>2196841.6643341673</c:v>
                </c:pt>
                <c:pt idx="41">
                  <c:v>2135094.7248903387</c:v>
                </c:pt>
                <c:pt idx="42">
                  <c:v>2075587.6276068504</c:v>
                </c:pt>
                <c:pt idx="43">
                  <c:v>2018641.7440083739</c:v>
                </c:pt>
                <c:pt idx="44">
                  <c:v>1964423.6512343069</c:v>
                </c:pt>
                <c:pt idx="45">
                  <c:v>1912964.8955441688</c:v>
                </c:pt>
                <c:pt idx="46">
                  <c:v>1864288.3273178984</c:v>
                </c:pt>
                <c:pt idx="47">
                  <c:v>1817966.5398817125</c:v>
                </c:pt>
                <c:pt idx="48">
                  <c:v>1771085.8962090588</c:v>
                </c:pt>
                <c:pt idx="49">
                  <c:v>1723131.1561338536</c:v>
                </c:pt>
                <c:pt idx="50">
                  <c:v>1675366.4584047345</c:v>
                </c:pt>
                <c:pt idx="51">
                  <c:v>1629290.1334312973</c:v>
                </c:pt>
                <c:pt idx="52">
                  <c:v>1586177.8202761905</c:v>
                </c:pt>
                <c:pt idx="53">
                  <c:v>1545997.3491712303</c:v>
                </c:pt>
                <c:pt idx="54">
                  <c:v>1499905.2605155865</c:v>
                </c:pt>
                <c:pt idx="55">
                  <c:v>1453354.3215949018</c:v>
                </c:pt>
                <c:pt idx="56">
                  <c:v>1408603.0041529622</c:v>
                </c:pt>
                <c:pt idx="57">
                  <c:v>1366328.7913486355</c:v>
                </c:pt>
                <c:pt idx="58">
                  <c:v>1327434.9473901053</c:v>
                </c:pt>
                <c:pt idx="59">
                  <c:v>1291040.515264791</c:v>
                </c:pt>
                <c:pt idx="60">
                  <c:v>1255863.7710380161</c:v>
                </c:pt>
                <c:pt idx="61">
                  <c:v>1233657.9283281101</c:v>
                </c:pt>
                <c:pt idx="62">
                  <c:v>1213203.3203470586</c:v>
                </c:pt>
                <c:pt idx="63">
                  <c:v>1193663.0561184003</c:v>
                </c:pt>
                <c:pt idx="64">
                  <c:v>1174818.9600000002</c:v>
                </c:pt>
                <c:pt idx="65">
                  <c:v>1156500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3-4EC7-AEC4-D10460CB4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0904234"/>
        <c:axId val="700701420"/>
      </c:lineChart>
      <c:catAx>
        <c:axId val="700904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701420"/>
        <c:crosses val="autoZero"/>
        <c:auto val="1"/>
        <c:lblAlgn val="ctr"/>
        <c:lblOffset val="100"/>
        <c:noMultiLvlLbl val="1"/>
      </c:catAx>
      <c:valAx>
        <c:axId val="700701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9042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Koruch!$D$1:$D$67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2.15E-3</c:v>
                </c:pt>
                <c:pt idx="2">
                  <c:v>-1.97E-3</c:v>
                </c:pt>
                <c:pt idx="3">
                  <c:v>-3.3E-3</c:v>
                </c:pt>
                <c:pt idx="4">
                  <c:v>-3.81E-3</c:v>
                </c:pt>
                <c:pt idx="5">
                  <c:v>-3.3500000000000001E-3</c:v>
                </c:pt>
                <c:pt idx="6">
                  <c:v>-2.81E-3</c:v>
                </c:pt>
                <c:pt idx="7">
                  <c:v>-1.81E-3</c:v>
                </c:pt>
                <c:pt idx="8">
                  <c:v>-2E-3</c:v>
                </c:pt>
                <c:pt idx="9">
                  <c:v>-3.4199999999999999E-3</c:v>
                </c:pt>
                <c:pt idx="10">
                  <c:v>-5.7600000000000004E-3</c:v>
                </c:pt>
                <c:pt idx="11">
                  <c:v>-6.0299999999999998E-3</c:v>
                </c:pt>
                <c:pt idx="12">
                  <c:v>-5.4900000000000001E-3</c:v>
                </c:pt>
                <c:pt idx="13">
                  <c:v>-6.4599999999999996E-3</c:v>
                </c:pt>
                <c:pt idx="14">
                  <c:v>-6.0200000000000002E-3</c:v>
                </c:pt>
                <c:pt idx="15">
                  <c:v>-6.6E-3</c:v>
                </c:pt>
                <c:pt idx="16">
                  <c:v>-6.0699999999999999E-3</c:v>
                </c:pt>
                <c:pt idx="17">
                  <c:v>-3.3300000000000001E-3</c:v>
                </c:pt>
                <c:pt idx="18">
                  <c:v>-7.4900000000000001E-3</c:v>
                </c:pt>
                <c:pt idx="19">
                  <c:v>-7.0400000000000003E-3</c:v>
                </c:pt>
                <c:pt idx="20">
                  <c:v>-1.136E-2</c:v>
                </c:pt>
                <c:pt idx="21">
                  <c:v>-1.374E-2</c:v>
                </c:pt>
                <c:pt idx="22">
                  <c:v>-1.7559999999999999E-2</c:v>
                </c:pt>
                <c:pt idx="23">
                  <c:v>-2.0830000000000001E-2</c:v>
                </c:pt>
                <c:pt idx="24">
                  <c:v>-2.623E-2</c:v>
                </c:pt>
                <c:pt idx="25">
                  <c:v>-6.3499999999999997E-3</c:v>
                </c:pt>
                <c:pt idx="26">
                  <c:v>6.0000000000000002E-5</c:v>
                </c:pt>
                <c:pt idx="27">
                  <c:v>3.3999999999999998E-3</c:v>
                </c:pt>
                <c:pt idx="28">
                  <c:v>7.4700000000000001E-3</c:v>
                </c:pt>
                <c:pt idx="29">
                  <c:v>7.7799999999999996E-3</c:v>
                </c:pt>
                <c:pt idx="30">
                  <c:v>7.3499999999999998E-3</c:v>
                </c:pt>
                <c:pt idx="31">
                  <c:v>6.1199999999999996E-3</c:v>
                </c:pt>
                <c:pt idx="32">
                  <c:v>6.6E-3</c:v>
                </c:pt>
                <c:pt idx="33">
                  <c:v>7.1399999999999996E-3</c:v>
                </c:pt>
                <c:pt idx="34">
                  <c:v>6.6299999999999996E-3</c:v>
                </c:pt>
                <c:pt idx="35">
                  <c:v>6.2100000000000002E-3</c:v>
                </c:pt>
                <c:pt idx="36">
                  <c:v>5.7800000000000004E-3</c:v>
                </c:pt>
                <c:pt idx="37">
                  <c:v>5.6899999999999997E-3</c:v>
                </c:pt>
                <c:pt idx="38">
                  <c:v>7.7099999999999998E-3</c:v>
                </c:pt>
                <c:pt idx="39">
                  <c:v>8.3499999999999998E-3</c:v>
                </c:pt>
                <c:pt idx="40">
                  <c:v>7.8799999999999999E-3</c:v>
                </c:pt>
                <c:pt idx="41">
                  <c:v>8.0300000000000007E-3</c:v>
                </c:pt>
                <c:pt idx="42">
                  <c:v>8.8500000000000002E-3</c:v>
                </c:pt>
                <c:pt idx="43">
                  <c:v>8.5199999999999998E-3</c:v>
                </c:pt>
                <c:pt idx="44">
                  <c:v>8.8900000000000003E-3</c:v>
                </c:pt>
                <c:pt idx="45">
                  <c:v>9.4999999999999998E-3</c:v>
                </c:pt>
                <c:pt idx="46">
                  <c:v>8.9899999999999997E-3</c:v>
                </c:pt>
                <c:pt idx="47">
                  <c:v>1.0449999999999999E-2</c:v>
                </c:pt>
                <c:pt idx="48">
                  <c:v>1.103E-2</c:v>
                </c:pt>
                <c:pt idx="49">
                  <c:v>1.043E-2</c:v>
                </c:pt>
                <c:pt idx="50">
                  <c:v>1.03E-2</c:v>
                </c:pt>
                <c:pt idx="51">
                  <c:v>1.068E-2</c:v>
                </c:pt>
                <c:pt idx="52">
                  <c:v>1.1820000000000001E-2</c:v>
                </c:pt>
                <c:pt idx="53">
                  <c:v>1.112E-2</c:v>
                </c:pt>
                <c:pt idx="54">
                  <c:v>1.137E-2</c:v>
                </c:pt>
                <c:pt idx="55">
                  <c:v>1.1900000000000001E-2</c:v>
                </c:pt>
                <c:pt idx="56">
                  <c:v>1.2070000000000001E-2</c:v>
                </c:pt>
                <c:pt idx="57">
                  <c:v>5.2100000000000002E-3</c:v>
                </c:pt>
                <c:pt idx="58">
                  <c:v>1.0630000000000001E-2</c:v>
                </c:pt>
                <c:pt idx="59">
                  <c:v>8.8199999999999997E-3</c:v>
                </c:pt>
                <c:pt idx="60">
                  <c:v>9.1000000000000004E-3</c:v>
                </c:pt>
                <c:pt idx="61">
                  <c:v>1.018E-2</c:v>
                </c:pt>
                <c:pt idx="62">
                  <c:v>1.0619999999999999E-2</c:v>
                </c:pt>
                <c:pt idx="63">
                  <c:v>1.056E-2</c:v>
                </c:pt>
                <c:pt idx="64">
                  <c:v>1.192E-2</c:v>
                </c:pt>
                <c:pt idx="65">
                  <c:v>1.2449999999999999E-2</c:v>
                </c:pt>
                <c:pt idx="66">
                  <c:v>1.3089999999999999E-2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D0-4B8A-9116-635A8DC13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331432"/>
        <c:axId val="1602523816"/>
      </c:lineChart>
      <c:catAx>
        <c:axId val="1276331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2523816"/>
        <c:crosses val="autoZero"/>
        <c:auto val="1"/>
        <c:lblAlgn val="ctr"/>
        <c:lblOffset val="100"/>
        <c:noMultiLvlLbl val="1"/>
      </c:catAx>
      <c:valAx>
        <c:axId val="1602523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63314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Koruch!$C$1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Koruch!$C$2:$C$67</c:f>
              <c:numCache>
                <c:formatCode>#,##0</c:formatCode>
                <c:ptCount val="66"/>
                <c:pt idx="0">
                  <c:v>820977.25533157552</c:v>
                </c:pt>
                <c:pt idx="1">
                  <c:v>819215.94105830009</c:v>
                </c:pt>
                <c:pt idx="2">
                  <c:v>820832.98203290498</c:v>
                </c:pt>
                <c:pt idx="3">
                  <c:v>823550.69934072939</c:v>
                </c:pt>
                <c:pt idx="4">
                  <c:v>826700.42797130009</c:v>
                </c:pt>
                <c:pt idx="5">
                  <c:v>829479.18323513772</c:v>
                </c:pt>
                <c:pt idx="6">
                  <c:v>831816.58784698776</c:v>
                </c:pt>
                <c:pt idx="7">
                  <c:v>833324.90592671512</c:v>
                </c:pt>
                <c:pt idx="8">
                  <c:v>834994.89571815147</c:v>
                </c:pt>
                <c:pt idx="9">
                  <c:v>837860.37821163528</c:v>
                </c:pt>
                <c:pt idx="10">
                  <c:v>842714.41323185072</c:v>
                </c:pt>
                <c:pt idx="11">
                  <c:v>847826.80888945411</c:v>
                </c:pt>
                <c:pt idx="12">
                  <c:v>852507.07271867967</c:v>
                </c:pt>
                <c:pt idx="13">
                  <c:v>858050.07621100277</c:v>
                </c:pt>
                <c:pt idx="14">
                  <c:v>863246.82207992394</c:v>
                </c:pt>
                <c:pt idx="15">
                  <c:v>868982.10396610026</c:v>
                </c:pt>
                <c:pt idx="16">
                  <c:v>874289.03842936654</c:v>
                </c:pt>
                <c:pt idx="17">
                  <c:v>877210.14822294901</c:v>
                </c:pt>
                <c:pt idx="18">
                  <c:v>883830.03518649586</c:v>
                </c:pt>
                <c:pt idx="19">
                  <c:v>890096.31323164667</c:v>
                </c:pt>
                <c:pt idx="20">
                  <c:v>900323.9938012287</c:v>
                </c:pt>
                <c:pt idx="21">
                  <c:v>912866.78340521629</c:v>
                </c:pt>
                <c:pt idx="22">
                  <c:v>929183.24111927068</c:v>
                </c:pt>
                <c:pt idx="23">
                  <c:v>948949.86684566597</c:v>
                </c:pt>
                <c:pt idx="24">
                  <c:v>974511.29819738329</c:v>
                </c:pt>
                <c:pt idx="25">
                  <c:v>980738.99078889273</c:v>
                </c:pt>
                <c:pt idx="26">
                  <c:v>980680.14997989393</c:v>
                </c:pt>
                <c:pt idx="27">
                  <c:v>977357.13571845111</c:v>
                </c:pt>
                <c:pt idx="28">
                  <c:v>970110.41094866453</c:v>
                </c:pt>
                <c:pt idx="29">
                  <c:v>962621.21787360799</c:v>
                </c:pt>
                <c:pt idx="30">
                  <c:v>955597.57569226983</c:v>
                </c:pt>
                <c:pt idx="31">
                  <c:v>949784.89215229789</c:v>
                </c:pt>
                <c:pt idx="32">
                  <c:v>943557.41322501283</c:v>
                </c:pt>
                <c:pt idx="33">
                  <c:v>936868.174459373</c:v>
                </c:pt>
                <c:pt idx="34">
                  <c:v>930697.64904619684</c:v>
                </c:pt>
                <c:pt idx="35">
                  <c:v>924953.68665208737</c:v>
                </c:pt>
                <c:pt idx="36">
                  <c:v>919638.17798334372</c:v>
                </c:pt>
                <c:pt idx="37">
                  <c:v>914435.04259100091</c:v>
                </c:pt>
                <c:pt idx="38">
                  <c:v>907438.69028887362</c:v>
                </c:pt>
                <c:pt idx="39">
                  <c:v>899924.32219851599</c:v>
                </c:pt>
                <c:pt idx="40">
                  <c:v>892888.36190669122</c:v>
                </c:pt>
                <c:pt idx="41">
                  <c:v>885775.58396743273</c:v>
                </c:pt>
                <c:pt idx="42">
                  <c:v>878005.23761454399</c:v>
                </c:pt>
                <c:pt idx="43">
                  <c:v>870587.82930883265</c:v>
                </c:pt>
                <c:pt idx="44">
                  <c:v>862916.5016095239</c:v>
                </c:pt>
                <c:pt idx="45">
                  <c:v>854795.94017783436</c:v>
                </c:pt>
                <c:pt idx="46">
                  <c:v>847179.79383129103</c:v>
                </c:pt>
                <c:pt idx="47">
                  <c:v>838418.32236260176</c:v>
                </c:pt>
                <c:pt idx="48">
                  <c:v>829271.45817888854</c:v>
                </c:pt>
                <c:pt idx="49">
                  <c:v>820711.4378817816</c:v>
                </c:pt>
                <c:pt idx="50">
                  <c:v>812344.29167750338</c:v>
                </c:pt>
                <c:pt idx="51">
                  <c:v>803760.13345223351</c:v>
                </c:pt>
                <c:pt idx="52">
                  <c:v>794370.67210791796</c:v>
                </c:pt>
                <c:pt idx="53">
                  <c:v>785634.41738657921</c:v>
                </c:pt>
                <c:pt idx="54">
                  <c:v>776802.17663820274</c:v>
                </c:pt>
                <c:pt idx="55">
                  <c:v>767666.94005158881</c:v>
                </c:pt>
                <c:pt idx="56">
                  <c:v>758511.70378688117</c:v>
                </c:pt>
                <c:pt idx="57">
                  <c:v>754580.34021436435</c:v>
                </c:pt>
                <c:pt idx="58">
                  <c:v>746643.51960100571</c:v>
                </c:pt>
                <c:pt idx="59">
                  <c:v>740115.69913463818</c:v>
                </c:pt>
                <c:pt idx="60">
                  <c:v>733441.3825534021</c:v>
                </c:pt>
                <c:pt idx="61">
                  <c:v>726050.19160288468</c:v>
                </c:pt>
                <c:pt idx="62">
                  <c:v>718420.56520045584</c:v>
                </c:pt>
                <c:pt idx="63">
                  <c:v>710913.32053559995</c:v>
                </c:pt>
                <c:pt idx="64">
                  <c:v>702539.05500000005</c:v>
                </c:pt>
                <c:pt idx="65">
                  <c:v>693900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D-436A-914B-A5350661F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827700"/>
        <c:axId val="1105054297"/>
      </c:lineChart>
      <c:catAx>
        <c:axId val="1561827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5054297"/>
        <c:crosses val="autoZero"/>
        <c:auto val="1"/>
        <c:lblAlgn val="ctr"/>
        <c:lblOffset val="100"/>
        <c:noMultiLvlLbl val="1"/>
      </c:catAx>
      <c:valAx>
        <c:axId val="1105054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18277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Kusierna!$D$1:$D$67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1.7319999999999999E-2</c:v>
                </c:pt>
                <c:pt idx="2">
                  <c:v>1.8190000000000001E-2</c:v>
                </c:pt>
                <c:pt idx="3">
                  <c:v>1.8939999999999999E-2</c:v>
                </c:pt>
                <c:pt idx="4">
                  <c:v>1.984E-2</c:v>
                </c:pt>
                <c:pt idx="5">
                  <c:v>2.0580000000000001E-2</c:v>
                </c:pt>
                <c:pt idx="6">
                  <c:v>2.1309999999999999E-2</c:v>
                </c:pt>
                <c:pt idx="7">
                  <c:v>2.2620000000000001E-2</c:v>
                </c:pt>
                <c:pt idx="8">
                  <c:v>2.358E-2</c:v>
                </c:pt>
                <c:pt idx="9">
                  <c:v>2.41E-2</c:v>
                </c:pt>
                <c:pt idx="10">
                  <c:v>2.436E-2</c:v>
                </c:pt>
                <c:pt idx="11">
                  <c:v>2.452E-2</c:v>
                </c:pt>
                <c:pt idx="12">
                  <c:v>2.477E-2</c:v>
                </c:pt>
                <c:pt idx="13">
                  <c:v>2.52E-2</c:v>
                </c:pt>
                <c:pt idx="14">
                  <c:v>2.6079999999999999E-2</c:v>
                </c:pt>
                <c:pt idx="15">
                  <c:v>2.1749999999999999E-2</c:v>
                </c:pt>
                <c:pt idx="16">
                  <c:v>1.0619999999999999E-2</c:v>
                </c:pt>
                <c:pt idx="17">
                  <c:v>1.14E-2</c:v>
                </c:pt>
                <c:pt idx="18">
                  <c:v>1.2489999999999999E-2</c:v>
                </c:pt>
                <c:pt idx="19">
                  <c:v>1.3679999999999999E-2</c:v>
                </c:pt>
                <c:pt idx="20">
                  <c:v>1.473E-2</c:v>
                </c:pt>
                <c:pt idx="21">
                  <c:v>1.5689999999999999E-2</c:v>
                </c:pt>
                <c:pt idx="22">
                  <c:v>1.6639999999999999E-2</c:v>
                </c:pt>
                <c:pt idx="23">
                  <c:v>1.78E-2</c:v>
                </c:pt>
                <c:pt idx="24">
                  <c:v>1.8669999999999999E-2</c:v>
                </c:pt>
                <c:pt idx="25">
                  <c:v>1.9369999999999998E-2</c:v>
                </c:pt>
                <c:pt idx="26">
                  <c:v>2.4379999999999999E-2</c:v>
                </c:pt>
                <c:pt idx="27">
                  <c:v>2.504E-2</c:v>
                </c:pt>
                <c:pt idx="28">
                  <c:v>2.631E-2</c:v>
                </c:pt>
                <c:pt idx="29">
                  <c:v>2.5989999999999999E-2</c:v>
                </c:pt>
                <c:pt idx="30">
                  <c:v>2.3189999999999999E-2</c:v>
                </c:pt>
                <c:pt idx="31">
                  <c:v>2.214E-2</c:v>
                </c:pt>
                <c:pt idx="32">
                  <c:v>1.9949999999999999E-2</c:v>
                </c:pt>
                <c:pt idx="33">
                  <c:v>1.8249999999999999E-2</c:v>
                </c:pt>
                <c:pt idx="34">
                  <c:v>1.7950000000000001E-2</c:v>
                </c:pt>
                <c:pt idx="35">
                  <c:v>1.934E-2</c:v>
                </c:pt>
                <c:pt idx="36">
                  <c:v>2.2290000000000001E-2</c:v>
                </c:pt>
                <c:pt idx="37">
                  <c:v>2.4799999999999999E-2</c:v>
                </c:pt>
                <c:pt idx="38">
                  <c:v>2.6980000000000001E-2</c:v>
                </c:pt>
                <c:pt idx="39">
                  <c:v>2.69E-2</c:v>
                </c:pt>
                <c:pt idx="40">
                  <c:v>2.588E-2</c:v>
                </c:pt>
                <c:pt idx="41">
                  <c:v>2.4539999999999999E-2</c:v>
                </c:pt>
                <c:pt idx="42">
                  <c:v>2.2960000000000001E-2</c:v>
                </c:pt>
                <c:pt idx="43">
                  <c:v>2.179E-2</c:v>
                </c:pt>
                <c:pt idx="44">
                  <c:v>2.1100000000000001E-2</c:v>
                </c:pt>
                <c:pt idx="45">
                  <c:v>2.1579999999999998E-2</c:v>
                </c:pt>
                <c:pt idx="46">
                  <c:v>2.1839999999999998E-2</c:v>
                </c:pt>
                <c:pt idx="47">
                  <c:v>1.83E-2</c:v>
                </c:pt>
                <c:pt idx="48">
                  <c:v>1.6639999999999999E-2</c:v>
                </c:pt>
                <c:pt idx="49">
                  <c:v>1.487E-2</c:v>
                </c:pt>
                <c:pt idx="50">
                  <c:v>1.3050000000000001E-2</c:v>
                </c:pt>
                <c:pt idx="51">
                  <c:v>1.1769999999999999E-2</c:v>
                </c:pt>
                <c:pt idx="52">
                  <c:v>1.108E-2</c:v>
                </c:pt>
                <c:pt idx="53">
                  <c:v>1.031E-2</c:v>
                </c:pt>
                <c:pt idx="54">
                  <c:v>1.001E-2</c:v>
                </c:pt>
                <c:pt idx="55">
                  <c:v>1.014E-2</c:v>
                </c:pt>
                <c:pt idx="56">
                  <c:v>1.017E-2</c:v>
                </c:pt>
                <c:pt idx="57">
                  <c:v>1.115E-2</c:v>
                </c:pt>
                <c:pt idx="58">
                  <c:v>1.077E-2</c:v>
                </c:pt>
                <c:pt idx="59">
                  <c:v>9.9600000000000001E-3</c:v>
                </c:pt>
                <c:pt idx="60">
                  <c:v>9.7400000000000004E-3</c:v>
                </c:pt>
                <c:pt idx="61">
                  <c:v>9.3500000000000007E-3</c:v>
                </c:pt>
                <c:pt idx="62">
                  <c:v>9.9100000000000004E-3</c:v>
                </c:pt>
                <c:pt idx="63">
                  <c:v>1.0829999999999999E-2</c:v>
                </c:pt>
                <c:pt idx="64">
                  <c:v>1.2489999999999999E-2</c:v>
                </c:pt>
                <c:pt idx="65">
                  <c:v>1.426E-2</c:v>
                </c:pt>
                <c:pt idx="66">
                  <c:v>1.47E-2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59-403F-957C-A8D4E92E0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551567"/>
        <c:axId val="1235477177"/>
      </c:lineChart>
      <c:catAx>
        <c:axId val="166955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5477177"/>
        <c:crosses val="autoZero"/>
        <c:auto val="1"/>
        <c:lblAlgn val="ctr"/>
        <c:lblOffset val="100"/>
        <c:noMultiLvlLbl val="1"/>
      </c:catAx>
      <c:valAx>
        <c:axId val="1235477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95515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Kusierna!$C$1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Kusierna!$C$2:$C$67</c:f>
              <c:numCache>
                <c:formatCode>#,##0</c:formatCode>
                <c:ptCount val="66"/>
                <c:pt idx="0">
                  <c:v>9164625.6366110574</c:v>
                </c:pt>
                <c:pt idx="1">
                  <c:v>9008596.7410559673</c:v>
                </c:pt>
                <c:pt idx="2">
                  <c:v>8847657.8448580001</c:v>
                </c:pt>
                <c:pt idx="3">
                  <c:v>8683198.0733487755</c:v>
                </c:pt>
                <c:pt idx="4">
                  <c:v>8514274.8601239156</c:v>
                </c:pt>
                <c:pt idx="5">
                  <c:v>8342584.4716964038</c:v>
                </c:pt>
                <c:pt idx="6">
                  <c:v>8168513.4500752995</c:v>
                </c:pt>
                <c:pt idx="7">
                  <c:v>7987828.7634461466</c:v>
                </c:pt>
                <c:pt idx="8">
                  <c:v>7803814.8102211328</c:v>
                </c:pt>
                <c:pt idx="9">
                  <c:v>7620168.7435027175</c:v>
                </c:pt>
                <c:pt idx="10">
                  <c:v>7438955.7806852255</c:v>
                </c:pt>
                <c:pt idx="11">
                  <c:v>7260918.0696181869</c:v>
                </c:pt>
                <c:pt idx="12">
                  <c:v>7085412.4043621374</c:v>
                </c:pt>
                <c:pt idx="13">
                  <c:v>6911248.9312935406</c:v>
                </c:pt>
                <c:pt idx="14">
                  <c:v>6735584.8776835529</c:v>
                </c:pt>
                <c:pt idx="15">
                  <c:v>6592204.4313027188</c:v>
                </c:pt>
                <c:pt idx="16">
                  <c:v>6522930.9050906552</c:v>
                </c:pt>
                <c:pt idx="17">
                  <c:v>6449407.6577918278</c:v>
                </c:pt>
                <c:pt idx="18">
                  <c:v>6369848.2531104786</c:v>
                </c:pt>
                <c:pt idx="19">
                  <c:v>6283884.7102739317</c:v>
                </c:pt>
                <c:pt idx="20">
                  <c:v>6192666.7293505976</c:v>
                </c:pt>
                <c:pt idx="21">
                  <c:v>6097004.7252120208</c:v>
                </c:pt>
                <c:pt idx="22">
                  <c:v>5997211.1319759414</c:v>
                </c:pt>
                <c:pt idx="23">
                  <c:v>5892327.6989348996</c:v>
                </c:pt>
                <c:pt idx="24">
                  <c:v>5784334.1797980703</c:v>
                </c:pt>
                <c:pt idx="25">
                  <c:v>5674420.6517732237</c:v>
                </c:pt>
                <c:pt idx="26">
                  <c:v>5539370.7918674937</c:v>
                </c:pt>
                <c:pt idx="27">
                  <c:v>5404053.2973030265</c:v>
                </c:pt>
                <c:pt idx="28">
                  <c:v>5265517.5310608158</c:v>
                </c:pt>
                <c:pt idx="29">
                  <c:v>5132133.3844002532</c:v>
                </c:pt>
                <c:pt idx="30">
                  <c:v>5015816.5975041324</c:v>
                </c:pt>
                <c:pt idx="31">
                  <c:v>4907171.813552089</c:v>
                </c:pt>
                <c:pt idx="32">
                  <c:v>4811188.6009628801</c:v>
                </c:pt>
                <c:pt idx="33">
                  <c:v>4724958.1153576029</c:v>
                </c:pt>
                <c:pt idx="34">
                  <c:v>4641640.6654134318</c:v>
                </c:pt>
                <c:pt idx="35">
                  <c:v>4553574.5339272786</c:v>
                </c:pt>
                <c:pt idx="36">
                  <c:v>4454288.4444993874</c:v>
                </c:pt>
                <c:pt idx="37">
                  <c:v>4346495.3595817601</c:v>
                </c:pt>
                <c:pt idx="38">
                  <c:v>4232307.6978926174</c:v>
                </c:pt>
                <c:pt idx="39">
                  <c:v>4121440.9366955087</c:v>
                </c:pt>
                <c:pt idx="40">
                  <c:v>4017468.8430376938</c:v>
                </c:pt>
                <c:pt idx="41">
                  <c:v>3921241.574792291</c:v>
                </c:pt>
                <c:pt idx="42">
                  <c:v>3833230.6002114359</c:v>
                </c:pt>
                <c:pt idx="43">
                  <c:v>3751485.7262367373</c:v>
                </c:pt>
                <c:pt idx="44">
                  <c:v>3673965.0633990183</c:v>
                </c:pt>
                <c:pt idx="45">
                  <c:v>3596355.7072368474</c:v>
                </c:pt>
                <c:pt idx="46">
                  <c:v>3519490.0446614414</c:v>
                </c:pt>
                <c:pt idx="47">
                  <c:v>3456240.8373381533</c:v>
                </c:pt>
                <c:pt idx="48">
                  <c:v>3399670.3231607582</c:v>
                </c:pt>
                <c:pt idx="49">
                  <c:v>3349857.935657531</c:v>
                </c:pt>
                <c:pt idx="50">
                  <c:v>3306705.4297986585</c:v>
                </c:pt>
                <c:pt idx="51">
                  <c:v>3268238.2654147269</c:v>
                </c:pt>
                <c:pt idx="52">
                  <c:v>3232423.0183711746</c:v>
                </c:pt>
                <c:pt idx="53">
                  <c:v>3199436.8247084306</c:v>
                </c:pt>
                <c:pt idx="54">
                  <c:v>3167727.8687423198</c:v>
                </c:pt>
                <c:pt idx="55">
                  <c:v>3135929.5431745299</c:v>
                </c:pt>
                <c:pt idx="56">
                  <c:v>3104358.2200763533</c:v>
                </c:pt>
                <c:pt idx="57">
                  <c:v>3070126.3117008884</c:v>
                </c:pt>
                <c:pt idx="58">
                  <c:v>3037413.3697091215</c:v>
                </c:pt>
                <c:pt idx="59">
                  <c:v>3007459.0772992214</c:v>
                </c:pt>
                <c:pt idx="60">
                  <c:v>2978448.9841931798</c:v>
                </c:pt>
                <c:pt idx="61">
                  <c:v>2950858.4576144842</c:v>
                </c:pt>
                <c:pt idx="62">
                  <c:v>2921902.4047830836</c:v>
                </c:pt>
                <c:pt idx="63">
                  <c:v>2890597.2367095198</c:v>
                </c:pt>
                <c:pt idx="64">
                  <c:v>2854939.048</c:v>
                </c:pt>
                <c:pt idx="65">
                  <c:v>2814800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3-47F3-8CD9-1F66CF1A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50196"/>
        <c:axId val="362827120"/>
      </c:lineChart>
      <c:catAx>
        <c:axId val="226250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2827120"/>
        <c:crosses val="autoZero"/>
        <c:auto val="1"/>
        <c:lblAlgn val="ctr"/>
        <c:lblOffset val="100"/>
        <c:noMultiLvlLbl val="1"/>
      </c:catAx>
      <c:valAx>
        <c:axId val="362827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62501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Laselteh!$D$1:$D$67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-2.0000000000000002E-5</c:v>
                </c:pt>
                <c:pt idx="2">
                  <c:v>8.0000000000000007E-5</c:v>
                </c:pt>
                <c:pt idx="3">
                  <c:v>2.2000000000000001E-4</c:v>
                </c:pt>
                <c:pt idx="4">
                  <c:v>3.6999999999999999E-4</c:v>
                </c:pt>
                <c:pt idx="5">
                  <c:v>1.6800000000000001E-3</c:v>
                </c:pt>
                <c:pt idx="6">
                  <c:v>4.2599999999999999E-3</c:v>
                </c:pt>
                <c:pt idx="7">
                  <c:v>6.3000000000000003E-4</c:v>
                </c:pt>
                <c:pt idx="8">
                  <c:v>-2.9999999999999997E-4</c:v>
                </c:pt>
                <c:pt idx="9">
                  <c:v>-9.8999999999999999E-4</c:v>
                </c:pt>
                <c:pt idx="10">
                  <c:v>-1.6800000000000001E-3</c:v>
                </c:pt>
                <c:pt idx="11">
                  <c:v>-1.1100000000000001E-3</c:v>
                </c:pt>
                <c:pt idx="12">
                  <c:v>-1.15E-3</c:v>
                </c:pt>
                <c:pt idx="13">
                  <c:v>-7.2999999999999996E-4</c:v>
                </c:pt>
                <c:pt idx="14">
                  <c:v>-6.2E-4</c:v>
                </c:pt>
                <c:pt idx="15">
                  <c:v>-3.2000000000000003E-4</c:v>
                </c:pt>
                <c:pt idx="16">
                  <c:v>-2.4000000000000001E-4</c:v>
                </c:pt>
                <c:pt idx="17">
                  <c:v>-1.2999999999999999E-3</c:v>
                </c:pt>
                <c:pt idx="18">
                  <c:v>-7.2000000000000005E-4</c:v>
                </c:pt>
                <c:pt idx="19">
                  <c:v>-4.2000000000000002E-4</c:v>
                </c:pt>
                <c:pt idx="20">
                  <c:v>-1.3999999999999999E-4</c:v>
                </c:pt>
                <c:pt idx="21">
                  <c:v>-1.3999999999999999E-4</c:v>
                </c:pt>
                <c:pt idx="22">
                  <c:v>1.2099999999999999E-3</c:v>
                </c:pt>
                <c:pt idx="23">
                  <c:v>1.3699999999999999E-3</c:v>
                </c:pt>
                <c:pt idx="24">
                  <c:v>1.83E-3</c:v>
                </c:pt>
                <c:pt idx="25">
                  <c:v>2.3999999999999998E-3</c:v>
                </c:pt>
                <c:pt idx="26">
                  <c:v>2.7200000000000002E-3</c:v>
                </c:pt>
                <c:pt idx="27">
                  <c:v>3.46E-3</c:v>
                </c:pt>
                <c:pt idx="28">
                  <c:v>2.8900000000000002E-3</c:v>
                </c:pt>
                <c:pt idx="29">
                  <c:v>5.1799999999999997E-3</c:v>
                </c:pt>
                <c:pt idx="30">
                  <c:v>6.1700000000000001E-3</c:v>
                </c:pt>
                <c:pt idx="31">
                  <c:v>7.3200000000000001E-3</c:v>
                </c:pt>
                <c:pt idx="32">
                  <c:v>8.6099999999999996E-3</c:v>
                </c:pt>
                <c:pt idx="33">
                  <c:v>9.4800000000000006E-3</c:v>
                </c:pt>
                <c:pt idx="34">
                  <c:v>9.2200000000000008E-3</c:v>
                </c:pt>
                <c:pt idx="35">
                  <c:v>9.2200000000000008E-3</c:v>
                </c:pt>
                <c:pt idx="36">
                  <c:v>8.9300000000000004E-3</c:v>
                </c:pt>
                <c:pt idx="37">
                  <c:v>9.6100000000000005E-3</c:v>
                </c:pt>
                <c:pt idx="38">
                  <c:v>8.2900000000000005E-3</c:v>
                </c:pt>
                <c:pt idx="39">
                  <c:v>9.2899999999999996E-3</c:v>
                </c:pt>
                <c:pt idx="40">
                  <c:v>9.9799999999999993E-3</c:v>
                </c:pt>
                <c:pt idx="41">
                  <c:v>9.4900000000000002E-3</c:v>
                </c:pt>
                <c:pt idx="42">
                  <c:v>9.5600000000000008E-3</c:v>
                </c:pt>
                <c:pt idx="43">
                  <c:v>8.8999999999999999E-3</c:v>
                </c:pt>
                <c:pt idx="44">
                  <c:v>8.6499999999999997E-3</c:v>
                </c:pt>
                <c:pt idx="45">
                  <c:v>7.7999999999999996E-3</c:v>
                </c:pt>
                <c:pt idx="46">
                  <c:v>6.1999999999999998E-3</c:v>
                </c:pt>
                <c:pt idx="47">
                  <c:v>7.3600000000000002E-3</c:v>
                </c:pt>
                <c:pt idx="48">
                  <c:v>7.8200000000000006E-3</c:v>
                </c:pt>
                <c:pt idx="49">
                  <c:v>7.8200000000000006E-3</c:v>
                </c:pt>
                <c:pt idx="50">
                  <c:v>8.6099999999999996E-3</c:v>
                </c:pt>
                <c:pt idx="51">
                  <c:v>9.1999999999999998E-3</c:v>
                </c:pt>
                <c:pt idx="52">
                  <c:v>9.7599999999999996E-3</c:v>
                </c:pt>
                <c:pt idx="53">
                  <c:v>1.095E-2</c:v>
                </c:pt>
                <c:pt idx="54">
                  <c:v>1.108E-2</c:v>
                </c:pt>
                <c:pt idx="55">
                  <c:v>1.2699999999999999E-2</c:v>
                </c:pt>
                <c:pt idx="56">
                  <c:v>1.443E-2</c:v>
                </c:pt>
                <c:pt idx="57">
                  <c:v>1.5800000000000002E-2</c:v>
                </c:pt>
                <c:pt idx="58">
                  <c:v>1.8069999999999999E-2</c:v>
                </c:pt>
                <c:pt idx="59">
                  <c:v>2.197E-2</c:v>
                </c:pt>
                <c:pt idx="60">
                  <c:v>1.6889999999999999E-2</c:v>
                </c:pt>
                <c:pt idx="61">
                  <c:v>1.7690000000000001E-2</c:v>
                </c:pt>
                <c:pt idx="62">
                  <c:v>1.7590000000000001E-2</c:v>
                </c:pt>
                <c:pt idx="63">
                  <c:v>1.762E-2</c:v>
                </c:pt>
                <c:pt idx="64">
                  <c:v>1.7440000000000001E-2</c:v>
                </c:pt>
                <c:pt idx="65">
                  <c:v>1.7919999999999998E-2</c:v>
                </c:pt>
                <c:pt idx="66">
                  <c:v>1.7479999999999999E-2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84-4A06-A037-97B95C11B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5083"/>
        <c:axId val="978914006"/>
      </c:lineChart>
      <c:catAx>
        <c:axId val="46240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8914006"/>
        <c:crosses val="autoZero"/>
        <c:auto val="1"/>
        <c:lblAlgn val="ctr"/>
        <c:lblOffset val="100"/>
        <c:noMultiLvlLbl val="1"/>
      </c:catAx>
      <c:valAx>
        <c:axId val="97891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24050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Laselteh!$C$1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Laselteh!$C$2:$C$67</c:f>
              <c:numCache>
                <c:formatCode>#,##0</c:formatCode>
                <c:ptCount val="66"/>
                <c:pt idx="0">
                  <c:v>6524314.5465817414</c:v>
                </c:pt>
                <c:pt idx="1">
                  <c:v>6524445.0354824513</c:v>
                </c:pt>
                <c:pt idx="2">
                  <c:v>6523923.1216327203</c:v>
                </c:pt>
                <c:pt idx="3">
                  <c:v>6522488.1742343884</c:v>
                </c:pt>
                <c:pt idx="4">
                  <c:v>6520075.7462082915</c:v>
                </c:pt>
                <c:pt idx="5">
                  <c:v>6509140.3903524997</c:v>
                </c:pt>
                <c:pt idx="6">
                  <c:v>6481529.0764866667</c:v>
                </c:pt>
                <c:pt idx="7">
                  <c:v>6477448.2840677043</c:v>
                </c:pt>
                <c:pt idx="8">
                  <c:v>6479392.1016982133</c:v>
                </c:pt>
                <c:pt idx="9">
                  <c:v>6485813.0566242719</c:v>
                </c:pt>
                <c:pt idx="10">
                  <c:v>6496727.5589232631</c:v>
                </c:pt>
                <c:pt idx="11">
                  <c:v>6503946.940026693</c:v>
                </c:pt>
                <c:pt idx="12">
                  <c:v>6511435.0903806305</c:v>
                </c:pt>
                <c:pt idx="13">
                  <c:v>6516191.9104752773</c:v>
                </c:pt>
                <c:pt idx="14">
                  <c:v>6520234.4558378961</c:v>
                </c:pt>
                <c:pt idx="15">
                  <c:v>6522321.598749496</c:v>
                </c:pt>
                <c:pt idx="16">
                  <c:v>6523887.3317091065</c:v>
                </c:pt>
                <c:pt idx="17">
                  <c:v>6532379.4249615567</c:v>
                </c:pt>
                <c:pt idx="18">
                  <c:v>6537086.126972978</c:v>
                </c:pt>
                <c:pt idx="19">
                  <c:v>6539832.8567728223</c:v>
                </c:pt>
                <c:pt idx="20">
                  <c:v>6540748.5615714425</c:v>
                </c:pt>
                <c:pt idx="21">
                  <c:v>6541664.3945866851</c:v>
                </c:pt>
                <c:pt idx="22">
                  <c:v>6533758.5467451243</c:v>
                </c:pt>
                <c:pt idx="23">
                  <c:v>6524819.5439698845</c:v>
                </c:pt>
                <c:pt idx="24">
                  <c:v>6512900.9352583615</c:v>
                </c:pt>
                <c:pt idx="25">
                  <c:v>6497307.3975043511</c:v>
                </c:pt>
                <c:pt idx="26">
                  <c:v>6479682.6606673356</c:v>
                </c:pt>
                <c:pt idx="27">
                  <c:v>6457340.2633561231</c:v>
                </c:pt>
                <c:pt idx="28">
                  <c:v>6438732.3269312913</c:v>
                </c:pt>
                <c:pt idx="29">
                  <c:v>6405551.5697997287</c:v>
                </c:pt>
                <c:pt idx="30">
                  <c:v>6366271.673573778</c:v>
                </c:pt>
                <c:pt idx="31">
                  <c:v>6320009.2061845073</c:v>
                </c:pt>
                <c:pt idx="32">
                  <c:v>6266058.4429903599</c:v>
                </c:pt>
                <c:pt idx="33">
                  <c:v>6207214.0537607083</c:v>
                </c:pt>
                <c:pt idx="34">
                  <c:v>6150506.3848920036</c:v>
                </c:pt>
                <c:pt idx="35">
                  <c:v>6094316.784142212</c:v>
                </c:pt>
                <c:pt idx="36">
                  <c:v>6040376.2244578032</c:v>
                </c:pt>
                <c:pt idx="37">
                  <c:v>5982880.7405412029</c:v>
                </c:pt>
                <c:pt idx="38">
                  <c:v>5933690.4467377476</c:v>
                </c:pt>
                <c:pt idx="39">
                  <c:v>5879073.8506650692</c:v>
                </c:pt>
                <c:pt idx="40">
                  <c:v>5820980.4656181987</c:v>
                </c:pt>
                <c:pt idx="41">
                  <c:v>5766258.6708320035</c:v>
                </c:pt>
                <c:pt idx="42">
                  <c:v>5711655.2466738019</c:v>
                </c:pt>
                <c:pt idx="43">
                  <c:v>5661269.9441706836</c:v>
                </c:pt>
                <c:pt idx="44">
                  <c:v>5612719.9168895883</c:v>
                </c:pt>
                <c:pt idx="45">
                  <c:v>5569279.5365048507</c:v>
                </c:pt>
                <c:pt idx="46">
                  <c:v>5534962.7673472976</c:v>
                </c:pt>
                <c:pt idx="47">
                  <c:v>5494523.0774969198</c:v>
                </c:pt>
                <c:pt idx="48">
                  <c:v>5451889.3031463157</c:v>
                </c:pt>
                <c:pt idx="49">
                  <c:v>5409586.3379832869</c:v>
                </c:pt>
                <c:pt idx="50">
                  <c:v>5363407.4002669882</c:v>
                </c:pt>
                <c:pt idx="51">
                  <c:v>5314513.8726387117</c:v>
                </c:pt>
                <c:pt idx="52">
                  <c:v>5263145.5718573835</c:v>
                </c:pt>
                <c:pt idx="53">
                  <c:v>5206138.3568498772</c:v>
                </c:pt>
                <c:pt idx="54">
                  <c:v>5149086.4786662553</c:v>
                </c:pt>
                <c:pt idx="55">
                  <c:v>5084513.1615150152</c:v>
                </c:pt>
                <c:pt idx="56">
                  <c:v>5012187.2987934267</c:v>
                </c:pt>
                <c:pt idx="57">
                  <c:v>4934226.5197808882</c:v>
                </c:pt>
                <c:pt idx="58">
                  <c:v>4846647.5976906186</c:v>
                </c:pt>
                <c:pt idx="59">
                  <c:v>4742455.8428237801</c:v>
                </c:pt>
                <c:pt idx="60">
                  <c:v>4663686.1831897059</c:v>
                </c:pt>
                <c:pt idx="61">
                  <c:v>4582619.6417275453</c:v>
                </c:pt>
                <c:pt idx="62">
                  <c:v>4503404.7521374477</c:v>
                </c:pt>
                <c:pt idx="63">
                  <c:v>4425428.6984703997</c:v>
                </c:pt>
                <c:pt idx="64">
                  <c:v>4349572.16</c:v>
                </c:pt>
                <c:pt idx="65">
                  <c:v>4273000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2-4DAE-AF1B-6AB5CD600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250951"/>
        <c:axId val="1243529050"/>
      </c:lineChart>
      <c:catAx>
        <c:axId val="1864250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3529050"/>
        <c:crosses val="autoZero"/>
        <c:auto val="1"/>
        <c:lblAlgn val="ctr"/>
        <c:lblOffset val="100"/>
        <c:noMultiLvlLbl val="1"/>
      </c:catAx>
      <c:valAx>
        <c:axId val="1243529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42509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Lasri!$D$1:$D$67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8.7000000000000001E-4</c:v>
                </c:pt>
                <c:pt idx="2">
                  <c:v>1.2999999999999999E-3</c:v>
                </c:pt>
                <c:pt idx="3">
                  <c:v>1.39E-3</c:v>
                </c:pt>
                <c:pt idx="4">
                  <c:v>1.74E-3</c:v>
                </c:pt>
                <c:pt idx="5">
                  <c:v>2.48E-3</c:v>
                </c:pt>
                <c:pt idx="6">
                  <c:v>3.15E-3</c:v>
                </c:pt>
                <c:pt idx="7">
                  <c:v>3.8400000000000001E-3</c:v>
                </c:pt>
                <c:pt idx="8">
                  <c:v>4.64E-3</c:v>
                </c:pt>
                <c:pt idx="9">
                  <c:v>7.7299999999999999E-3</c:v>
                </c:pt>
                <c:pt idx="10">
                  <c:v>8.9800000000000001E-3</c:v>
                </c:pt>
                <c:pt idx="11">
                  <c:v>9.0500000000000008E-3</c:v>
                </c:pt>
                <c:pt idx="12">
                  <c:v>9.1999999999999998E-3</c:v>
                </c:pt>
                <c:pt idx="13">
                  <c:v>9.3699999999999999E-3</c:v>
                </c:pt>
                <c:pt idx="14">
                  <c:v>9.7400000000000004E-3</c:v>
                </c:pt>
                <c:pt idx="15">
                  <c:v>1.0059999999999999E-2</c:v>
                </c:pt>
                <c:pt idx="16">
                  <c:v>1.0489999999999999E-2</c:v>
                </c:pt>
                <c:pt idx="17">
                  <c:v>1.123E-2</c:v>
                </c:pt>
                <c:pt idx="18">
                  <c:v>1.192E-2</c:v>
                </c:pt>
                <c:pt idx="19">
                  <c:v>1.285E-2</c:v>
                </c:pt>
                <c:pt idx="20">
                  <c:v>7.79E-3</c:v>
                </c:pt>
                <c:pt idx="21">
                  <c:v>4.79E-3</c:v>
                </c:pt>
                <c:pt idx="22">
                  <c:v>5.1900000000000002E-3</c:v>
                </c:pt>
                <c:pt idx="23">
                  <c:v>5.9199999999999999E-3</c:v>
                </c:pt>
                <c:pt idx="24">
                  <c:v>6.8399999999999997E-3</c:v>
                </c:pt>
                <c:pt idx="25">
                  <c:v>7.7099999999999998E-3</c:v>
                </c:pt>
                <c:pt idx="26">
                  <c:v>8.6199999999999992E-3</c:v>
                </c:pt>
                <c:pt idx="27">
                  <c:v>9.5499999999999995E-3</c:v>
                </c:pt>
                <c:pt idx="28">
                  <c:v>1.0449999999999999E-2</c:v>
                </c:pt>
                <c:pt idx="29">
                  <c:v>1.1180000000000001E-2</c:v>
                </c:pt>
                <c:pt idx="30">
                  <c:v>1.9050000000000001E-2</c:v>
                </c:pt>
                <c:pt idx="31">
                  <c:v>2.35E-2</c:v>
                </c:pt>
                <c:pt idx="32">
                  <c:v>2.4170000000000001E-2</c:v>
                </c:pt>
                <c:pt idx="33">
                  <c:v>2.418E-2</c:v>
                </c:pt>
                <c:pt idx="34">
                  <c:v>2.4E-2</c:v>
                </c:pt>
                <c:pt idx="35">
                  <c:v>2.3910000000000001E-2</c:v>
                </c:pt>
                <c:pt idx="36">
                  <c:v>2.3789999999999999E-2</c:v>
                </c:pt>
                <c:pt idx="37">
                  <c:v>2.385E-2</c:v>
                </c:pt>
                <c:pt idx="38">
                  <c:v>2.384E-2</c:v>
                </c:pt>
                <c:pt idx="39">
                  <c:v>2.3390000000000001E-2</c:v>
                </c:pt>
                <c:pt idx="40">
                  <c:v>1.804E-2</c:v>
                </c:pt>
                <c:pt idx="41">
                  <c:v>1.5100000000000001E-2</c:v>
                </c:pt>
                <c:pt idx="42">
                  <c:v>1.435E-2</c:v>
                </c:pt>
                <c:pt idx="43">
                  <c:v>1.5010000000000001E-2</c:v>
                </c:pt>
                <c:pt idx="44">
                  <c:v>1.6449999999999999E-2</c:v>
                </c:pt>
                <c:pt idx="45">
                  <c:v>1.7930000000000001E-2</c:v>
                </c:pt>
                <c:pt idx="46">
                  <c:v>1.9140000000000001E-2</c:v>
                </c:pt>
                <c:pt idx="47">
                  <c:v>2.0379999999999999E-2</c:v>
                </c:pt>
                <c:pt idx="48">
                  <c:v>2.1520000000000001E-2</c:v>
                </c:pt>
                <c:pt idx="49">
                  <c:v>2.2620000000000001E-2</c:v>
                </c:pt>
                <c:pt idx="50">
                  <c:v>2.7730000000000001E-2</c:v>
                </c:pt>
                <c:pt idx="51">
                  <c:v>3.0339999999999999E-2</c:v>
                </c:pt>
                <c:pt idx="52">
                  <c:v>3.091E-2</c:v>
                </c:pt>
                <c:pt idx="53">
                  <c:v>3.1350000000000003E-2</c:v>
                </c:pt>
                <c:pt idx="54">
                  <c:v>3.1480000000000001E-2</c:v>
                </c:pt>
                <c:pt idx="55">
                  <c:v>3.0450000000000001E-2</c:v>
                </c:pt>
                <c:pt idx="56">
                  <c:v>3.0439999999999998E-2</c:v>
                </c:pt>
                <c:pt idx="57">
                  <c:v>3.0380000000000001E-2</c:v>
                </c:pt>
                <c:pt idx="58">
                  <c:v>3.0030000000000001E-2</c:v>
                </c:pt>
                <c:pt idx="59">
                  <c:v>2.9399999999999999E-2</c:v>
                </c:pt>
                <c:pt idx="60">
                  <c:v>2.9329999999999998E-2</c:v>
                </c:pt>
                <c:pt idx="61">
                  <c:v>2.792E-2</c:v>
                </c:pt>
                <c:pt idx="62">
                  <c:v>2.6210000000000001E-2</c:v>
                </c:pt>
                <c:pt idx="63">
                  <c:v>2.462E-2</c:v>
                </c:pt>
                <c:pt idx="64">
                  <c:v>2.334E-2</c:v>
                </c:pt>
                <c:pt idx="65">
                  <c:v>2.1940000000000001E-2</c:v>
                </c:pt>
                <c:pt idx="66">
                  <c:v>2.0310000000000002E-2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2F-488D-97CC-8192B4788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348546"/>
        <c:axId val="681316052"/>
      </c:lineChart>
      <c:catAx>
        <c:axId val="43348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1316052"/>
        <c:crosses val="autoZero"/>
        <c:auto val="1"/>
        <c:lblAlgn val="ctr"/>
        <c:lblOffset val="100"/>
        <c:noMultiLvlLbl val="1"/>
      </c:catAx>
      <c:valAx>
        <c:axId val="681316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3485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Lasri!$C$1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Lasri!$C$2:$C$67</c:f>
              <c:numCache>
                <c:formatCode>#,##0</c:formatCode>
                <c:ptCount val="66"/>
                <c:pt idx="0">
                  <c:v>2170098.1130326623</c:v>
                </c:pt>
                <c:pt idx="1">
                  <c:v>2168211.768793812</c:v>
                </c:pt>
                <c:pt idx="2">
                  <c:v>2165396.7530148923</c:v>
                </c:pt>
                <c:pt idx="3">
                  <c:v>2162391.0294839097</c:v>
                </c:pt>
                <c:pt idx="4">
                  <c:v>2158635.0045759473</c:v>
                </c:pt>
                <c:pt idx="5">
                  <c:v>2153294.8333891421</c:v>
                </c:pt>
                <c:pt idx="6">
                  <c:v>2146533.2536401753</c:v>
                </c:pt>
                <c:pt idx="7">
                  <c:v>2138322.0967885074</c:v>
                </c:pt>
                <c:pt idx="8">
                  <c:v>2128446.1068527107</c:v>
                </c:pt>
                <c:pt idx="9">
                  <c:v>2112119.4237074521</c:v>
                </c:pt>
                <c:pt idx="10">
                  <c:v>2093321.3975573867</c:v>
                </c:pt>
                <c:pt idx="11">
                  <c:v>2074546.7494746412</c:v>
                </c:pt>
                <c:pt idx="12">
                  <c:v>2055634.9083181142</c:v>
                </c:pt>
                <c:pt idx="13">
                  <c:v>2036552.4122156533</c:v>
                </c:pt>
                <c:pt idx="14">
                  <c:v>2016907.7309165262</c:v>
                </c:pt>
                <c:pt idx="15">
                  <c:v>1996819.7244881752</c:v>
                </c:pt>
                <c:pt idx="16">
                  <c:v>1976090.5347783505</c:v>
                </c:pt>
                <c:pt idx="17">
                  <c:v>1954145.4810264236</c:v>
                </c:pt>
                <c:pt idx="18">
                  <c:v>1931126.4536983396</c:v>
                </c:pt>
                <c:pt idx="19">
                  <c:v>1906626.305670474</c:v>
                </c:pt>
                <c:pt idx="20">
                  <c:v>1891888.4942998779</c:v>
                </c:pt>
                <c:pt idx="21">
                  <c:v>1882869.5491594041</c:v>
                </c:pt>
                <c:pt idx="22">
                  <c:v>1873147.9114987256</c:v>
                </c:pt>
                <c:pt idx="23">
                  <c:v>1862124.1366099946</c:v>
                </c:pt>
                <c:pt idx="24">
                  <c:v>1849473.7362540171</c:v>
                </c:pt>
                <c:pt idx="25">
                  <c:v>1835323.392894798</c:v>
                </c:pt>
                <c:pt idx="26">
                  <c:v>1819638.1123662011</c:v>
                </c:pt>
                <c:pt idx="27">
                  <c:v>1802424.9540549761</c:v>
                </c:pt>
                <c:pt idx="28">
                  <c:v>1783784.4070018071</c:v>
                </c:pt>
                <c:pt idx="29">
                  <c:v>1764062.1916986166</c:v>
                </c:pt>
                <c:pt idx="30">
                  <c:v>1731085.0220289647</c:v>
                </c:pt>
                <c:pt idx="31">
                  <c:v>1691338.5657342107</c:v>
                </c:pt>
                <c:pt idx="32">
                  <c:v>1651423.6559694295</c:v>
                </c:pt>
                <c:pt idx="33">
                  <c:v>1612434.9781966347</c:v>
                </c:pt>
                <c:pt idx="34">
                  <c:v>1574643.5333951509</c:v>
                </c:pt>
                <c:pt idx="35">
                  <c:v>1537872.9901994811</c:v>
                </c:pt>
                <c:pt idx="36">
                  <c:v>1502137.147461375</c:v>
                </c:pt>
                <c:pt idx="37">
                  <c:v>1467145.7219918689</c:v>
                </c:pt>
                <c:pt idx="38">
                  <c:v>1432983.3977885889</c:v>
                </c:pt>
                <c:pt idx="39">
                  <c:v>1400231.971964343</c:v>
                </c:pt>
                <c:pt idx="40">
                  <c:v>1375419.4058822275</c:v>
                </c:pt>
                <c:pt idx="41">
                  <c:v>1354959.5171729166</c:v>
                </c:pt>
                <c:pt idx="42">
                  <c:v>1335790.9175066953</c:v>
                </c:pt>
                <c:pt idx="43">
                  <c:v>1316037.1991474915</c:v>
                </c:pt>
                <c:pt idx="44">
                  <c:v>1294738.7467632361</c:v>
                </c:pt>
                <c:pt idx="45">
                  <c:v>1271932.9882833164</c:v>
                </c:pt>
                <c:pt idx="46">
                  <c:v>1248045.3993399497</c:v>
                </c:pt>
                <c:pt idx="47">
                  <c:v>1223118.2494168344</c:v>
                </c:pt>
                <c:pt idx="48">
                  <c:v>1197351.2505059466</c:v>
                </c:pt>
                <c:pt idx="49">
                  <c:v>1170866.2557997559</c:v>
                </c:pt>
                <c:pt idx="50">
                  <c:v>1139274.1827131209</c:v>
                </c:pt>
                <c:pt idx="51">
                  <c:v>1105726.4424492118</c:v>
                </c:pt>
                <c:pt idx="52">
                  <c:v>1072573.2046921768</c:v>
                </c:pt>
                <c:pt idx="53">
                  <c:v>1039970.1407787625</c:v>
                </c:pt>
                <c:pt idx="54">
                  <c:v>1008231.0280167939</c:v>
                </c:pt>
                <c:pt idx="55">
                  <c:v>978437.60300528293</c:v>
                </c:pt>
                <c:pt idx="56">
                  <c:v>949533.79430659034</c:v>
                </c:pt>
                <c:pt idx="57">
                  <c:v>921537.48549718573</c:v>
                </c:pt>
                <c:pt idx="58">
                  <c:v>894670.52949640853</c:v>
                </c:pt>
                <c:pt idx="59">
                  <c:v>869118.44715019281</c:v>
                </c:pt>
                <c:pt idx="60">
                  <c:v>844353.5573141682</c:v>
                </c:pt>
                <c:pt idx="61">
                  <c:v>821419.52419854491</c:v>
                </c:pt>
                <c:pt idx="62">
                  <c:v>800439.99200801481</c:v>
                </c:pt>
                <c:pt idx="63">
                  <c:v>781206.68346119998</c:v>
                </c:pt>
                <c:pt idx="64">
                  <c:v>763389.18</c:v>
                </c:pt>
                <c:pt idx="65">
                  <c:v>747000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D-4447-9737-20852A503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871660"/>
        <c:axId val="268038642"/>
      </c:lineChart>
      <c:catAx>
        <c:axId val="1295871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8038642"/>
        <c:crosses val="autoZero"/>
        <c:auto val="1"/>
        <c:lblAlgn val="ctr"/>
        <c:lblOffset val="100"/>
        <c:noMultiLvlLbl val="1"/>
      </c:catAx>
      <c:valAx>
        <c:axId val="268038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8716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Letan!$D$1:$D$67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-1.3799999999999999E-3</c:v>
                </c:pt>
                <c:pt idx="2">
                  <c:v>1.324E-2</c:v>
                </c:pt>
                <c:pt idx="3">
                  <c:v>4.1329999999999999E-2</c:v>
                </c:pt>
                <c:pt idx="4">
                  <c:v>4.3610000000000003E-2</c:v>
                </c:pt>
                <c:pt idx="5">
                  <c:v>6.4619999999999997E-2</c:v>
                </c:pt>
                <c:pt idx="6">
                  <c:v>3.585E-2</c:v>
                </c:pt>
                <c:pt idx="7">
                  <c:v>3.6979999999999999E-2</c:v>
                </c:pt>
                <c:pt idx="8">
                  <c:v>3.755E-2</c:v>
                </c:pt>
                <c:pt idx="9">
                  <c:v>3.8730000000000001E-2</c:v>
                </c:pt>
                <c:pt idx="10">
                  <c:v>4.0009999999999997E-2</c:v>
                </c:pt>
                <c:pt idx="11">
                  <c:v>4.011E-2</c:v>
                </c:pt>
                <c:pt idx="12">
                  <c:v>4.129E-2</c:v>
                </c:pt>
                <c:pt idx="13">
                  <c:v>4.1430000000000002E-2</c:v>
                </c:pt>
                <c:pt idx="14">
                  <c:v>4.1860000000000001E-2</c:v>
                </c:pt>
                <c:pt idx="15">
                  <c:v>2.6069999999999999E-2</c:v>
                </c:pt>
                <c:pt idx="16">
                  <c:v>1.124E-2</c:v>
                </c:pt>
                <c:pt idx="17">
                  <c:v>1.023E-2</c:v>
                </c:pt>
                <c:pt idx="18">
                  <c:v>1.0619999999999999E-2</c:v>
                </c:pt>
                <c:pt idx="19">
                  <c:v>1.0619999999999999E-2</c:v>
                </c:pt>
                <c:pt idx="20">
                  <c:v>1.059E-2</c:v>
                </c:pt>
                <c:pt idx="21">
                  <c:v>1.0330000000000001E-2</c:v>
                </c:pt>
                <c:pt idx="22">
                  <c:v>9.6200000000000001E-3</c:v>
                </c:pt>
                <c:pt idx="23">
                  <c:v>8.8900000000000003E-3</c:v>
                </c:pt>
                <c:pt idx="24">
                  <c:v>7.9100000000000004E-3</c:v>
                </c:pt>
                <c:pt idx="25">
                  <c:v>8.5800000000000008E-3</c:v>
                </c:pt>
                <c:pt idx="26">
                  <c:v>8.8900000000000003E-3</c:v>
                </c:pt>
                <c:pt idx="27">
                  <c:v>9.5099999999999994E-3</c:v>
                </c:pt>
                <c:pt idx="28">
                  <c:v>9.3699999999999999E-3</c:v>
                </c:pt>
                <c:pt idx="29">
                  <c:v>9.2200000000000008E-3</c:v>
                </c:pt>
                <c:pt idx="30">
                  <c:v>8.5900000000000004E-3</c:v>
                </c:pt>
                <c:pt idx="31">
                  <c:v>8.0199999999999994E-3</c:v>
                </c:pt>
                <c:pt idx="32">
                  <c:v>8.8100000000000001E-3</c:v>
                </c:pt>
                <c:pt idx="33">
                  <c:v>8.8900000000000003E-3</c:v>
                </c:pt>
                <c:pt idx="34">
                  <c:v>8.4700000000000001E-3</c:v>
                </c:pt>
                <c:pt idx="35">
                  <c:v>8.5500000000000003E-3</c:v>
                </c:pt>
                <c:pt idx="36">
                  <c:v>1.047E-2</c:v>
                </c:pt>
                <c:pt idx="37">
                  <c:v>1.5699999999999999E-2</c:v>
                </c:pt>
                <c:pt idx="38">
                  <c:v>1.5869999999999999E-2</c:v>
                </c:pt>
                <c:pt idx="39">
                  <c:v>1.6389999999999998E-2</c:v>
                </c:pt>
                <c:pt idx="40">
                  <c:v>1.7469999999999999E-2</c:v>
                </c:pt>
                <c:pt idx="41">
                  <c:v>1.6590000000000001E-2</c:v>
                </c:pt>
                <c:pt idx="42">
                  <c:v>1.5480000000000001E-2</c:v>
                </c:pt>
                <c:pt idx="43">
                  <c:v>1.487E-2</c:v>
                </c:pt>
                <c:pt idx="44">
                  <c:v>1.414E-2</c:v>
                </c:pt>
                <c:pt idx="45">
                  <c:v>2.0369999999999999E-2</c:v>
                </c:pt>
                <c:pt idx="46">
                  <c:v>2.5389999999999999E-2</c:v>
                </c:pt>
                <c:pt idx="47">
                  <c:v>2.615E-2</c:v>
                </c:pt>
                <c:pt idx="48">
                  <c:v>2.7380000000000002E-2</c:v>
                </c:pt>
                <c:pt idx="49">
                  <c:v>2.6419999999999999E-2</c:v>
                </c:pt>
                <c:pt idx="50">
                  <c:v>2.6349999999999998E-2</c:v>
                </c:pt>
                <c:pt idx="51">
                  <c:v>2.5700000000000001E-2</c:v>
                </c:pt>
                <c:pt idx="52">
                  <c:v>2.392E-2</c:v>
                </c:pt>
                <c:pt idx="53">
                  <c:v>2.3900000000000001E-2</c:v>
                </c:pt>
                <c:pt idx="54">
                  <c:v>2.094E-2</c:v>
                </c:pt>
                <c:pt idx="55">
                  <c:v>1.839E-2</c:v>
                </c:pt>
                <c:pt idx="56">
                  <c:v>1.6709999999999999E-2</c:v>
                </c:pt>
                <c:pt idx="57">
                  <c:v>1.5570000000000001E-2</c:v>
                </c:pt>
                <c:pt idx="58">
                  <c:v>8.9200000000000008E-3</c:v>
                </c:pt>
                <c:pt idx="59">
                  <c:v>7.1599999999999997E-3</c:v>
                </c:pt>
                <c:pt idx="60">
                  <c:v>3.8E-3</c:v>
                </c:pt>
                <c:pt idx="61">
                  <c:v>1.97E-3</c:v>
                </c:pt>
                <c:pt idx="62">
                  <c:v>7.9000000000000001E-4</c:v>
                </c:pt>
                <c:pt idx="63">
                  <c:v>4.2470000000000001E-2</c:v>
                </c:pt>
                <c:pt idx="64">
                  <c:v>1.5219999999999999E-2</c:v>
                </c:pt>
                <c:pt idx="65">
                  <c:v>1.6299999999999999E-2</c:v>
                </c:pt>
                <c:pt idx="66">
                  <c:v>7.9699999999999997E-3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D1-4264-AA7A-5B5A15E07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896999"/>
        <c:axId val="1925933010"/>
      </c:lineChart>
      <c:catAx>
        <c:axId val="1282896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5933010"/>
        <c:crosses val="autoZero"/>
        <c:auto val="1"/>
        <c:lblAlgn val="ctr"/>
        <c:lblOffset val="100"/>
        <c:noMultiLvlLbl val="1"/>
      </c:catAx>
      <c:valAx>
        <c:axId val="1925933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28969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Letan!$C$1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Letan!$C$2:$C$67</c:f>
              <c:numCache>
                <c:formatCode>#,##0</c:formatCode>
                <c:ptCount val="66"/>
                <c:pt idx="0">
                  <c:v>76062.600820163949</c:v>
                </c:pt>
                <c:pt idx="1">
                  <c:v>76167.712263087014</c:v>
                </c:pt>
                <c:pt idx="2">
                  <c:v>75172.429299166062</c:v>
                </c:pt>
                <c:pt idx="3">
                  <c:v>72188.863567904555</c:v>
                </c:pt>
                <c:pt idx="4">
                  <c:v>69172.261254591809</c:v>
                </c:pt>
                <c:pt idx="5">
                  <c:v>64973.663142334175</c:v>
                </c:pt>
                <c:pt idx="6">
                  <c:v>62724.972865119642</c:v>
                </c:pt>
                <c:pt idx="7">
                  <c:v>60488.122109509961</c:v>
                </c:pt>
                <c:pt idx="8">
                  <c:v>58298.994852787779</c:v>
                </c:pt>
                <c:pt idx="9">
                  <c:v>56125.263401257092</c:v>
                </c:pt>
                <c:pt idx="10">
                  <c:v>53966.08051966528</c:v>
                </c:pt>
                <c:pt idx="11">
                  <c:v>51884.974204329614</c:v>
                </c:pt>
                <c:pt idx="12">
                  <c:v>49827.592893746805</c:v>
                </c:pt>
                <c:pt idx="13">
                  <c:v>47845.359643707983</c:v>
                </c:pt>
                <c:pt idx="14">
                  <c:v>45923.021945086657</c:v>
                </c:pt>
                <c:pt idx="15">
                  <c:v>44756.227104473044</c:v>
                </c:pt>
                <c:pt idx="16">
                  <c:v>44258.758657166494</c:v>
                </c:pt>
                <c:pt idx="17">
                  <c:v>43810.57645998089</c:v>
                </c:pt>
                <c:pt idx="18">
                  <c:v>43350.197363975465</c:v>
                </c:pt>
                <c:pt idx="19">
                  <c:v>42894.656116023296</c:v>
                </c:pt>
                <c:pt idx="20">
                  <c:v>42445.161852010504</c:v>
                </c:pt>
                <c:pt idx="21">
                  <c:v>42011.186297556742</c:v>
                </c:pt>
                <c:pt idx="22">
                  <c:v>41610.889540180207</c:v>
                </c:pt>
                <c:pt idx="23">
                  <c:v>41244.228350147394</c:v>
                </c:pt>
                <c:pt idx="24">
                  <c:v>40920.546824763514</c:v>
                </c:pt>
                <c:pt idx="25">
                  <c:v>40572.435329635242</c:v>
                </c:pt>
                <c:pt idx="26">
                  <c:v>40214.924649501176</c:v>
                </c:pt>
                <c:pt idx="27">
                  <c:v>39836.083495459359</c:v>
                </c:pt>
                <c:pt idx="28">
                  <c:v>39466.284410532666</c:v>
                </c:pt>
                <c:pt idx="29">
                  <c:v>39105.729583770306</c:v>
                </c:pt>
                <c:pt idx="30">
                  <c:v>38772.672328468754</c:v>
                </c:pt>
                <c:pt idx="31">
                  <c:v>38464.189528450581</c:v>
                </c:pt>
                <c:pt idx="32">
                  <c:v>38128.279387050665</c:v>
                </c:pt>
                <c:pt idx="33">
                  <c:v>37792.3057885901</c:v>
                </c:pt>
                <c:pt idx="34">
                  <c:v>37474.893441143613</c:v>
                </c:pt>
                <c:pt idx="35">
                  <c:v>37157.199386389977</c:v>
                </c:pt>
                <c:pt idx="36">
                  <c:v>36772.194509871624</c:v>
                </c:pt>
                <c:pt idx="37">
                  <c:v>36203.794929478805</c:v>
                </c:pt>
                <c:pt idx="38">
                  <c:v>35638.216434660739</c:v>
                </c:pt>
                <c:pt idx="39">
                  <c:v>35063.525255719498</c:v>
                </c:pt>
                <c:pt idx="40">
                  <c:v>34461.483145173319</c:v>
                </c:pt>
                <c:pt idx="41">
                  <c:v>33899.097123888016</c:v>
                </c:pt>
                <c:pt idx="42">
                  <c:v>33382.338523543563</c:v>
                </c:pt>
                <c:pt idx="43">
                  <c:v>32893.216395738928</c:v>
                </c:pt>
                <c:pt idx="44">
                  <c:v>32434.591275108884</c:v>
                </c:pt>
                <c:pt idx="45">
                  <c:v>31787.088286708629</c:v>
                </c:pt>
                <c:pt idx="46">
                  <c:v>30999.99832913197</c:v>
                </c:pt>
                <c:pt idx="47">
                  <c:v>30210.006655101079</c:v>
                </c:pt>
                <c:pt idx="48">
                  <c:v>29404.900479959782</c:v>
                </c:pt>
                <c:pt idx="49">
                  <c:v>28648.019796925026</c:v>
                </c:pt>
                <c:pt idx="50">
                  <c:v>27912.524769255149</c:v>
                </c:pt>
                <c:pt idx="51">
                  <c:v>27213.146894077359</c:v>
                </c:pt>
                <c:pt idx="52">
                  <c:v>26577.415124304011</c:v>
                </c:pt>
                <c:pt idx="53">
                  <c:v>25957.041824693828</c:v>
                </c:pt>
                <c:pt idx="54">
                  <c:v>25424.649660796746</c:v>
                </c:pt>
                <c:pt idx="55">
                  <c:v>24965.533499736594</c:v>
                </c:pt>
                <c:pt idx="56">
                  <c:v>24555.215843000064</c:v>
                </c:pt>
                <c:pt idx="57">
                  <c:v>24178.752664021249</c:v>
                </c:pt>
                <c:pt idx="58">
                  <c:v>23964.984997840511</c:v>
                </c:pt>
                <c:pt idx="59">
                  <c:v>23794.615550498936</c:v>
                </c:pt>
                <c:pt idx="60">
                  <c:v>23704.538304940164</c:v>
                </c:pt>
                <c:pt idx="61">
                  <c:v>23657.932178548424</c:v>
                </c:pt>
                <c:pt idx="62">
                  <c:v>23639.257165387768</c:v>
                </c:pt>
                <c:pt idx="63">
                  <c:v>22676.198994107999</c:v>
                </c:pt>
                <c:pt idx="64">
                  <c:v>22336.241399999999</c:v>
                </c:pt>
                <c:pt idx="65">
                  <c:v>21978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4-423C-B42F-5F1E0604A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190002"/>
        <c:axId val="1902751341"/>
      </c:lineChart>
      <c:catAx>
        <c:axId val="121919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2751341"/>
        <c:crosses val="autoZero"/>
        <c:auto val="1"/>
        <c:lblAlgn val="ctr"/>
        <c:lblOffset val="100"/>
        <c:noMultiLvlLbl val="1"/>
      </c:catAx>
      <c:valAx>
        <c:axId val="1902751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91900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Lieri!$D$1:$D$67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3.1260000000000003E-2</c:v>
                </c:pt>
                <c:pt idx="2">
                  <c:v>3.1320000000000001E-2</c:v>
                </c:pt>
                <c:pt idx="3">
                  <c:v>3.1899999999999998E-2</c:v>
                </c:pt>
                <c:pt idx="4">
                  <c:v>2.6440000000000002E-2</c:v>
                </c:pt>
                <c:pt idx="5">
                  <c:v>3.2050000000000002E-2</c:v>
                </c:pt>
                <c:pt idx="6">
                  <c:v>3.261E-2</c:v>
                </c:pt>
                <c:pt idx="7">
                  <c:v>3.2349999999999997E-2</c:v>
                </c:pt>
                <c:pt idx="8">
                  <c:v>3.2809999999999999E-2</c:v>
                </c:pt>
                <c:pt idx="9">
                  <c:v>3.2919999999999998E-2</c:v>
                </c:pt>
                <c:pt idx="10">
                  <c:v>3.2840000000000001E-2</c:v>
                </c:pt>
                <c:pt idx="11">
                  <c:v>3.2770000000000001E-2</c:v>
                </c:pt>
                <c:pt idx="12">
                  <c:v>3.2739999999999998E-2</c:v>
                </c:pt>
                <c:pt idx="13">
                  <c:v>3.2009999999999997E-2</c:v>
                </c:pt>
                <c:pt idx="14">
                  <c:v>3.1559999999999998E-2</c:v>
                </c:pt>
                <c:pt idx="15">
                  <c:v>3.056E-2</c:v>
                </c:pt>
                <c:pt idx="16">
                  <c:v>2.9569999999999999E-2</c:v>
                </c:pt>
                <c:pt idx="17">
                  <c:v>2.8680000000000001E-2</c:v>
                </c:pt>
                <c:pt idx="18">
                  <c:v>2.69E-2</c:v>
                </c:pt>
                <c:pt idx="19">
                  <c:v>2.3709999999999998E-2</c:v>
                </c:pt>
                <c:pt idx="20">
                  <c:v>2.171E-2</c:v>
                </c:pt>
                <c:pt idx="21">
                  <c:v>2.1389999999999999E-2</c:v>
                </c:pt>
                <c:pt idx="22">
                  <c:v>2.196E-2</c:v>
                </c:pt>
                <c:pt idx="23">
                  <c:v>2.1080000000000002E-2</c:v>
                </c:pt>
                <c:pt idx="24">
                  <c:v>2.06E-2</c:v>
                </c:pt>
                <c:pt idx="25">
                  <c:v>1.9699999999999999E-2</c:v>
                </c:pt>
                <c:pt idx="26">
                  <c:v>2.001E-2</c:v>
                </c:pt>
                <c:pt idx="27">
                  <c:v>1.9349999999999999E-2</c:v>
                </c:pt>
                <c:pt idx="28">
                  <c:v>1.7860000000000001E-2</c:v>
                </c:pt>
                <c:pt idx="29">
                  <c:v>1.704E-2</c:v>
                </c:pt>
                <c:pt idx="30">
                  <c:v>1.78E-2</c:v>
                </c:pt>
                <c:pt idx="31">
                  <c:v>1.9269999999999999E-2</c:v>
                </c:pt>
                <c:pt idx="32">
                  <c:v>2.0799999999999999E-2</c:v>
                </c:pt>
                <c:pt idx="33">
                  <c:v>2.2110000000000001E-2</c:v>
                </c:pt>
                <c:pt idx="34">
                  <c:v>2.1729999999999999E-2</c:v>
                </c:pt>
                <c:pt idx="35">
                  <c:v>2.1329999999999998E-2</c:v>
                </c:pt>
                <c:pt idx="36">
                  <c:v>2.1299999999999999E-2</c:v>
                </c:pt>
                <c:pt idx="37">
                  <c:v>2.035E-2</c:v>
                </c:pt>
                <c:pt idx="38">
                  <c:v>1.9519999999999999E-2</c:v>
                </c:pt>
                <c:pt idx="39">
                  <c:v>1.9210000000000001E-2</c:v>
                </c:pt>
                <c:pt idx="40">
                  <c:v>1.7780000000000001E-2</c:v>
                </c:pt>
                <c:pt idx="41">
                  <c:v>1.8089999999999998E-2</c:v>
                </c:pt>
                <c:pt idx="42">
                  <c:v>1.787E-2</c:v>
                </c:pt>
                <c:pt idx="43">
                  <c:v>1.7680000000000001E-2</c:v>
                </c:pt>
                <c:pt idx="44">
                  <c:v>1.6979999999999999E-2</c:v>
                </c:pt>
                <c:pt idx="45">
                  <c:v>1.5910000000000001E-2</c:v>
                </c:pt>
                <c:pt idx="46">
                  <c:v>1.617E-2</c:v>
                </c:pt>
                <c:pt idx="47">
                  <c:v>1.555E-2</c:v>
                </c:pt>
                <c:pt idx="48">
                  <c:v>1.5350000000000001E-2</c:v>
                </c:pt>
                <c:pt idx="49">
                  <c:v>1.515E-2</c:v>
                </c:pt>
                <c:pt idx="50">
                  <c:v>1.468E-2</c:v>
                </c:pt>
                <c:pt idx="51">
                  <c:v>1.4919999999999999E-2</c:v>
                </c:pt>
                <c:pt idx="52">
                  <c:v>1.465E-2</c:v>
                </c:pt>
                <c:pt idx="53">
                  <c:v>1.472E-2</c:v>
                </c:pt>
                <c:pt idx="54">
                  <c:v>1.4789999999999999E-2</c:v>
                </c:pt>
                <c:pt idx="55">
                  <c:v>1.477E-2</c:v>
                </c:pt>
                <c:pt idx="56">
                  <c:v>1.453E-2</c:v>
                </c:pt>
                <c:pt idx="57">
                  <c:v>1.4149999999999999E-2</c:v>
                </c:pt>
                <c:pt idx="58">
                  <c:v>1.3129999999999999E-2</c:v>
                </c:pt>
                <c:pt idx="59">
                  <c:v>1.383E-2</c:v>
                </c:pt>
                <c:pt idx="60">
                  <c:v>1.3820000000000001E-2</c:v>
                </c:pt>
                <c:pt idx="61">
                  <c:v>1.3780000000000001E-2</c:v>
                </c:pt>
                <c:pt idx="62">
                  <c:v>1.379E-2</c:v>
                </c:pt>
                <c:pt idx="63">
                  <c:v>1.379E-2</c:v>
                </c:pt>
                <c:pt idx="64">
                  <c:v>1.4319999999999999E-2</c:v>
                </c:pt>
                <c:pt idx="65">
                  <c:v>1.47E-2</c:v>
                </c:pt>
                <c:pt idx="66">
                  <c:v>1.4800000000000001E-2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B8-43B2-A6CE-9C2905C1C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25264"/>
        <c:axId val="1251580992"/>
      </c:lineChart>
      <c:catAx>
        <c:axId val="210452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1580992"/>
        <c:crosses val="autoZero"/>
        <c:auto val="1"/>
        <c:lblAlgn val="ctr"/>
        <c:lblOffset val="100"/>
        <c:noMultiLvlLbl val="1"/>
      </c:catAx>
      <c:valAx>
        <c:axId val="1251580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45252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Lieri!$C$1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Lieri!$C$2:$C$67</c:f>
              <c:numCache>
                <c:formatCode>#,##0</c:formatCode>
                <c:ptCount val="66"/>
                <c:pt idx="0">
                  <c:v>36478054.256474152</c:v>
                </c:pt>
                <c:pt idx="1">
                  <c:v>35372315.668671481</c:v>
                </c:pt>
                <c:pt idx="2">
                  <c:v>34298099.20167502</c:v>
                </c:pt>
                <c:pt idx="3">
                  <c:v>33237812.967995945</c:v>
                </c:pt>
                <c:pt idx="4">
                  <c:v>32381642.344409753</c:v>
                </c:pt>
                <c:pt idx="5">
                  <c:v>31376040.2542607</c:v>
                </c:pt>
                <c:pt idx="6">
                  <c:v>30385179.549162511</c:v>
                </c:pt>
                <c:pt idx="7">
                  <c:v>29433021.309790775</c:v>
                </c:pt>
                <c:pt idx="8">
                  <c:v>28498001.868485756</c:v>
                </c:pt>
                <c:pt idx="9">
                  <c:v>27589747.384585209</c:v>
                </c:pt>
                <c:pt idx="10">
                  <c:v>26712508.602092493</c:v>
                </c:pt>
                <c:pt idx="11">
                  <c:v>25864915.326832201</c:v>
                </c:pt>
                <c:pt idx="12">
                  <c:v>25044943.864701863</c:v>
                </c:pt>
                <c:pt idx="13">
                  <c:v>24268121.301830273</c:v>
                </c:pt>
                <c:pt idx="14">
                  <c:v>23525651.733132608</c:v>
                </c:pt>
                <c:pt idx="15">
                  <c:v>22828027.221251175</c:v>
                </c:pt>
                <c:pt idx="16">
                  <c:v>22172389.659033552</c:v>
                </c:pt>
                <c:pt idx="17">
                  <c:v>21554214.779167041</c:v>
                </c:pt>
                <c:pt idx="18">
                  <c:v>20989594.682215448</c:v>
                </c:pt>
                <c:pt idx="19">
                  <c:v>20503457.700145014</c:v>
                </c:pt>
                <c:pt idx="20">
                  <c:v>20067786.064680796</c:v>
                </c:pt>
                <c:pt idx="21">
                  <c:v>19647525.494356509</c:v>
                </c:pt>
                <c:pt idx="22">
                  <c:v>19225337.091820139</c:v>
                </c:pt>
                <c:pt idx="23">
                  <c:v>18828433.709229581</c:v>
                </c:pt>
                <c:pt idx="24">
                  <c:v>18448396.736458536</c:v>
                </c:pt>
                <c:pt idx="25">
                  <c:v>18091984.639068879</c:v>
                </c:pt>
                <c:pt idx="26">
                  <c:v>17737065.949420962</c:v>
                </c:pt>
                <c:pt idx="27">
                  <c:v>17400368.812891513</c:v>
                </c:pt>
                <c:pt idx="28">
                  <c:v>17095051.198486544</c:v>
                </c:pt>
                <c:pt idx="29">
                  <c:v>16808632.107376844</c:v>
                </c:pt>
                <c:pt idx="30">
                  <c:v>16514670.964213837</c:v>
                </c:pt>
                <c:pt idx="31">
                  <c:v>16202449.757388953</c:v>
                </c:pt>
                <c:pt idx="32">
                  <c:v>15872305.796815198</c:v>
                </c:pt>
                <c:pt idx="33">
                  <c:v>15528960.480589366</c:v>
                </c:pt>
                <c:pt idx="34">
                  <c:v>15198692.884215366</c:v>
                </c:pt>
                <c:pt idx="35">
                  <c:v>14881275.282440901</c:v>
                </c:pt>
                <c:pt idx="36">
                  <c:v>14570914.797259277</c:v>
                </c:pt>
                <c:pt idx="37">
                  <c:v>14280310.479011394</c:v>
                </c:pt>
                <c:pt idx="38">
                  <c:v>14006895.871597806</c:v>
                </c:pt>
                <c:pt idx="39">
                  <c:v>13742894.861312004</c:v>
                </c:pt>
                <c:pt idx="40">
                  <c:v>13502814.813920498</c:v>
                </c:pt>
                <c:pt idx="41">
                  <c:v>13262889.149211267</c:v>
                </c:pt>
                <c:pt idx="42">
                  <c:v>13030042.293427713</c:v>
                </c:pt>
                <c:pt idx="43">
                  <c:v>12803673.348624041</c:v>
                </c:pt>
                <c:pt idx="44">
                  <c:v>12589896.899274362</c:v>
                </c:pt>
                <c:pt idx="45">
                  <c:v>12392728.587448062</c:v>
                </c:pt>
                <c:pt idx="46">
                  <c:v>12195526.917196987</c:v>
                </c:pt>
                <c:pt idx="47">
                  <c:v>12008790.229133954</c:v>
                </c:pt>
                <c:pt idx="48">
                  <c:v>11827242.063459845</c:v>
                </c:pt>
                <c:pt idx="49">
                  <c:v>11650733.451667089</c:v>
                </c:pt>
                <c:pt idx="50">
                  <c:v>11482175.120892389</c:v>
                </c:pt>
                <c:pt idx="51">
                  <c:v>11313379.498770729</c:v>
                </c:pt>
                <c:pt idx="52">
                  <c:v>11150031.536757234</c:v>
                </c:pt>
                <c:pt idx="53">
                  <c:v>10988283.996331237</c:v>
                </c:pt>
                <c:pt idx="54">
                  <c:v>10828135.866860371</c:v>
                </c:pt>
                <c:pt idx="55">
                  <c:v>10670532.107630666</c:v>
                </c:pt>
                <c:pt idx="56">
                  <c:v>10517709.784462428</c:v>
                </c:pt>
                <c:pt idx="57">
                  <c:v>10370960.690689174</c:v>
                </c:pt>
                <c:pt idx="58">
                  <c:v>10236554.727122061</c:v>
                </c:pt>
                <c:pt idx="59">
                  <c:v>10096914.400956828</c:v>
                </c:pt>
                <c:pt idx="60">
                  <c:v>9959277.1901884247</c:v>
                </c:pt>
                <c:pt idx="61">
                  <c:v>9823903.7958811838</c:v>
                </c:pt>
                <c:pt idx="62">
                  <c:v>9690274.9049420338</c:v>
                </c:pt>
                <c:pt idx="63">
                  <c:v>9558463.6906479988</c:v>
                </c:pt>
                <c:pt idx="64">
                  <c:v>9423518.8999999985</c:v>
                </c:pt>
                <c:pt idx="65">
                  <c:v>9287000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0-43E2-83E0-4CACCCB64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808177"/>
        <c:axId val="1118266884"/>
      </c:lineChart>
      <c:catAx>
        <c:axId val="1476808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8266884"/>
        <c:crosses val="autoZero"/>
        <c:auto val="1"/>
        <c:lblAlgn val="ctr"/>
        <c:lblOffset val="100"/>
        <c:noMultiLvlLbl val="1"/>
      </c:catAx>
      <c:valAx>
        <c:axId val="1118266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68081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Lycroa!$D$1:$D$67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3.7000000000000002E-3</c:v>
                </c:pt>
                <c:pt idx="2">
                  <c:v>4.0000000000000001E-3</c:v>
                </c:pt>
                <c:pt idx="3">
                  <c:v>3.9199999999999999E-3</c:v>
                </c:pt>
                <c:pt idx="4">
                  <c:v>4.0200000000000001E-3</c:v>
                </c:pt>
                <c:pt idx="5">
                  <c:v>4.3E-3</c:v>
                </c:pt>
                <c:pt idx="6">
                  <c:v>4.2199999999999998E-3</c:v>
                </c:pt>
                <c:pt idx="7">
                  <c:v>4.45E-3</c:v>
                </c:pt>
                <c:pt idx="8">
                  <c:v>6.7200000000000003E-3</c:v>
                </c:pt>
                <c:pt idx="9">
                  <c:v>5.2500000000000003E-3</c:v>
                </c:pt>
                <c:pt idx="10">
                  <c:v>3.7599999999999999E-3</c:v>
                </c:pt>
                <c:pt idx="11">
                  <c:v>4.2500000000000003E-3</c:v>
                </c:pt>
                <c:pt idx="12">
                  <c:v>7.5199999999999998E-3</c:v>
                </c:pt>
                <c:pt idx="13">
                  <c:v>7.5700000000000003E-3</c:v>
                </c:pt>
                <c:pt idx="14">
                  <c:v>3.5100000000000001E-3</c:v>
                </c:pt>
                <c:pt idx="15">
                  <c:v>3.5000000000000001E-3</c:v>
                </c:pt>
                <c:pt idx="16">
                  <c:v>6.7000000000000002E-4</c:v>
                </c:pt>
                <c:pt idx="17">
                  <c:v>4.2000000000000002E-4</c:v>
                </c:pt>
                <c:pt idx="18">
                  <c:v>4.6999999999999999E-4</c:v>
                </c:pt>
                <c:pt idx="19">
                  <c:v>4.2999999999999999E-4</c:v>
                </c:pt>
                <c:pt idx="20">
                  <c:v>5.1999999999999995E-4</c:v>
                </c:pt>
                <c:pt idx="21">
                  <c:v>3.5E-4</c:v>
                </c:pt>
                <c:pt idx="22">
                  <c:v>1.3500000000000001E-3</c:v>
                </c:pt>
                <c:pt idx="23">
                  <c:v>1.5E-3</c:v>
                </c:pt>
                <c:pt idx="24">
                  <c:v>1.25E-3</c:v>
                </c:pt>
                <c:pt idx="25">
                  <c:v>4.8999999999999998E-4</c:v>
                </c:pt>
                <c:pt idx="26">
                  <c:v>1.0499999999999999E-3</c:v>
                </c:pt>
                <c:pt idx="27">
                  <c:v>8.7000000000000001E-4</c:v>
                </c:pt>
                <c:pt idx="28">
                  <c:v>8.1999999999999998E-4</c:v>
                </c:pt>
                <c:pt idx="29">
                  <c:v>4.8000000000000001E-4</c:v>
                </c:pt>
                <c:pt idx="30">
                  <c:v>9.0000000000000006E-5</c:v>
                </c:pt>
                <c:pt idx="31">
                  <c:v>6.4000000000000005E-4</c:v>
                </c:pt>
                <c:pt idx="32">
                  <c:v>9.5E-4</c:v>
                </c:pt>
                <c:pt idx="33">
                  <c:v>5.9999999999999995E-4</c:v>
                </c:pt>
                <c:pt idx="34">
                  <c:v>1.0499999999999999E-3</c:v>
                </c:pt>
                <c:pt idx="35">
                  <c:v>1.5100000000000001E-3</c:v>
                </c:pt>
                <c:pt idx="36">
                  <c:v>6.8100000000000001E-3</c:v>
                </c:pt>
                <c:pt idx="37">
                  <c:v>3.1199999999999999E-3</c:v>
                </c:pt>
                <c:pt idx="38">
                  <c:v>3.7799999999999999E-3</c:v>
                </c:pt>
                <c:pt idx="39">
                  <c:v>4.2599999999999999E-3</c:v>
                </c:pt>
                <c:pt idx="40">
                  <c:v>4.9199999999999999E-3</c:v>
                </c:pt>
                <c:pt idx="41">
                  <c:v>5.6899999999999997E-3</c:v>
                </c:pt>
                <c:pt idx="42">
                  <c:v>6.8599999999999998E-3</c:v>
                </c:pt>
                <c:pt idx="43">
                  <c:v>6.7000000000000002E-3</c:v>
                </c:pt>
                <c:pt idx="44">
                  <c:v>7.4200000000000004E-3</c:v>
                </c:pt>
                <c:pt idx="45">
                  <c:v>5.9300000000000004E-3</c:v>
                </c:pt>
                <c:pt idx="46">
                  <c:v>5.9300000000000004E-3</c:v>
                </c:pt>
                <c:pt idx="47">
                  <c:v>6.4799999999999996E-3</c:v>
                </c:pt>
                <c:pt idx="48">
                  <c:v>6.6800000000000002E-3</c:v>
                </c:pt>
                <c:pt idx="49">
                  <c:v>7.5500000000000003E-3</c:v>
                </c:pt>
                <c:pt idx="50">
                  <c:v>8.5400000000000007E-3</c:v>
                </c:pt>
                <c:pt idx="51">
                  <c:v>8.4200000000000004E-3</c:v>
                </c:pt>
                <c:pt idx="52">
                  <c:v>9.58E-3</c:v>
                </c:pt>
                <c:pt idx="53">
                  <c:v>8.0800000000000004E-3</c:v>
                </c:pt>
                <c:pt idx="54">
                  <c:v>7.8200000000000006E-3</c:v>
                </c:pt>
                <c:pt idx="55">
                  <c:v>6.3899999999999998E-3</c:v>
                </c:pt>
                <c:pt idx="56">
                  <c:v>5.7200000000000003E-3</c:v>
                </c:pt>
                <c:pt idx="57">
                  <c:v>6.2399999999999999E-3</c:v>
                </c:pt>
                <c:pt idx="58">
                  <c:v>5.6699999999999997E-3</c:v>
                </c:pt>
                <c:pt idx="59">
                  <c:v>5.4000000000000003E-3</c:v>
                </c:pt>
                <c:pt idx="60">
                  <c:v>5.1200000000000004E-3</c:v>
                </c:pt>
                <c:pt idx="61">
                  <c:v>6.1199999999999996E-3</c:v>
                </c:pt>
                <c:pt idx="62">
                  <c:v>6.3200000000000001E-3</c:v>
                </c:pt>
                <c:pt idx="63">
                  <c:v>1.1390000000000001E-2</c:v>
                </c:pt>
                <c:pt idx="64">
                  <c:v>5.2100000000000002E-3</c:v>
                </c:pt>
                <c:pt idx="65">
                  <c:v>6.1500000000000001E-3</c:v>
                </c:pt>
                <c:pt idx="66">
                  <c:v>9.3399999999999993E-3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4C-4C43-B998-3AAAA677A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127517"/>
        <c:axId val="1333220283"/>
      </c:lineChart>
      <c:catAx>
        <c:axId val="517127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3220283"/>
        <c:crosses val="autoZero"/>
        <c:auto val="1"/>
        <c:lblAlgn val="ctr"/>
        <c:lblOffset val="100"/>
        <c:noMultiLvlLbl val="1"/>
      </c:catAx>
      <c:valAx>
        <c:axId val="1333220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1275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Lycroa!$C$1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Lycroa!$C$2:$C$67</c:f>
              <c:numCache>
                <c:formatCode>#,##0</c:formatCode>
                <c:ptCount val="66"/>
                <c:pt idx="0">
                  <c:v>81317223.036466882</c:v>
                </c:pt>
                <c:pt idx="1">
                  <c:v>81017458.440237999</c:v>
                </c:pt>
                <c:pt idx="2">
                  <c:v>80694679.721352592</c:v>
                </c:pt>
                <c:pt idx="3">
                  <c:v>80379591.721803129</c:v>
                </c:pt>
                <c:pt idx="4">
                  <c:v>80057759.528498575</c:v>
                </c:pt>
                <c:pt idx="5">
                  <c:v>79714985.09260039</c:v>
                </c:pt>
                <c:pt idx="6">
                  <c:v>79380001.486328095</c:v>
                </c:pt>
                <c:pt idx="7">
                  <c:v>79028325.438128412</c:v>
                </c:pt>
                <c:pt idx="8">
                  <c:v>78500800.061713696</c:v>
                </c:pt>
                <c:pt idx="9">
                  <c:v>78090823.23970525</c:v>
                </c:pt>
                <c:pt idx="10">
                  <c:v>77798301.625593022</c:v>
                </c:pt>
                <c:pt idx="11">
                  <c:v>77469058.128546685</c:v>
                </c:pt>
                <c:pt idx="12">
                  <c:v>76890839.019122884</c:v>
                </c:pt>
                <c:pt idx="13">
                  <c:v>76313148.485090747</c:v>
                </c:pt>
                <c:pt idx="14">
                  <c:v>76046226.231019869</c:v>
                </c:pt>
                <c:pt idx="15">
                  <c:v>75780992.756372556</c:v>
                </c:pt>
                <c:pt idx="16">
                  <c:v>75730253.486536577</c:v>
                </c:pt>
                <c:pt idx="17">
                  <c:v>75698460.13328059</c:v>
                </c:pt>
                <c:pt idx="18">
                  <c:v>75662898.570952252</c:v>
                </c:pt>
                <c:pt idx="19">
                  <c:v>75630377.508623555</c:v>
                </c:pt>
                <c:pt idx="20">
                  <c:v>75591070.152144432</c:v>
                </c:pt>
                <c:pt idx="21">
                  <c:v>75564622.534257442</c:v>
                </c:pt>
                <c:pt idx="22">
                  <c:v>75462747.824694112</c:v>
                </c:pt>
                <c:pt idx="23">
                  <c:v>75349723.239834353</c:v>
                </c:pt>
                <c:pt idx="24">
                  <c:v>75255653.672743425</c:v>
                </c:pt>
                <c:pt idx="25">
                  <c:v>75218796.462476805</c:v>
                </c:pt>
                <c:pt idx="26">
                  <c:v>75139899.567930475</c:v>
                </c:pt>
                <c:pt idx="27">
                  <c:v>75074584.679259524</c:v>
                </c:pt>
                <c:pt idx="28">
                  <c:v>75013073.958613455</c:v>
                </c:pt>
                <c:pt idx="29">
                  <c:v>74977084.957833692</c:v>
                </c:pt>
                <c:pt idx="30">
                  <c:v>74970337.627447233</c:v>
                </c:pt>
                <c:pt idx="31">
                  <c:v>74922387.299575508</c:v>
                </c:pt>
                <c:pt idx="32">
                  <c:v>74851278.58491984</c:v>
                </c:pt>
                <c:pt idx="33">
                  <c:v>74806394.748071</c:v>
                </c:pt>
                <c:pt idx="34">
                  <c:v>74727930.421128809</c:v>
                </c:pt>
                <c:pt idx="35">
                  <c:v>74615261.376450375</c:v>
                </c:pt>
                <c:pt idx="36">
                  <c:v>74110568.405608177</c:v>
                </c:pt>
                <c:pt idx="37">
                  <c:v>73880062.610264152</c:v>
                </c:pt>
                <c:pt idx="38">
                  <c:v>73601847.62623699</c:v>
                </c:pt>
                <c:pt idx="39">
                  <c:v>73289633.78630732</c:v>
                </c:pt>
                <c:pt idx="40">
                  <c:v>72930814.180539072</c:v>
                </c:pt>
                <c:pt idx="41">
                  <c:v>72518185.703883976</c:v>
                </c:pt>
                <c:pt idx="42">
                  <c:v>72024100.375309348</c:v>
                </c:pt>
                <c:pt idx="43">
                  <c:v>71544750.546646819</c:v>
                </c:pt>
                <c:pt idx="44">
                  <c:v>71017798.481911033</c:v>
                </c:pt>
                <c:pt idx="45">
                  <c:v>70599145.548806608</c:v>
                </c:pt>
                <c:pt idx="46">
                  <c:v>70182960.592493117</c:v>
                </c:pt>
                <c:pt idx="47">
                  <c:v>69731103.044763044</c:v>
                </c:pt>
                <c:pt idx="48">
                  <c:v>69268390.198238805</c:v>
                </c:pt>
                <c:pt idx="49">
                  <c:v>68749332.736081392</c:v>
                </c:pt>
                <c:pt idx="50">
                  <c:v>68167184.976383075</c:v>
                </c:pt>
                <c:pt idx="51">
                  <c:v>67598009.734419256</c:v>
                </c:pt>
                <c:pt idx="52">
                  <c:v>66956565.833732113</c:v>
                </c:pt>
                <c:pt idx="53">
                  <c:v>66419893.097504273</c:v>
                </c:pt>
                <c:pt idx="54">
                  <c:v>65904519.753035538</c:v>
                </c:pt>
                <c:pt idx="55">
                  <c:v>65486063.805319555</c:v>
                </c:pt>
                <c:pt idx="56">
                  <c:v>65113613.933619253</c:v>
                </c:pt>
                <c:pt idx="57">
                  <c:v>64709824.627940901</c:v>
                </c:pt>
                <c:pt idx="58">
                  <c:v>64344988.542902641</c:v>
                </c:pt>
                <c:pt idx="59">
                  <c:v>63999391.827036642</c:v>
                </c:pt>
                <c:pt idx="60">
                  <c:v>63673384.100442372</c:v>
                </c:pt>
                <c:pt idx="61">
                  <c:v>63286073.331652664</c:v>
                </c:pt>
                <c:pt idx="62">
                  <c:v>62888617.270503081</c:v>
                </c:pt>
                <c:pt idx="63">
                  <c:v>62180382.711420007</c:v>
                </c:pt>
                <c:pt idx="64">
                  <c:v>61858102.000000007</c:v>
                </c:pt>
                <c:pt idx="65">
                  <c:v>61480000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3-41A5-B6E8-F962A8C34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927902"/>
        <c:axId val="415084939"/>
      </c:lineChart>
      <c:catAx>
        <c:axId val="1480927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5084939"/>
        <c:crosses val="autoZero"/>
        <c:auto val="1"/>
        <c:lblAlgn val="ctr"/>
        <c:lblOffset val="100"/>
        <c:noMultiLvlLbl val="1"/>
      </c:catAx>
      <c:valAx>
        <c:axId val="415084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09279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Lydroa!$D$1:$D$67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2.82E-3</c:v>
                </c:pt>
                <c:pt idx="2">
                  <c:v>3.7699999999999999E-3</c:v>
                </c:pt>
                <c:pt idx="3">
                  <c:v>4.5300000000000002E-3</c:v>
                </c:pt>
                <c:pt idx="4">
                  <c:v>4.7099999999999998E-3</c:v>
                </c:pt>
                <c:pt idx="5">
                  <c:v>4.8199999999999996E-3</c:v>
                </c:pt>
                <c:pt idx="6">
                  <c:v>4.4400000000000004E-3</c:v>
                </c:pt>
                <c:pt idx="7">
                  <c:v>4.7099999999999998E-3</c:v>
                </c:pt>
                <c:pt idx="8">
                  <c:v>4.8599999999999997E-3</c:v>
                </c:pt>
                <c:pt idx="9">
                  <c:v>4.45E-3</c:v>
                </c:pt>
                <c:pt idx="10">
                  <c:v>4.0600000000000002E-3</c:v>
                </c:pt>
                <c:pt idx="11">
                  <c:v>3.6099999999999999E-3</c:v>
                </c:pt>
                <c:pt idx="12">
                  <c:v>3.2399999999999998E-3</c:v>
                </c:pt>
                <c:pt idx="13">
                  <c:v>2.5799999999999998E-3</c:v>
                </c:pt>
                <c:pt idx="14">
                  <c:v>2.1900000000000001E-3</c:v>
                </c:pt>
                <c:pt idx="15">
                  <c:v>2.66E-3</c:v>
                </c:pt>
                <c:pt idx="16">
                  <c:v>1.8799999999999999E-3</c:v>
                </c:pt>
                <c:pt idx="17">
                  <c:v>2.2499999999999998E-3</c:v>
                </c:pt>
                <c:pt idx="18">
                  <c:v>2.3900000000000002E-3</c:v>
                </c:pt>
                <c:pt idx="19">
                  <c:v>2.8999999999999998E-3</c:v>
                </c:pt>
                <c:pt idx="20">
                  <c:v>3.0200000000000001E-3</c:v>
                </c:pt>
                <c:pt idx="21">
                  <c:v>3.5400000000000002E-3</c:v>
                </c:pt>
                <c:pt idx="22">
                  <c:v>4.0899999999999999E-3</c:v>
                </c:pt>
                <c:pt idx="23">
                  <c:v>4.5199999999999997E-3</c:v>
                </c:pt>
                <c:pt idx="24">
                  <c:v>5.1500000000000001E-3</c:v>
                </c:pt>
                <c:pt idx="25">
                  <c:v>6.0899999999999999E-3</c:v>
                </c:pt>
                <c:pt idx="26">
                  <c:v>4.8199999999999996E-3</c:v>
                </c:pt>
                <c:pt idx="27">
                  <c:v>4.0400000000000002E-3</c:v>
                </c:pt>
                <c:pt idx="28">
                  <c:v>3.1800000000000001E-3</c:v>
                </c:pt>
                <c:pt idx="29">
                  <c:v>2.63E-3</c:v>
                </c:pt>
                <c:pt idx="30">
                  <c:v>3.0500000000000002E-3</c:v>
                </c:pt>
                <c:pt idx="31">
                  <c:v>3.46E-3</c:v>
                </c:pt>
                <c:pt idx="32">
                  <c:v>4.8900000000000002E-3</c:v>
                </c:pt>
                <c:pt idx="33">
                  <c:v>5.7999999999999996E-3</c:v>
                </c:pt>
                <c:pt idx="34">
                  <c:v>6.1399999999999996E-3</c:v>
                </c:pt>
                <c:pt idx="35">
                  <c:v>5.0899999999999999E-3</c:v>
                </c:pt>
                <c:pt idx="36">
                  <c:v>3.46E-3</c:v>
                </c:pt>
                <c:pt idx="37">
                  <c:v>2.7799999999999999E-3</c:v>
                </c:pt>
                <c:pt idx="38">
                  <c:v>2.3400000000000001E-3</c:v>
                </c:pt>
                <c:pt idx="39">
                  <c:v>3.4199999999999999E-3</c:v>
                </c:pt>
                <c:pt idx="40">
                  <c:v>2.1800000000000001E-3</c:v>
                </c:pt>
                <c:pt idx="41">
                  <c:v>3.8300000000000001E-3</c:v>
                </c:pt>
                <c:pt idx="42">
                  <c:v>5.0299999999999997E-3</c:v>
                </c:pt>
                <c:pt idx="43">
                  <c:v>5.4200000000000003E-3</c:v>
                </c:pt>
                <c:pt idx="44">
                  <c:v>5.9100000000000003E-3</c:v>
                </c:pt>
                <c:pt idx="45">
                  <c:v>5.94E-3</c:v>
                </c:pt>
                <c:pt idx="46">
                  <c:v>-3.4199999999999999E-3</c:v>
                </c:pt>
                <c:pt idx="47">
                  <c:v>-4.28E-3</c:v>
                </c:pt>
                <c:pt idx="48">
                  <c:v>2.8700000000000002E-3</c:v>
                </c:pt>
                <c:pt idx="49">
                  <c:v>6.1000000000000004E-3</c:v>
                </c:pt>
                <c:pt idx="50">
                  <c:v>4.8700000000000002E-3</c:v>
                </c:pt>
                <c:pt idx="51">
                  <c:v>2.6900000000000001E-3</c:v>
                </c:pt>
                <c:pt idx="52">
                  <c:v>3.9199999999999999E-3</c:v>
                </c:pt>
                <c:pt idx="53">
                  <c:v>7.0800000000000004E-3</c:v>
                </c:pt>
                <c:pt idx="54">
                  <c:v>7.1900000000000002E-3</c:v>
                </c:pt>
                <c:pt idx="55">
                  <c:v>6.6499999999999997E-3</c:v>
                </c:pt>
                <c:pt idx="56">
                  <c:v>7.4700000000000001E-3</c:v>
                </c:pt>
                <c:pt idx="57">
                  <c:v>8.3499999999999998E-3</c:v>
                </c:pt>
                <c:pt idx="58">
                  <c:v>7.5799999999999999E-3</c:v>
                </c:pt>
                <c:pt idx="59">
                  <c:v>8.8699999999999994E-3</c:v>
                </c:pt>
                <c:pt idx="60">
                  <c:v>1.078E-2</c:v>
                </c:pt>
                <c:pt idx="61">
                  <c:v>1.1169999999999999E-2</c:v>
                </c:pt>
                <c:pt idx="62">
                  <c:v>1.1599999999999999E-2</c:v>
                </c:pt>
                <c:pt idx="63">
                  <c:v>1.1209999999999999E-2</c:v>
                </c:pt>
                <c:pt idx="64">
                  <c:v>1.2579999999999999E-2</c:v>
                </c:pt>
                <c:pt idx="65">
                  <c:v>8.6300000000000005E-3</c:v>
                </c:pt>
                <c:pt idx="66">
                  <c:v>1.0869999999999999E-2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7C-4873-8E7D-AC625C04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631532"/>
        <c:axId val="1841557914"/>
      </c:lineChart>
      <c:catAx>
        <c:axId val="1901631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1557914"/>
        <c:crosses val="autoZero"/>
        <c:auto val="1"/>
        <c:lblAlgn val="ctr"/>
        <c:lblOffset val="100"/>
        <c:noMultiLvlLbl val="1"/>
      </c:catAx>
      <c:valAx>
        <c:axId val="1841557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16315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Lydroa!$C$1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Lydroa!$C$2:$C$67</c:f>
              <c:numCache>
                <c:formatCode>#,##0</c:formatCode>
                <c:ptCount val="66"/>
                <c:pt idx="0">
                  <c:v>18994488.841943882</c:v>
                </c:pt>
                <c:pt idx="1">
                  <c:v>18941075.010414511</c:v>
                </c:pt>
                <c:pt idx="2">
                  <c:v>18869935.354129441</c:v>
                </c:pt>
                <c:pt idx="3">
                  <c:v>18784840.028798983</c:v>
                </c:pt>
                <c:pt idx="4">
                  <c:v>18696778.203460682</c:v>
                </c:pt>
                <c:pt idx="5">
                  <c:v>18607092.019924644</c:v>
                </c:pt>
                <c:pt idx="6">
                  <c:v>18524841.722675964</c:v>
                </c:pt>
                <c:pt idx="7">
                  <c:v>18437998.7485702</c:v>
                </c:pt>
                <c:pt idx="8">
                  <c:v>18348823.466522899</c:v>
                </c:pt>
                <c:pt idx="9">
                  <c:v>18267532.94491801</c:v>
                </c:pt>
                <c:pt idx="10">
                  <c:v>18193666.658285372</c:v>
                </c:pt>
                <c:pt idx="11">
                  <c:v>18128223.770473965</c:v>
                </c:pt>
                <c:pt idx="12">
                  <c:v>18069678.013709549</c:v>
                </c:pt>
                <c:pt idx="13">
                  <c:v>18023178.213917639</c:v>
                </c:pt>
                <c:pt idx="14">
                  <c:v>17983793.705702152</c:v>
                </c:pt>
                <c:pt idx="15">
                  <c:v>17936083.722998973</c:v>
                </c:pt>
                <c:pt idx="16">
                  <c:v>17902427.159938287</c:v>
                </c:pt>
                <c:pt idx="17">
                  <c:v>17862237.126403876</c:v>
                </c:pt>
                <c:pt idx="18">
                  <c:v>17819648.167284068</c:v>
                </c:pt>
                <c:pt idx="19">
                  <c:v>17768120.617493339</c:v>
                </c:pt>
                <c:pt idx="20">
                  <c:v>17714622.457671173</c:v>
                </c:pt>
                <c:pt idx="21">
                  <c:v>17652133.903652243</c:v>
                </c:pt>
                <c:pt idx="22">
                  <c:v>17580230.759844482</c:v>
                </c:pt>
                <c:pt idx="23">
                  <c:v>17501125.671807908</c:v>
                </c:pt>
                <c:pt idx="24">
                  <c:v>17411456.669957627</c:v>
                </c:pt>
                <c:pt idx="25">
                  <c:v>17306062.747823384</c:v>
                </c:pt>
                <c:pt idx="26">
                  <c:v>17223047.658111285</c:v>
                </c:pt>
                <c:pt idx="27">
                  <c:v>17153746.522161752</c:v>
                </c:pt>
                <c:pt idx="28">
                  <c:v>17099370.523895763</c:v>
                </c:pt>
                <c:pt idx="29">
                  <c:v>17054517.143807549</c:v>
                </c:pt>
                <c:pt idx="30">
                  <c:v>17002659.033754598</c:v>
                </c:pt>
                <c:pt idx="31">
                  <c:v>16944032.680679448</c:v>
                </c:pt>
                <c:pt idx="32">
                  <c:v>16861579.556647442</c:v>
                </c:pt>
                <c:pt idx="33">
                  <c:v>16764346.347830027</c:v>
                </c:pt>
                <c:pt idx="34">
                  <c:v>16662041.413550824</c:v>
                </c:pt>
                <c:pt idx="35">
                  <c:v>16577661.118457872</c:v>
                </c:pt>
                <c:pt idx="36">
                  <c:v>16520500.187808055</c:v>
                </c:pt>
                <c:pt idx="37">
                  <c:v>16474700.520361451</c:v>
                </c:pt>
                <c:pt idx="38">
                  <c:v>16436239.719418013</c:v>
                </c:pt>
                <c:pt idx="39">
                  <c:v>16380219.369175434</c:v>
                </c:pt>
                <c:pt idx="40">
                  <c:v>16344588.166971436</c:v>
                </c:pt>
                <c:pt idx="41">
                  <c:v>16282227.236655047</c:v>
                </c:pt>
                <c:pt idx="42">
                  <c:v>16200737.526894765</c:v>
                </c:pt>
                <c:pt idx="43">
                  <c:v>16113402.883267455</c:v>
                </c:pt>
                <c:pt idx="44">
                  <c:v>16018732.176106663</c:v>
                </c:pt>
                <c:pt idx="45">
                  <c:v>15924142.768064361</c:v>
                </c:pt>
                <c:pt idx="46">
                  <c:v>15978790.230653195</c:v>
                </c:pt>
                <c:pt idx="47">
                  <c:v>16047473.41687743</c:v>
                </c:pt>
                <c:pt idx="48">
                  <c:v>16001548.971329715</c:v>
                </c:pt>
                <c:pt idx="49">
                  <c:v>15904531.330215402</c:v>
                </c:pt>
                <c:pt idx="50">
                  <c:v>15827451.640725072</c:v>
                </c:pt>
                <c:pt idx="51">
                  <c:v>15784990.017577788</c:v>
                </c:pt>
                <c:pt idx="52">
                  <c:v>15723354.468062982</c:v>
                </c:pt>
                <c:pt idx="53">
                  <c:v>15612815.732675638</c:v>
                </c:pt>
                <c:pt idx="54">
                  <c:v>15501360.947463376</c:v>
                </c:pt>
                <c:pt idx="55">
                  <c:v>15398957.877577486</c:v>
                </c:pt>
                <c:pt idx="56">
                  <c:v>15284780.566743907</c:v>
                </c:pt>
                <c:pt idx="57">
                  <c:v>15158209.517274663</c:v>
                </c:pt>
                <c:pt idx="58">
                  <c:v>15044174.673251418</c:v>
                </c:pt>
                <c:pt idx="59">
                  <c:v>14911906.066442078</c:v>
                </c:pt>
                <c:pt idx="60">
                  <c:v>14752870.126478638</c:v>
                </c:pt>
                <c:pt idx="61">
                  <c:v>14589900.933056399</c:v>
                </c:pt>
                <c:pt idx="62">
                  <c:v>14422598.78712574</c:v>
                </c:pt>
                <c:pt idx="63">
                  <c:v>14262713.765811</c:v>
                </c:pt>
                <c:pt idx="64">
                  <c:v>14085517.949999999</c:v>
                </c:pt>
                <c:pt idx="65">
                  <c:v>13965000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F-4329-BE21-5DE4C80E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176223"/>
        <c:axId val="620359554"/>
      </c:lineChart>
      <c:catAx>
        <c:axId val="79517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0359554"/>
        <c:crosses val="autoZero"/>
        <c:auto val="1"/>
        <c:lblAlgn val="ctr"/>
        <c:lblOffset val="100"/>
        <c:noMultiLvlLbl val="1"/>
      </c:catAx>
      <c:valAx>
        <c:axId val="620359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1762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Maalle!$D$1:$D$67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8.6400000000000001E-3</c:v>
                </c:pt>
                <c:pt idx="2">
                  <c:v>8.6599999999999993E-3</c:v>
                </c:pt>
                <c:pt idx="3">
                  <c:v>9.1900000000000003E-3</c:v>
                </c:pt>
                <c:pt idx="4">
                  <c:v>9.7800000000000005E-3</c:v>
                </c:pt>
                <c:pt idx="5">
                  <c:v>1.0279999999999999E-2</c:v>
                </c:pt>
                <c:pt idx="6">
                  <c:v>1.115E-2</c:v>
                </c:pt>
                <c:pt idx="7">
                  <c:v>1.157E-2</c:v>
                </c:pt>
                <c:pt idx="8">
                  <c:v>1.1730000000000001E-2</c:v>
                </c:pt>
                <c:pt idx="9">
                  <c:v>1.234E-2</c:v>
                </c:pt>
                <c:pt idx="10">
                  <c:v>1.2999999999999999E-2</c:v>
                </c:pt>
                <c:pt idx="11">
                  <c:v>1.3509999999999999E-2</c:v>
                </c:pt>
                <c:pt idx="12">
                  <c:v>1.4500000000000001E-2</c:v>
                </c:pt>
                <c:pt idx="13">
                  <c:v>1.4880000000000001E-2</c:v>
                </c:pt>
                <c:pt idx="14">
                  <c:v>1.529E-2</c:v>
                </c:pt>
                <c:pt idx="15">
                  <c:v>1.5469999999999999E-2</c:v>
                </c:pt>
                <c:pt idx="16">
                  <c:v>1.5970000000000002E-2</c:v>
                </c:pt>
                <c:pt idx="17">
                  <c:v>1.6799999999999999E-2</c:v>
                </c:pt>
                <c:pt idx="18">
                  <c:v>1.7979999999999999E-2</c:v>
                </c:pt>
                <c:pt idx="19">
                  <c:v>1.7850000000000001E-2</c:v>
                </c:pt>
                <c:pt idx="20">
                  <c:v>1.7950000000000001E-2</c:v>
                </c:pt>
                <c:pt idx="21">
                  <c:v>1.8489999999999999E-2</c:v>
                </c:pt>
                <c:pt idx="22">
                  <c:v>1.9720000000000001E-2</c:v>
                </c:pt>
                <c:pt idx="23">
                  <c:v>1.9720000000000001E-2</c:v>
                </c:pt>
                <c:pt idx="24">
                  <c:v>2.0219999999999998E-2</c:v>
                </c:pt>
                <c:pt idx="25">
                  <c:v>1.9390000000000001E-2</c:v>
                </c:pt>
                <c:pt idx="26">
                  <c:v>2.0799999999999999E-2</c:v>
                </c:pt>
                <c:pt idx="27">
                  <c:v>2.0539999999999999E-2</c:v>
                </c:pt>
                <c:pt idx="28">
                  <c:v>2.052E-2</c:v>
                </c:pt>
                <c:pt idx="29">
                  <c:v>2.044E-2</c:v>
                </c:pt>
                <c:pt idx="30">
                  <c:v>2.0660000000000001E-2</c:v>
                </c:pt>
                <c:pt idx="31">
                  <c:v>2.0639999999999999E-2</c:v>
                </c:pt>
                <c:pt idx="32">
                  <c:v>2.2610000000000002E-2</c:v>
                </c:pt>
                <c:pt idx="33">
                  <c:v>2.3630000000000002E-2</c:v>
                </c:pt>
                <c:pt idx="34">
                  <c:v>2.3349999999999999E-2</c:v>
                </c:pt>
                <c:pt idx="35">
                  <c:v>2.291E-2</c:v>
                </c:pt>
                <c:pt idx="36">
                  <c:v>2.3199999999999998E-2</c:v>
                </c:pt>
                <c:pt idx="37">
                  <c:v>2.2419999999999999E-2</c:v>
                </c:pt>
                <c:pt idx="38">
                  <c:v>2.239E-2</c:v>
                </c:pt>
                <c:pt idx="39">
                  <c:v>2.2759999999999999E-2</c:v>
                </c:pt>
                <c:pt idx="40">
                  <c:v>2.155E-2</c:v>
                </c:pt>
                <c:pt idx="41">
                  <c:v>2.2020000000000001E-2</c:v>
                </c:pt>
                <c:pt idx="42">
                  <c:v>2.2259999999999999E-2</c:v>
                </c:pt>
                <c:pt idx="43">
                  <c:v>2.2749999999999999E-2</c:v>
                </c:pt>
                <c:pt idx="44">
                  <c:v>2.308E-2</c:v>
                </c:pt>
                <c:pt idx="45">
                  <c:v>2.333E-2</c:v>
                </c:pt>
                <c:pt idx="46">
                  <c:v>2.486E-2</c:v>
                </c:pt>
                <c:pt idx="47">
                  <c:v>2.5739999999999999E-2</c:v>
                </c:pt>
                <c:pt idx="48">
                  <c:v>2.6710000000000001E-2</c:v>
                </c:pt>
                <c:pt idx="49">
                  <c:v>2.7779999999999999E-2</c:v>
                </c:pt>
                <c:pt idx="50">
                  <c:v>2.8420000000000001E-2</c:v>
                </c:pt>
                <c:pt idx="51">
                  <c:v>2.9489999999999999E-2</c:v>
                </c:pt>
                <c:pt idx="52">
                  <c:v>2.9909999999999999E-2</c:v>
                </c:pt>
                <c:pt idx="53">
                  <c:v>3.0370000000000001E-2</c:v>
                </c:pt>
                <c:pt idx="54">
                  <c:v>3.0720000000000001E-2</c:v>
                </c:pt>
                <c:pt idx="55">
                  <c:v>3.0929999999999999E-2</c:v>
                </c:pt>
                <c:pt idx="56">
                  <c:v>3.0769999999999999E-2</c:v>
                </c:pt>
                <c:pt idx="57">
                  <c:v>3.0380000000000001E-2</c:v>
                </c:pt>
                <c:pt idx="58">
                  <c:v>2.9000000000000001E-2</c:v>
                </c:pt>
                <c:pt idx="59">
                  <c:v>2.9430000000000001E-2</c:v>
                </c:pt>
                <c:pt idx="60">
                  <c:v>2.8639999999999999E-2</c:v>
                </c:pt>
                <c:pt idx="61">
                  <c:v>2.8240000000000001E-2</c:v>
                </c:pt>
                <c:pt idx="62">
                  <c:v>2.7779999999999999E-2</c:v>
                </c:pt>
                <c:pt idx="63">
                  <c:v>2.7119999999999998E-2</c:v>
                </c:pt>
                <c:pt idx="64">
                  <c:v>2.6980000000000001E-2</c:v>
                </c:pt>
                <c:pt idx="65">
                  <c:v>2.6440000000000002E-2</c:v>
                </c:pt>
                <c:pt idx="66">
                  <c:v>2.5860000000000001E-2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85-4475-A781-D3ED5D13E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82488"/>
        <c:axId val="1025852663"/>
      </c:lineChart>
      <c:catAx>
        <c:axId val="42082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5852663"/>
        <c:crosses val="autoZero"/>
        <c:auto val="1"/>
        <c:lblAlgn val="ctr"/>
        <c:lblOffset val="100"/>
        <c:noMultiLvlLbl val="1"/>
      </c:catAx>
      <c:valAx>
        <c:axId val="1025852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0824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Maalle!$C$1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Maalle!$C$2:$C$67</c:f>
              <c:numCache>
                <c:formatCode>#,##0</c:formatCode>
                <c:ptCount val="66"/>
                <c:pt idx="0">
                  <c:v>22501504.120199237</c:v>
                </c:pt>
                <c:pt idx="1">
                  <c:v>22308756.464347277</c:v>
                </c:pt>
                <c:pt idx="2">
                  <c:v>22117221.327649832</c:v>
                </c:pt>
                <c:pt idx="3">
                  <c:v>21915814.98791093</c:v>
                </c:pt>
                <c:pt idx="4">
                  <c:v>21703554.227565344</c:v>
                </c:pt>
                <c:pt idx="5">
                  <c:v>21482711.948732372</c:v>
                </c:pt>
                <c:pt idx="6">
                  <c:v>21245821.044090759</c:v>
                </c:pt>
                <c:pt idx="7">
                  <c:v>21002818.434800118</c:v>
                </c:pt>
                <c:pt idx="8">
                  <c:v>20759311.708459884</c:v>
                </c:pt>
                <c:pt idx="9">
                  <c:v>20506264.405693624</c:v>
                </c:pt>
                <c:pt idx="10">
                  <c:v>20243104.053004567</c:v>
                </c:pt>
                <c:pt idx="11">
                  <c:v>19973265.239617337</c:v>
                </c:pt>
                <c:pt idx="12">
                  <c:v>19687792.251963861</c:v>
                </c:pt>
                <c:pt idx="13">
                  <c:v>19399133.150681715</c:v>
                </c:pt>
                <c:pt idx="14">
                  <c:v>19106987.314640857</c:v>
                </c:pt>
                <c:pt idx="15">
                  <c:v>18815905.260264564</c:v>
                </c:pt>
                <c:pt idx="16">
                  <c:v>18520138.646086562</c:v>
                </c:pt>
                <c:pt idx="17">
                  <c:v>18214141.076009601</c:v>
                </c:pt>
                <c:pt idx="18">
                  <c:v>17892435.093036797</c:v>
                </c:pt>
                <c:pt idx="19">
                  <c:v>17578656.081973571</c:v>
                </c:pt>
                <c:pt idx="20">
                  <c:v>17268683.218206763</c:v>
                </c:pt>
                <c:pt idx="21">
                  <c:v>16955181.90478725</c:v>
                </c:pt>
                <c:pt idx="22">
                  <c:v>16627291.71222223</c:v>
                </c:pt>
                <c:pt idx="23">
                  <c:v>16305742.470700026</c:v>
                </c:pt>
                <c:pt idx="24">
                  <c:v>15982574.808080636</c:v>
                </c:pt>
                <c:pt idx="25">
                  <c:v>15678567.386457231</c:v>
                </c:pt>
                <c:pt idx="26">
                  <c:v>15359098.145040391</c:v>
                </c:pt>
                <c:pt idx="27">
                  <c:v>15049971.725792611</c:v>
                </c:pt>
                <c:pt idx="28">
                  <c:v>14747355.981061233</c:v>
                </c:pt>
                <c:pt idx="29">
                  <c:v>14451957.960351646</c:v>
                </c:pt>
                <c:pt idx="30">
                  <c:v>14159424.255238421</c:v>
                </c:pt>
                <c:pt idx="31">
                  <c:v>13873083.805493046</c:v>
                </c:pt>
                <c:pt idx="32">
                  <c:v>13566348.662239803</c:v>
                </c:pt>
                <c:pt idx="33">
                  <c:v>13253176.110742947</c:v>
                </c:pt>
                <c:pt idx="34">
                  <c:v>12950775.502753649</c:v>
                </c:pt>
                <c:pt idx="35">
                  <c:v>12660718.44321949</c:v>
                </c:pt>
                <c:pt idx="36">
                  <c:v>12373649.768588241</c:v>
                </c:pt>
                <c:pt idx="37">
                  <c:v>12102315.847291954</c:v>
                </c:pt>
                <c:pt idx="38">
                  <c:v>11837279.166748457</c:v>
                </c:pt>
                <c:pt idx="39">
                  <c:v>11573858.155137528</c:v>
                </c:pt>
                <c:pt idx="40">
                  <c:v>11329703.054316998</c:v>
                </c:pt>
                <c:pt idx="41">
                  <c:v>11085598.182341831</c:v>
                </c:pt>
                <c:pt idx="42">
                  <c:v>10844206.153367862</c:v>
                </c:pt>
                <c:pt idx="43">
                  <c:v>10602988.172444744</c:v>
                </c:pt>
                <c:pt idx="44">
                  <c:v>10363791.856399054</c:v>
                </c:pt>
                <c:pt idx="45">
                  <c:v>10127516.887415646</c:v>
                </c:pt>
                <c:pt idx="46">
                  <c:v>9881853.9970490057</c:v>
                </c:pt>
                <c:pt idx="47">
                  <c:v>9633877.9778979123</c:v>
                </c:pt>
                <c:pt idx="48">
                  <c:v>9383251.3347468246</c:v>
                </c:pt>
                <c:pt idx="49">
                  <c:v>9129630.207580246</c:v>
                </c:pt>
                <c:pt idx="50">
                  <c:v>8877336.3096597157</c:v>
                </c:pt>
                <c:pt idx="51">
                  <c:v>8623042.7781325858</c:v>
                </c:pt>
                <c:pt idx="52">
                  <c:v>8372617.7803231208</c:v>
                </c:pt>
                <c:pt idx="53">
                  <c:v>8125836.1368470751</c:v>
                </c:pt>
                <c:pt idx="54">
                  <c:v>7883650.396661629</c:v>
                </c:pt>
                <c:pt idx="55">
                  <c:v>7647124.8257996468</c:v>
                </c:pt>
                <c:pt idx="56">
                  <c:v>7418846.9064870412</c:v>
                </c:pt>
                <c:pt idx="57">
                  <c:v>7200107.6364904605</c:v>
                </c:pt>
                <c:pt idx="58">
                  <c:v>6997189.1511083199</c:v>
                </c:pt>
                <c:pt idx="59">
                  <c:v>6797149.0544362599</c:v>
                </c:pt>
                <c:pt idx="60">
                  <c:v>6607898.8318909043</c:v>
                </c:pt>
                <c:pt idx="61">
                  <c:v>6426416.8208695482</c:v>
                </c:pt>
                <c:pt idx="62">
                  <c:v>6252716.3603782412</c:v>
                </c:pt>
                <c:pt idx="63">
                  <c:v>6087620.1031799996</c:v>
                </c:pt>
                <c:pt idx="64">
                  <c:v>5927691</c:v>
                </c:pt>
                <c:pt idx="65">
                  <c:v>5775000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E-4B52-9032-7E89669DD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600344"/>
        <c:axId val="878548339"/>
      </c:lineChart>
      <c:catAx>
        <c:axId val="1911600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8548339"/>
        <c:crosses val="autoZero"/>
        <c:auto val="1"/>
        <c:lblAlgn val="ctr"/>
        <c:lblOffset val="100"/>
        <c:noMultiLvlLbl val="1"/>
      </c:catAx>
      <c:valAx>
        <c:axId val="878548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16003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Mendereide!$D$1:$D$67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1.034E-2</c:v>
                </c:pt>
                <c:pt idx="2">
                  <c:v>1.06E-2</c:v>
                </c:pt>
                <c:pt idx="3">
                  <c:v>1.0030000000000001E-2</c:v>
                </c:pt>
                <c:pt idx="4">
                  <c:v>9.8300000000000002E-3</c:v>
                </c:pt>
                <c:pt idx="5">
                  <c:v>1.073E-2</c:v>
                </c:pt>
                <c:pt idx="6">
                  <c:v>1.057E-2</c:v>
                </c:pt>
                <c:pt idx="7">
                  <c:v>1.056E-2</c:v>
                </c:pt>
                <c:pt idx="8">
                  <c:v>1.064E-2</c:v>
                </c:pt>
                <c:pt idx="9">
                  <c:v>9.6200000000000001E-3</c:v>
                </c:pt>
                <c:pt idx="10">
                  <c:v>1.021E-2</c:v>
                </c:pt>
                <c:pt idx="11">
                  <c:v>1.0359999999999999E-2</c:v>
                </c:pt>
                <c:pt idx="12">
                  <c:v>1.0189999999999999E-2</c:v>
                </c:pt>
                <c:pt idx="13">
                  <c:v>1.009E-2</c:v>
                </c:pt>
                <c:pt idx="14">
                  <c:v>1.0580000000000001E-2</c:v>
                </c:pt>
                <c:pt idx="15">
                  <c:v>1.081E-2</c:v>
                </c:pt>
                <c:pt idx="16">
                  <c:v>1.115E-2</c:v>
                </c:pt>
                <c:pt idx="17">
                  <c:v>1.1520000000000001E-2</c:v>
                </c:pt>
                <c:pt idx="18">
                  <c:v>1.154E-2</c:v>
                </c:pt>
                <c:pt idx="19">
                  <c:v>1.197E-2</c:v>
                </c:pt>
                <c:pt idx="20">
                  <c:v>1.2330000000000001E-2</c:v>
                </c:pt>
                <c:pt idx="21">
                  <c:v>1.2829999999999999E-2</c:v>
                </c:pt>
                <c:pt idx="22">
                  <c:v>1.338E-2</c:v>
                </c:pt>
                <c:pt idx="23">
                  <c:v>1.342E-2</c:v>
                </c:pt>
                <c:pt idx="24">
                  <c:v>1.3650000000000001E-2</c:v>
                </c:pt>
                <c:pt idx="25">
                  <c:v>1.404E-2</c:v>
                </c:pt>
                <c:pt idx="26">
                  <c:v>1.473E-2</c:v>
                </c:pt>
                <c:pt idx="27">
                  <c:v>1.511E-2</c:v>
                </c:pt>
                <c:pt idx="28">
                  <c:v>1.5520000000000001E-2</c:v>
                </c:pt>
                <c:pt idx="29">
                  <c:v>1.5480000000000001E-2</c:v>
                </c:pt>
                <c:pt idx="30">
                  <c:v>1.5429999999999999E-2</c:v>
                </c:pt>
                <c:pt idx="31">
                  <c:v>1.5679999999999999E-2</c:v>
                </c:pt>
                <c:pt idx="32">
                  <c:v>1.5769999999999999E-2</c:v>
                </c:pt>
                <c:pt idx="33">
                  <c:v>1.6080000000000001E-2</c:v>
                </c:pt>
                <c:pt idx="34">
                  <c:v>1.5959999999999998E-2</c:v>
                </c:pt>
                <c:pt idx="35">
                  <c:v>1.6129999999999999E-2</c:v>
                </c:pt>
                <c:pt idx="36">
                  <c:v>1.5910000000000001E-2</c:v>
                </c:pt>
                <c:pt idx="37">
                  <c:v>1.5949999999999999E-2</c:v>
                </c:pt>
                <c:pt idx="38">
                  <c:v>1.5990000000000001E-2</c:v>
                </c:pt>
                <c:pt idx="39">
                  <c:v>1.5990000000000001E-2</c:v>
                </c:pt>
                <c:pt idx="40">
                  <c:v>1.5679999999999999E-2</c:v>
                </c:pt>
                <c:pt idx="41">
                  <c:v>1.562E-2</c:v>
                </c:pt>
                <c:pt idx="42">
                  <c:v>1.6539999999999999E-2</c:v>
                </c:pt>
                <c:pt idx="43">
                  <c:v>1.635E-2</c:v>
                </c:pt>
                <c:pt idx="44">
                  <c:v>1.5980000000000001E-2</c:v>
                </c:pt>
                <c:pt idx="45">
                  <c:v>1.5679999999999999E-2</c:v>
                </c:pt>
                <c:pt idx="46">
                  <c:v>1.5810000000000001E-2</c:v>
                </c:pt>
                <c:pt idx="47">
                  <c:v>1.5389999999999999E-2</c:v>
                </c:pt>
                <c:pt idx="48">
                  <c:v>1.5310000000000001E-2</c:v>
                </c:pt>
                <c:pt idx="49">
                  <c:v>1.529E-2</c:v>
                </c:pt>
                <c:pt idx="50">
                  <c:v>1.5219999999999999E-2</c:v>
                </c:pt>
                <c:pt idx="51">
                  <c:v>1.541E-2</c:v>
                </c:pt>
                <c:pt idx="52">
                  <c:v>1.5869999999999999E-2</c:v>
                </c:pt>
                <c:pt idx="53">
                  <c:v>1.634E-2</c:v>
                </c:pt>
                <c:pt idx="54">
                  <c:v>1.653E-2</c:v>
                </c:pt>
                <c:pt idx="55">
                  <c:v>1.66E-2</c:v>
                </c:pt>
                <c:pt idx="56">
                  <c:v>1.6500000000000001E-2</c:v>
                </c:pt>
                <c:pt idx="57">
                  <c:v>1.6789999999999999E-2</c:v>
                </c:pt>
                <c:pt idx="58">
                  <c:v>1.695E-2</c:v>
                </c:pt>
                <c:pt idx="59">
                  <c:v>1.694E-2</c:v>
                </c:pt>
                <c:pt idx="60">
                  <c:v>1.7739999999999999E-2</c:v>
                </c:pt>
                <c:pt idx="61">
                  <c:v>1.763E-2</c:v>
                </c:pt>
                <c:pt idx="62">
                  <c:v>1.848E-2</c:v>
                </c:pt>
                <c:pt idx="63">
                  <c:v>1.8859999999999998E-2</c:v>
                </c:pt>
                <c:pt idx="64">
                  <c:v>1.9470000000000001E-2</c:v>
                </c:pt>
                <c:pt idx="65">
                  <c:v>1.9599999999999999E-2</c:v>
                </c:pt>
                <c:pt idx="66">
                  <c:v>1.9789999999999999E-2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71-4CD6-AB87-6CBB003F9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25570"/>
        <c:axId val="1297525848"/>
      </c:lineChart>
      <c:catAx>
        <c:axId val="522325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7525848"/>
        <c:crosses val="autoZero"/>
        <c:auto val="1"/>
        <c:lblAlgn val="ctr"/>
        <c:lblOffset val="100"/>
        <c:noMultiLvlLbl val="1"/>
      </c:catAx>
      <c:valAx>
        <c:axId val="1297525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23255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Mendereide!$C$1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Mendereide!$C$2:$C$67</c:f>
              <c:numCache>
                <c:formatCode>#,##0</c:formatCode>
                <c:ptCount val="66"/>
                <c:pt idx="0">
                  <c:v>11018613.204951858</c:v>
                </c:pt>
                <c:pt idx="1">
                  <c:v>10905846.749561394</c:v>
                </c:pt>
                <c:pt idx="2">
                  <c:v>10791457.302158514</c:v>
                </c:pt>
                <c:pt idx="3">
                  <c:v>10684293.834993528</c:v>
                </c:pt>
                <c:pt idx="4">
                  <c:v>10580289.588340145</c:v>
                </c:pt>
                <c:pt idx="5">
                  <c:v>10467968.288603431</c:v>
                </c:pt>
                <c:pt idx="6">
                  <c:v>10358479.163841626</c:v>
                </c:pt>
                <c:pt idx="7">
                  <c:v>10250236.664662788</c:v>
                </c:pt>
                <c:pt idx="8">
                  <c:v>10142322.354807634</c:v>
                </c:pt>
                <c:pt idx="9">
                  <c:v>10045682.885449609</c:v>
                </c:pt>
                <c:pt idx="10">
                  <c:v>9944153.0824775137</c:v>
                </c:pt>
                <c:pt idx="11">
                  <c:v>9842188.0146457832</c:v>
                </c:pt>
                <c:pt idx="12">
                  <c:v>9742907.7843235265</c:v>
                </c:pt>
                <c:pt idx="13">
                  <c:v>9645583.8433441836</c:v>
                </c:pt>
                <c:pt idx="14">
                  <c:v>9544601.9546638392</c:v>
                </c:pt>
                <c:pt idx="15">
                  <c:v>9442528.2245563846</c:v>
                </c:pt>
                <c:pt idx="16">
                  <c:v>9338405.0087092761</c:v>
                </c:pt>
                <c:pt idx="17">
                  <c:v>9232051.7722924668</c:v>
                </c:pt>
                <c:pt idx="18">
                  <c:v>9126729.315985987</c:v>
                </c:pt>
                <c:pt idx="19">
                  <c:v>9018774.584212957</c:v>
                </c:pt>
                <c:pt idx="20">
                  <c:v>8908927.5080388393</c:v>
                </c:pt>
                <c:pt idx="21">
                  <c:v>8796073.8801564332</c:v>
                </c:pt>
                <c:pt idx="22">
                  <c:v>8679936.3320338205</c:v>
                </c:pt>
                <c:pt idx="23">
                  <c:v>8564994.11106335</c:v>
                </c:pt>
                <c:pt idx="24">
                  <c:v>8449656.3025337644</c:v>
                </c:pt>
                <c:pt idx="25">
                  <c:v>8332665.6764365938</c:v>
                </c:pt>
                <c:pt idx="26">
                  <c:v>8211707.228954101</c:v>
                </c:pt>
                <c:pt idx="27">
                  <c:v>8089475.2578086136</c:v>
                </c:pt>
                <c:pt idx="28">
                  <c:v>7965845.3381603649</c:v>
                </c:pt>
                <c:pt idx="29">
                  <c:v>7844413.8123452608</c:v>
                </c:pt>
                <c:pt idx="30">
                  <c:v>7725213.7639672458</c:v>
                </c:pt>
                <c:pt idx="31">
                  <c:v>7605952.4298669333</c:v>
                </c:pt>
                <c:pt idx="32">
                  <c:v>7487868.7398396609</c:v>
                </c:pt>
                <c:pt idx="33">
                  <c:v>7369369.281788501</c:v>
                </c:pt>
                <c:pt idx="34">
                  <c:v>7253601.7971066786</c:v>
                </c:pt>
                <c:pt idx="35">
                  <c:v>7138458.4621127993</c:v>
                </c:pt>
                <c:pt idx="36">
                  <c:v>7026664.2341475114</c:v>
                </c:pt>
                <c:pt idx="37">
                  <c:v>6916348.4759560134</c:v>
                </c:pt>
                <c:pt idx="38">
                  <c:v>6807496.6052382542</c:v>
                </c:pt>
                <c:pt idx="39">
                  <c:v>6700357.882693978</c:v>
                </c:pt>
                <c:pt idx="40">
                  <c:v>6596918.2052358799</c:v>
                </c:pt>
                <c:pt idx="41">
                  <c:v>6495459.1335695237</c:v>
                </c:pt>
                <c:pt idx="42">
                  <c:v>6389772.2997319568</c:v>
                </c:pt>
                <c:pt idx="43">
                  <c:v>6286980.1738888733</c:v>
                </c:pt>
                <c:pt idx="44">
                  <c:v>6188094.4249777282</c:v>
                </c:pt>
                <c:pt idx="45">
                  <c:v>6092563.0365643986</c:v>
                </c:pt>
                <c:pt idx="46">
                  <c:v>5997738.7863521697</c:v>
                </c:pt>
                <c:pt idx="47">
                  <c:v>5906832.6321434816</c:v>
                </c:pt>
                <c:pt idx="48">
                  <c:v>5817762.6854295554</c:v>
                </c:pt>
                <c:pt idx="49">
                  <c:v>5730148.7116287518</c:v>
                </c:pt>
                <c:pt idx="50">
                  <c:v>5644243.3281739447</c:v>
                </c:pt>
                <c:pt idx="51">
                  <c:v>5558585.5252301488</c:v>
                </c:pt>
                <c:pt idx="52">
                  <c:v>5471748.870652887</c:v>
                </c:pt>
                <c:pt idx="53">
                  <c:v>5383777.939127543</c:v>
                </c:pt>
                <c:pt idx="54">
                  <c:v>5296231.2367835119</c:v>
                </c:pt>
                <c:pt idx="55">
                  <c:v>5209749.3967966875</c:v>
                </c:pt>
                <c:pt idx="56">
                  <c:v>5125183.8630562592</c:v>
                </c:pt>
                <c:pt idx="57">
                  <c:v>5040552.9785464639</c:v>
                </c:pt>
                <c:pt idx="58">
                  <c:v>4956539.6317876633</c:v>
                </c:pt>
                <c:pt idx="59">
                  <c:v>4873974.5036950689</c:v>
                </c:pt>
                <c:pt idx="60">
                  <c:v>4789017.3361517368</c:v>
                </c:pt>
                <c:pt idx="61">
                  <c:v>4706049.6802882543</c:v>
                </c:pt>
                <c:pt idx="62">
                  <c:v>4620659.8856023233</c:v>
                </c:pt>
                <c:pt idx="63">
                  <c:v>4535127.3831560006</c:v>
                </c:pt>
                <c:pt idx="64">
                  <c:v>4448514.8</c:v>
                </c:pt>
                <c:pt idx="65">
                  <c:v>4363000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0-48E0-8C02-28697A9BE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355631"/>
        <c:axId val="2113132521"/>
      </c:lineChart>
      <c:catAx>
        <c:axId val="164735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3132521"/>
        <c:crosses val="autoZero"/>
        <c:auto val="1"/>
        <c:lblAlgn val="ctr"/>
        <c:lblOffset val="100"/>
        <c:noMultiLvlLbl val="1"/>
      </c:catAx>
      <c:valAx>
        <c:axId val="2113132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73556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'Merela Sta'!$D$1:$D$67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1.057E-2</c:v>
                </c:pt>
                <c:pt idx="2">
                  <c:v>1.057E-2</c:v>
                </c:pt>
                <c:pt idx="3">
                  <c:v>9.2800000000000001E-3</c:v>
                </c:pt>
                <c:pt idx="4">
                  <c:v>7.6800000000000002E-3</c:v>
                </c:pt>
                <c:pt idx="5">
                  <c:v>7.1199999999999996E-3</c:v>
                </c:pt>
                <c:pt idx="6">
                  <c:v>7.9699999999999997E-3</c:v>
                </c:pt>
                <c:pt idx="7">
                  <c:v>9.0600000000000003E-3</c:v>
                </c:pt>
                <c:pt idx="8">
                  <c:v>7.9699999999999997E-3</c:v>
                </c:pt>
                <c:pt idx="9">
                  <c:v>7.6299999999999996E-3</c:v>
                </c:pt>
                <c:pt idx="10">
                  <c:v>7.2100000000000003E-3</c:v>
                </c:pt>
                <c:pt idx="11">
                  <c:v>4.0099999999999997E-3</c:v>
                </c:pt>
                <c:pt idx="12">
                  <c:v>3.9699999999999996E-3</c:v>
                </c:pt>
                <c:pt idx="13">
                  <c:v>3.9100000000000003E-3</c:v>
                </c:pt>
                <c:pt idx="14">
                  <c:v>3.5599999999999998E-3</c:v>
                </c:pt>
                <c:pt idx="15">
                  <c:v>2.96E-3</c:v>
                </c:pt>
                <c:pt idx="16">
                  <c:v>2.4299999999999999E-3</c:v>
                </c:pt>
                <c:pt idx="17">
                  <c:v>8.1999999999999998E-4</c:v>
                </c:pt>
                <c:pt idx="18">
                  <c:v>7.6999999999999996E-4</c:v>
                </c:pt>
                <c:pt idx="19">
                  <c:v>3.6999999999999999E-4</c:v>
                </c:pt>
                <c:pt idx="20">
                  <c:v>8.0000000000000004E-4</c:v>
                </c:pt>
                <c:pt idx="21">
                  <c:v>2.3800000000000002E-3</c:v>
                </c:pt>
                <c:pt idx="22">
                  <c:v>8.1099999999999992E-3</c:v>
                </c:pt>
                <c:pt idx="23">
                  <c:v>6.0899999999999999E-3</c:v>
                </c:pt>
                <c:pt idx="24">
                  <c:v>5.5199999999999997E-3</c:v>
                </c:pt>
                <c:pt idx="25">
                  <c:v>6.1900000000000002E-3</c:v>
                </c:pt>
                <c:pt idx="26">
                  <c:v>7.4099999999999999E-3</c:v>
                </c:pt>
                <c:pt idx="27">
                  <c:v>8.0199999999999994E-3</c:v>
                </c:pt>
                <c:pt idx="28">
                  <c:v>5.3200000000000001E-3</c:v>
                </c:pt>
                <c:pt idx="29">
                  <c:v>3.8800000000000002E-3</c:v>
                </c:pt>
                <c:pt idx="30">
                  <c:v>2.7899999999999999E-3</c:v>
                </c:pt>
                <c:pt idx="31">
                  <c:v>1.8600000000000001E-3</c:v>
                </c:pt>
                <c:pt idx="32">
                  <c:v>1.4400000000000001E-3</c:v>
                </c:pt>
                <c:pt idx="33">
                  <c:v>3.6999999999999999E-4</c:v>
                </c:pt>
                <c:pt idx="34">
                  <c:v>5.1999999999999995E-4</c:v>
                </c:pt>
                <c:pt idx="35">
                  <c:v>6.0999999999999997E-4</c:v>
                </c:pt>
                <c:pt idx="36">
                  <c:v>1.7899999999999999E-3</c:v>
                </c:pt>
                <c:pt idx="37">
                  <c:v>2.2399999999999998E-3</c:v>
                </c:pt>
                <c:pt idx="38">
                  <c:v>2.0999999999999999E-3</c:v>
                </c:pt>
                <c:pt idx="39">
                  <c:v>3.7399999999999998E-3</c:v>
                </c:pt>
                <c:pt idx="40">
                  <c:v>3.3800000000000002E-3</c:v>
                </c:pt>
                <c:pt idx="41">
                  <c:v>3.8700000000000002E-3</c:v>
                </c:pt>
                <c:pt idx="42">
                  <c:v>3.9500000000000004E-3</c:v>
                </c:pt>
                <c:pt idx="43">
                  <c:v>1.8E-3</c:v>
                </c:pt>
                <c:pt idx="44">
                  <c:v>1.82E-3</c:v>
                </c:pt>
                <c:pt idx="45">
                  <c:v>4.1799999999999997E-3</c:v>
                </c:pt>
                <c:pt idx="46">
                  <c:v>9.5499999999999995E-3</c:v>
                </c:pt>
                <c:pt idx="47">
                  <c:v>9.1299999999999992E-3</c:v>
                </c:pt>
                <c:pt idx="48">
                  <c:v>4.9300000000000004E-3</c:v>
                </c:pt>
                <c:pt idx="49">
                  <c:v>6.6600000000000001E-3</c:v>
                </c:pt>
                <c:pt idx="50">
                  <c:v>8.8699999999999994E-3</c:v>
                </c:pt>
                <c:pt idx="51">
                  <c:v>9.8200000000000006E-3</c:v>
                </c:pt>
                <c:pt idx="52">
                  <c:v>8.8299999999999993E-3</c:v>
                </c:pt>
                <c:pt idx="53">
                  <c:v>6.0899999999999999E-3</c:v>
                </c:pt>
                <c:pt idx="54">
                  <c:v>5.1700000000000001E-3</c:v>
                </c:pt>
                <c:pt idx="55">
                  <c:v>5.8500000000000002E-3</c:v>
                </c:pt>
                <c:pt idx="56">
                  <c:v>3.5899999999999999E-3</c:v>
                </c:pt>
                <c:pt idx="57">
                  <c:v>4.7299999999999998E-3</c:v>
                </c:pt>
                <c:pt idx="58">
                  <c:v>5.8199999999999997E-3</c:v>
                </c:pt>
                <c:pt idx="59">
                  <c:v>7.0299999999999998E-3</c:v>
                </c:pt>
                <c:pt idx="60">
                  <c:v>6.9699999999999996E-3</c:v>
                </c:pt>
                <c:pt idx="61">
                  <c:v>7.6299999999999996E-3</c:v>
                </c:pt>
                <c:pt idx="62">
                  <c:v>5.8700000000000002E-3</c:v>
                </c:pt>
                <c:pt idx="63">
                  <c:v>5.8199999999999997E-3</c:v>
                </c:pt>
                <c:pt idx="64">
                  <c:v>7.2700000000000004E-3</c:v>
                </c:pt>
                <c:pt idx="65">
                  <c:v>7.3200000000000001E-3</c:v>
                </c:pt>
                <c:pt idx="66">
                  <c:v>8.6700000000000006E-3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3-407C-9E3B-19032147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558572"/>
        <c:axId val="772351244"/>
      </c:lineChart>
      <c:catAx>
        <c:axId val="732558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2351244"/>
        <c:crosses val="autoZero"/>
        <c:auto val="1"/>
        <c:lblAlgn val="ctr"/>
        <c:lblOffset val="100"/>
        <c:noMultiLvlLbl val="1"/>
      </c:catAx>
      <c:valAx>
        <c:axId val="772351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25585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'Merela Sta'!$C$1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'Merela Sta'!$C$2:$C$67</c:f>
              <c:numCache>
                <c:formatCode>#,##0</c:formatCode>
                <c:ptCount val="66"/>
                <c:pt idx="0">
                  <c:v>23361072.93305508</c:v>
                </c:pt>
                <c:pt idx="1">
                  <c:v>23116729.10640043</c:v>
                </c:pt>
                <c:pt idx="2">
                  <c:v>22874940.980239302</c:v>
                </c:pt>
                <c:pt idx="3">
                  <c:v>22664613.36818257</c:v>
                </c:pt>
                <c:pt idx="4">
                  <c:v>22491875.762327895</c:v>
                </c:pt>
                <c:pt idx="5">
                  <c:v>22332865.75813001</c:v>
                </c:pt>
                <c:pt idx="6">
                  <c:v>22156280.204896979</c:v>
                </c:pt>
                <c:pt idx="7">
                  <c:v>21957346.644299623</c:v>
                </c:pt>
                <c:pt idx="8">
                  <c:v>21783730.313699439</c:v>
                </c:pt>
                <c:pt idx="9">
                  <c:v>21618779.029702805</c:v>
                </c:pt>
                <c:pt idx="10">
                  <c:v>21464023.420838561</c:v>
                </c:pt>
                <c:pt idx="11">
                  <c:v>21378296.452065777</c:v>
                </c:pt>
                <c:pt idx="12">
                  <c:v>21293760.22397659</c:v>
                </c:pt>
                <c:pt idx="13">
                  <c:v>21210825.894728202</c:v>
                </c:pt>
                <c:pt idx="14">
                  <c:v>21135583.218470447</c:v>
                </c:pt>
                <c:pt idx="15">
                  <c:v>21073206.52715008</c:v>
                </c:pt>
                <c:pt idx="16">
                  <c:v>21022122.768821843</c:v>
                </c:pt>
                <c:pt idx="17">
                  <c:v>21004898.75184533</c:v>
                </c:pt>
                <c:pt idx="18">
                  <c:v>20988737.424028829</c:v>
                </c:pt>
                <c:pt idx="19">
                  <c:v>20980974.463477343</c:v>
                </c:pt>
                <c:pt idx="20">
                  <c:v>20964203.100996546</c:v>
                </c:pt>
                <c:pt idx="21">
                  <c:v>20914426.765295144</c:v>
                </c:pt>
                <c:pt idx="22">
                  <c:v>20746175.283743978</c:v>
                </c:pt>
                <c:pt idx="23">
                  <c:v>20620595.854987107</c:v>
                </c:pt>
                <c:pt idx="24">
                  <c:v>20507395.034397233</c:v>
                </c:pt>
                <c:pt idx="25">
                  <c:v>20381235.188579924</c:v>
                </c:pt>
                <c:pt idx="26">
                  <c:v>20231321.099234596</c:v>
                </c:pt>
                <c:pt idx="27">
                  <c:v>20070356.837398659</c:v>
                </c:pt>
                <c:pt idx="28">
                  <c:v>19964147.572313949</c:v>
                </c:pt>
                <c:pt idx="29">
                  <c:v>19886986.066376407</c:v>
                </c:pt>
                <c:pt idx="30">
                  <c:v>19831655.746842716</c:v>
                </c:pt>
                <c:pt idx="31">
                  <c:v>19794837.349372882</c:v>
                </c:pt>
                <c:pt idx="32">
                  <c:v>19766373.771142434</c:v>
                </c:pt>
                <c:pt idx="33">
                  <c:v>19759062.917862825</c:v>
                </c:pt>
                <c:pt idx="34">
                  <c:v>19748793.54521931</c:v>
                </c:pt>
                <c:pt idx="35">
                  <c:v>19736754.125202935</c:v>
                </c:pt>
                <c:pt idx="36">
                  <c:v>19701488.460857999</c:v>
                </c:pt>
                <c:pt idx="37">
                  <c:v>19657455.759955697</c:v>
                </c:pt>
                <c:pt idx="38">
                  <c:v>19616261.610573493</c:v>
                </c:pt>
                <c:pt idx="39">
                  <c:v>19543170.154196795</c:v>
                </c:pt>
                <c:pt idx="40">
                  <c:v>19477336.755961645</c:v>
                </c:pt>
                <c:pt idx="41">
                  <c:v>19402250.048274823</c:v>
                </c:pt>
                <c:pt idx="42">
                  <c:v>19325912.693136934</c:v>
                </c:pt>
                <c:pt idx="43">
                  <c:v>19291188.5537402</c:v>
                </c:pt>
                <c:pt idx="44">
                  <c:v>19256142.374618396</c:v>
                </c:pt>
                <c:pt idx="45">
                  <c:v>19175986.750003379</c:v>
                </c:pt>
                <c:pt idx="46">
                  <c:v>18994588.430492181</c:v>
                </c:pt>
                <c:pt idx="47">
                  <c:v>18822736.843114544</c:v>
                </c:pt>
                <c:pt idx="48">
                  <c:v>18730395.990879506</c:v>
                </c:pt>
                <c:pt idx="49">
                  <c:v>18606476.855025038</c:v>
                </c:pt>
                <c:pt idx="50">
                  <c:v>18442888.434610046</c:v>
                </c:pt>
                <c:pt idx="51">
                  <c:v>18263540.467221927</c:v>
                </c:pt>
                <c:pt idx="52">
                  <c:v>18103684.929296244</c:v>
                </c:pt>
                <c:pt idx="53">
                  <c:v>17994100.855088755</c:v>
                </c:pt>
                <c:pt idx="54">
                  <c:v>17901549.842403531</c:v>
                </c:pt>
                <c:pt idx="55">
                  <c:v>17797434.848539576</c:v>
                </c:pt>
                <c:pt idx="56">
                  <c:v>17733770.612042345</c:v>
                </c:pt>
                <c:pt idx="57">
                  <c:v>17650284.765103407</c:v>
                </c:pt>
                <c:pt idx="58">
                  <c:v>17548154.50587919</c:v>
                </c:pt>
                <c:pt idx="59">
                  <c:v>17425652.17111624</c:v>
                </c:pt>
                <c:pt idx="60">
                  <c:v>17305036.069710359</c:v>
                </c:pt>
                <c:pt idx="61">
                  <c:v>17173998.4614495</c:v>
                </c:pt>
                <c:pt idx="62">
                  <c:v>17073775.399852365</c:v>
                </c:pt>
                <c:pt idx="63">
                  <c:v>16974981.010372002</c:v>
                </c:pt>
                <c:pt idx="64">
                  <c:v>16852463.600000001</c:v>
                </c:pt>
                <c:pt idx="65">
                  <c:v>16730000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1-49A8-BF18-2DC6E829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66010"/>
        <c:axId val="1116716716"/>
      </c:lineChart>
      <c:catAx>
        <c:axId val="759966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6716716"/>
        <c:crosses val="autoZero"/>
        <c:auto val="1"/>
        <c:lblAlgn val="ctr"/>
        <c:lblOffset val="100"/>
        <c:noMultiLvlLbl val="1"/>
      </c:catAx>
      <c:valAx>
        <c:axId val="1116716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660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'Mesjan Hyaa'!$D$1:$D$67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1.1800000000000001E-3</c:v>
                </c:pt>
                <c:pt idx="2">
                  <c:v>-6.5900000000000004E-3</c:v>
                </c:pt>
                <c:pt idx="3">
                  <c:v>-5.4900000000000001E-3</c:v>
                </c:pt>
                <c:pt idx="4">
                  <c:v>-3.8700000000000002E-3</c:v>
                </c:pt>
                <c:pt idx="5">
                  <c:v>1.8799999999999999E-3</c:v>
                </c:pt>
                <c:pt idx="6">
                  <c:v>5.8799999999999998E-3</c:v>
                </c:pt>
                <c:pt idx="7">
                  <c:v>-2.5999999999999999E-3</c:v>
                </c:pt>
                <c:pt idx="8">
                  <c:v>-2.33E-3</c:v>
                </c:pt>
                <c:pt idx="9">
                  <c:v>-1.9400000000000001E-3</c:v>
                </c:pt>
                <c:pt idx="10">
                  <c:v>-1.6000000000000001E-3</c:v>
                </c:pt>
                <c:pt idx="11">
                  <c:v>-7.6000000000000004E-4</c:v>
                </c:pt>
                <c:pt idx="12">
                  <c:v>2.2699999999999999E-3</c:v>
                </c:pt>
                <c:pt idx="13">
                  <c:v>2.8400000000000001E-3</c:v>
                </c:pt>
                <c:pt idx="14">
                  <c:v>3.15E-3</c:v>
                </c:pt>
                <c:pt idx="15">
                  <c:v>3.2599999999999999E-3</c:v>
                </c:pt>
                <c:pt idx="16">
                  <c:v>3.9300000000000003E-3</c:v>
                </c:pt>
                <c:pt idx="17">
                  <c:v>-1.1199999999999999E-3</c:v>
                </c:pt>
                <c:pt idx="18">
                  <c:v>4.0999999999999999E-4</c:v>
                </c:pt>
                <c:pt idx="19">
                  <c:v>1.3699999999999999E-3</c:v>
                </c:pt>
                <c:pt idx="20">
                  <c:v>2.2100000000000002E-3</c:v>
                </c:pt>
                <c:pt idx="21">
                  <c:v>3.49E-3</c:v>
                </c:pt>
                <c:pt idx="22">
                  <c:v>-2.9E-4</c:v>
                </c:pt>
                <c:pt idx="23">
                  <c:v>-2.0000000000000002E-5</c:v>
                </c:pt>
                <c:pt idx="24">
                  <c:v>2.2000000000000001E-4</c:v>
                </c:pt>
                <c:pt idx="25">
                  <c:v>9.5E-4</c:v>
                </c:pt>
                <c:pt idx="26">
                  <c:v>2.2799999999999999E-3</c:v>
                </c:pt>
                <c:pt idx="27">
                  <c:v>9.0200000000000002E-3</c:v>
                </c:pt>
                <c:pt idx="28">
                  <c:v>9.7999999999999997E-3</c:v>
                </c:pt>
                <c:pt idx="29">
                  <c:v>9.7900000000000001E-3</c:v>
                </c:pt>
                <c:pt idx="30">
                  <c:v>9.6900000000000007E-3</c:v>
                </c:pt>
                <c:pt idx="31">
                  <c:v>1.0070000000000001E-2</c:v>
                </c:pt>
                <c:pt idx="32">
                  <c:v>1.26E-2</c:v>
                </c:pt>
                <c:pt idx="33">
                  <c:v>1.205E-2</c:v>
                </c:pt>
                <c:pt idx="34">
                  <c:v>1.227E-2</c:v>
                </c:pt>
                <c:pt idx="35">
                  <c:v>1.205E-2</c:v>
                </c:pt>
                <c:pt idx="36">
                  <c:v>1.2070000000000001E-2</c:v>
                </c:pt>
                <c:pt idx="37">
                  <c:v>1.06E-3</c:v>
                </c:pt>
                <c:pt idx="38">
                  <c:v>1.8000000000000001E-4</c:v>
                </c:pt>
                <c:pt idx="39">
                  <c:v>-3.6000000000000002E-4</c:v>
                </c:pt>
                <c:pt idx="40">
                  <c:v>6.9800000000000001E-3</c:v>
                </c:pt>
                <c:pt idx="41">
                  <c:v>1.0030000000000001E-2</c:v>
                </c:pt>
                <c:pt idx="42">
                  <c:v>1.2460000000000001E-2</c:v>
                </c:pt>
                <c:pt idx="43">
                  <c:v>1.426E-2</c:v>
                </c:pt>
                <c:pt idx="44">
                  <c:v>1.5959999999999998E-2</c:v>
                </c:pt>
                <c:pt idx="45">
                  <c:v>1.6389999999999998E-2</c:v>
                </c:pt>
                <c:pt idx="46">
                  <c:v>2.877E-2</c:v>
                </c:pt>
                <c:pt idx="47">
                  <c:v>3.0540000000000001E-2</c:v>
                </c:pt>
                <c:pt idx="48">
                  <c:v>3.1910000000000001E-2</c:v>
                </c:pt>
                <c:pt idx="49">
                  <c:v>3.3849999999999998E-2</c:v>
                </c:pt>
                <c:pt idx="50">
                  <c:v>3.653E-2</c:v>
                </c:pt>
                <c:pt idx="51">
                  <c:v>3.5299999999999998E-2</c:v>
                </c:pt>
                <c:pt idx="52">
                  <c:v>3.5830000000000001E-2</c:v>
                </c:pt>
                <c:pt idx="53">
                  <c:v>3.56E-2</c:v>
                </c:pt>
                <c:pt idx="54">
                  <c:v>3.5799999999999998E-2</c:v>
                </c:pt>
                <c:pt idx="55">
                  <c:v>3.6389999999999999E-2</c:v>
                </c:pt>
                <c:pt idx="56">
                  <c:v>4.3889999999999998E-2</c:v>
                </c:pt>
                <c:pt idx="57">
                  <c:v>4.3779999999999999E-2</c:v>
                </c:pt>
                <c:pt idx="58">
                  <c:v>4.1750000000000002E-2</c:v>
                </c:pt>
                <c:pt idx="59">
                  <c:v>3.9919999999999997E-2</c:v>
                </c:pt>
                <c:pt idx="60">
                  <c:v>3.805E-2</c:v>
                </c:pt>
                <c:pt idx="61">
                  <c:v>3.073E-2</c:v>
                </c:pt>
                <c:pt idx="62">
                  <c:v>2.8199999999999999E-2</c:v>
                </c:pt>
                <c:pt idx="63">
                  <c:v>2.6610000000000002E-2</c:v>
                </c:pt>
                <c:pt idx="64">
                  <c:v>2.5149999999999999E-2</c:v>
                </c:pt>
                <c:pt idx="65">
                  <c:v>1.737E-2</c:v>
                </c:pt>
                <c:pt idx="66">
                  <c:v>2.1590000000000002E-2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7A-47C4-A552-30DC11C5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633208"/>
        <c:axId val="974204932"/>
      </c:lineChart>
      <c:catAx>
        <c:axId val="1355633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4204932"/>
        <c:crosses val="autoZero"/>
        <c:auto val="1"/>
        <c:lblAlgn val="ctr"/>
        <c:lblOffset val="100"/>
        <c:noMultiLvlLbl val="1"/>
      </c:catAx>
      <c:valAx>
        <c:axId val="974204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56332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'Mesjan Hyaa'!$C$1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'Mesjan Hyaa'!$C$2:$C$67</c:f>
              <c:numCache>
                <c:formatCode>#,##0</c:formatCode>
                <c:ptCount val="66"/>
                <c:pt idx="0">
                  <c:v>2048848.2903013632</c:v>
                </c:pt>
                <c:pt idx="1">
                  <c:v>2046433.4987728114</c:v>
                </c:pt>
                <c:pt idx="2">
                  <c:v>2060008.9578047446</c:v>
                </c:pt>
                <c:pt idx="3">
                  <c:v>2071380.8386087064</c:v>
                </c:pt>
                <c:pt idx="4">
                  <c:v>2079428.2258427178</c:v>
                </c:pt>
                <c:pt idx="5">
                  <c:v>2075526.2365180636</c:v>
                </c:pt>
                <c:pt idx="6">
                  <c:v>2063393.4828389701</c:v>
                </c:pt>
                <c:pt idx="7">
                  <c:v>2068772.2907950373</c:v>
                </c:pt>
                <c:pt idx="8">
                  <c:v>2073603.7876201924</c:v>
                </c:pt>
                <c:pt idx="9">
                  <c:v>2077634.3983529974</c:v>
                </c:pt>
                <c:pt idx="10">
                  <c:v>2080963.9406580504</c:v>
                </c:pt>
                <c:pt idx="11">
                  <c:v>2082546.6761319106</c:v>
                </c:pt>
                <c:pt idx="12">
                  <c:v>2077830.0020273086</c:v>
                </c:pt>
                <c:pt idx="13">
                  <c:v>2071945.6763065979</c:v>
                </c:pt>
                <c:pt idx="14">
                  <c:v>2065439.5417500851</c:v>
                </c:pt>
                <c:pt idx="15">
                  <c:v>2058728.0881826098</c:v>
                </c:pt>
                <c:pt idx="16">
                  <c:v>2050668.9591730596</c:v>
                </c:pt>
                <c:pt idx="17">
                  <c:v>2052968.2836507484</c:v>
                </c:pt>
                <c:pt idx="18">
                  <c:v>2052126.9116169855</c:v>
                </c:pt>
                <c:pt idx="19">
                  <c:v>2049319.3441155469</c:v>
                </c:pt>
                <c:pt idx="20">
                  <c:v>2044800.3353743695</c:v>
                </c:pt>
                <c:pt idx="21">
                  <c:v>2037688.8014572836</c:v>
                </c:pt>
                <c:pt idx="22">
                  <c:v>2038279.902629046</c:v>
                </c:pt>
                <c:pt idx="23">
                  <c:v>2038320.6690424269</c:v>
                </c:pt>
                <c:pt idx="24">
                  <c:v>2037872.3371282583</c:v>
                </c:pt>
                <c:pt idx="25">
                  <c:v>2035938.1958422081</c:v>
                </c:pt>
                <c:pt idx="26">
                  <c:v>2031306.8163010415</c:v>
                </c:pt>
                <c:pt idx="27">
                  <c:v>2013148.2193623928</c:v>
                </c:pt>
                <c:pt idx="28">
                  <c:v>1993610.8331970614</c:v>
                </c:pt>
                <c:pt idx="29">
                  <c:v>1974282.6064796259</c:v>
                </c:pt>
                <c:pt idx="30">
                  <c:v>1955335.4063916905</c:v>
                </c:pt>
                <c:pt idx="31">
                  <c:v>1935841.4826612913</c:v>
                </c:pt>
                <c:pt idx="32">
                  <c:v>1911753.3899479471</c:v>
                </c:pt>
                <c:pt idx="33">
                  <c:v>1888991.0478216959</c:v>
                </c:pt>
                <c:pt idx="34">
                  <c:v>1866094.0735393679</c:v>
                </c:pt>
                <c:pt idx="35">
                  <c:v>1843875.375267396</c:v>
                </c:pt>
                <c:pt idx="36">
                  <c:v>1821885.2206541009</c:v>
                </c:pt>
                <c:pt idx="37">
                  <c:v>1819956.0672228446</c:v>
                </c:pt>
                <c:pt idx="38">
                  <c:v>1819628.5340867089</c:v>
                </c:pt>
                <c:pt idx="39">
                  <c:v>1820283.8362677654</c:v>
                </c:pt>
                <c:pt idx="40">
                  <c:v>1807666.3253170524</c:v>
                </c:pt>
                <c:pt idx="41">
                  <c:v>1789715.4790620599</c:v>
                </c:pt>
                <c:pt idx="42">
                  <c:v>1767690.060903206</c:v>
                </c:pt>
                <c:pt idx="43">
                  <c:v>1742837.2023970245</c:v>
                </c:pt>
                <c:pt idx="44">
                  <c:v>1715458.4849767948</c:v>
                </c:pt>
                <c:pt idx="45">
                  <c:v>1687795.5164619831</c:v>
                </c:pt>
                <c:pt idx="46">
                  <c:v>1640595.5815799285</c:v>
                </c:pt>
                <c:pt idx="47">
                  <c:v>1591976.6157353702</c:v>
                </c:pt>
                <c:pt idx="48">
                  <c:v>1542747.54168035</c:v>
                </c:pt>
                <c:pt idx="49">
                  <c:v>1492235.3742615951</c:v>
                </c:pt>
                <c:pt idx="50">
                  <c:v>1439645.137392642</c:v>
                </c:pt>
                <c:pt idx="51">
                  <c:v>1390558.4249904782</c:v>
                </c:pt>
                <c:pt idx="52">
                  <c:v>1342458.1494941043</c:v>
                </c:pt>
                <c:pt idx="53">
                  <c:v>1296309.5302183316</c:v>
                </c:pt>
                <c:pt idx="54">
                  <c:v>1251505.6287104958</c:v>
                </c:pt>
                <c:pt idx="55">
                  <c:v>1207562.4318166866</c:v>
                </c:pt>
                <c:pt idx="56">
                  <c:v>1156790.8800895561</c:v>
                </c:pt>
                <c:pt idx="57">
                  <c:v>1108270.7851171284</c:v>
                </c:pt>
                <c:pt idx="58">
                  <c:v>1063854.8453248173</c:v>
                </c:pt>
                <c:pt idx="59">
                  <c:v>1023016.0448157717</c:v>
                </c:pt>
                <c:pt idx="60">
                  <c:v>985517.11845842865</c:v>
                </c:pt>
                <c:pt idx="61">
                  <c:v>956135.08722791495</c:v>
                </c:pt>
                <c:pt idx="62">
                  <c:v>929911.58065348666</c:v>
                </c:pt>
                <c:pt idx="63">
                  <c:v>905808.02900175005</c:v>
                </c:pt>
                <c:pt idx="64">
                  <c:v>883585.84500000009</c:v>
                </c:pt>
                <c:pt idx="65">
                  <c:v>868500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F-49D6-B448-0C60DC5B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975651"/>
        <c:axId val="1397831540"/>
      </c:lineChart>
      <c:catAx>
        <c:axId val="1577975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7831540"/>
        <c:crosses val="autoZero"/>
        <c:auto val="1"/>
        <c:lblAlgn val="ctr"/>
        <c:lblOffset val="100"/>
        <c:noMultiLvlLbl val="1"/>
      </c:catAx>
      <c:valAx>
        <c:axId val="1397831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79756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Metndria!$D$1:$D$67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2.3800000000000002E-3</c:v>
                </c:pt>
                <c:pt idx="2">
                  <c:v>2.4299999999999999E-3</c:v>
                </c:pt>
                <c:pt idx="3">
                  <c:v>2.3400000000000001E-3</c:v>
                </c:pt>
                <c:pt idx="4">
                  <c:v>3.7200000000000002E-3</c:v>
                </c:pt>
                <c:pt idx="5">
                  <c:v>2.5300000000000001E-3</c:v>
                </c:pt>
                <c:pt idx="6">
                  <c:v>1.6900000000000001E-3</c:v>
                </c:pt>
                <c:pt idx="7">
                  <c:v>3.46E-3</c:v>
                </c:pt>
                <c:pt idx="8">
                  <c:v>3.3E-3</c:v>
                </c:pt>
                <c:pt idx="9">
                  <c:v>3.5899999999999999E-3</c:v>
                </c:pt>
                <c:pt idx="10">
                  <c:v>4.45E-3</c:v>
                </c:pt>
                <c:pt idx="11">
                  <c:v>3.3899999999999998E-3</c:v>
                </c:pt>
                <c:pt idx="12">
                  <c:v>3.5899999999999999E-3</c:v>
                </c:pt>
                <c:pt idx="13">
                  <c:v>3.5699999999999998E-3</c:v>
                </c:pt>
                <c:pt idx="14">
                  <c:v>5.0299999999999997E-3</c:v>
                </c:pt>
                <c:pt idx="15">
                  <c:v>5.6899999999999997E-3</c:v>
                </c:pt>
                <c:pt idx="16">
                  <c:v>4.4299999999999999E-3</c:v>
                </c:pt>
                <c:pt idx="17">
                  <c:v>7.1700000000000002E-3</c:v>
                </c:pt>
                <c:pt idx="18">
                  <c:v>6.7999999999999996E-3</c:v>
                </c:pt>
                <c:pt idx="19">
                  <c:v>8.1300000000000001E-3</c:v>
                </c:pt>
                <c:pt idx="20">
                  <c:v>8.0199999999999994E-3</c:v>
                </c:pt>
                <c:pt idx="21">
                  <c:v>8.1399999999999997E-3</c:v>
                </c:pt>
                <c:pt idx="22">
                  <c:v>8.3999999999999995E-3</c:v>
                </c:pt>
                <c:pt idx="23">
                  <c:v>8.7600000000000004E-3</c:v>
                </c:pt>
                <c:pt idx="24">
                  <c:v>9.5099999999999994E-3</c:v>
                </c:pt>
                <c:pt idx="25">
                  <c:v>9.6699999999999998E-3</c:v>
                </c:pt>
                <c:pt idx="26">
                  <c:v>8.3800000000000003E-3</c:v>
                </c:pt>
                <c:pt idx="27">
                  <c:v>8.7799999999999996E-3</c:v>
                </c:pt>
                <c:pt idx="28">
                  <c:v>1.044E-2</c:v>
                </c:pt>
                <c:pt idx="29">
                  <c:v>1.022E-2</c:v>
                </c:pt>
                <c:pt idx="30">
                  <c:v>1.086E-2</c:v>
                </c:pt>
                <c:pt idx="31">
                  <c:v>1.295E-2</c:v>
                </c:pt>
                <c:pt idx="32">
                  <c:v>1.4319999999999999E-2</c:v>
                </c:pt>
                <c:pt idx="33">
                  <c:v>1.5339999999999999E-2</c:v>
                </c:pt>
                <c:pt idx="34">
                  <c:v>1.6310000000000002E-2</c:v>
                </c:pt>
                <c:pt idx="35">
                  <c:v>1.721E-2</c:v>
                </c:pt>
                <c:pt idx="36">
                  <c:v>1.856E-2</c:v>
                </c:pt>
                <c:pt idx="37">
                  <c:v>2.0619999999999999E-2</c:v>
                </c:pt>
                <c:pt idx="38">
                  <c:v>2.0629999999999999E-2</c:v>
                </c:pt>
                <c:pt idx="39">
                  <c:v>2.0500000000000001E-2</c:v>
                </c:pt>
                <c:pt idx="40">
                  <c:v>2.0889999999999999E-2</c:v>
                </c:pt>
                <c:pt idx="41">
                  <c:v>1.6140000000000002E-2</c:v>
                </c:pt>
                <c:pt idx="42">
                  <c:v>1.8759999999999999E-2</c:v>
                </c:pt>
                <c:pt idx="43">
                  <c:v>2.0129999999999999E-2</c:v>
                </c:pt>
                <c:pt idx="44">
                  <c:v>2.1139999999999999E-2</c:v>
                </c:pt>
                <c:pt idx="45">
                  <c:v>2.198E-2</c:v>
                </c:pt>
                <c:pt idx="46">
                  <c:v>1.8800000000000001E-2</c:v>
                </c:pt>
                <c:pt idx="47">
                  <c:v>2.1059999999999999E-2</c:v>
                </c:pt>
                <c:pt idx="48">
                  <c:v>2.1819999999999999E-2</c:v>
                </c:pt>
                <c:pt idx="49">
                  <c:v>2.2880000000000001E-2</c:v>
                </c:pt>
                <c:pt idx="50">
                  <c:v>3.0249999999999999E-2</c:v>
                </c:pt>
                <c:pt idx="51">
                  <c:v>3.1719999999999998E-2</c:v>
                </c:pt>
                <c:pt idx="52">
                  <c:v>3.3050000000000003E-2</c:v>
                </c:pt>
                <c:pt idx="53">
                  <c:v>3.4349999999999999E-2</c:v>
                </c:pt>
                <c:pt idx="54">
                  <c:v>3.5069999999999997E-2</c:v>
                </c:pt>
                <c:pt idx="55">
                  <c:v>3.5819999999999998E-2</c:v>
                </c:pt>
                <c:pt idx="56">
                  <c:v>3.6600000000000001E-2</c:v>
                </c:pt>
                <c:pt idx="57">
                  <c:v>3.7569999999999999E-2</c:v>
                </c:pt>
                <c:pt idx="58">
                  <c:v>3.8670000000000003E-2</c:v>
                </c:pt>
                <c:pt idx="59">
                  <c:v>4.0120000000000003E-2</c:v>
                </c:pt>
                <c:pt idx="60">
                  <c:v>3.9570000000000001E-2</c:v>
                </c:pt>
                <c:pt idx="61">
                  <c:v>3.8300000000000001E-2</c:v>
                </c:pt>
                <c:pt idx="62">
                  <c:v>3.6970000000000003E-2</c:v>
                </c:pt>
                <c:pt idx="63">
                  <c:v>3.653E-2</c:v>
                </c:pt>
                <c:pt idx="64">
                  <c:v>3.6330000000000001E-2</c:v>
                </c:pt>
                <c:pt idx="65">
                  <c:v>3.5150000000000001E-2</c:v>
                </c:pt>
                <c:pt idx="66">
                  <c:v>3.3730000000000003E-2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38-4461-87CD-6F59FBADB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990505"/>
        <c:axId val="301686898"/>
      </c:lineChart>
      <c:catAx>
        <c:axId val="181699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1686898"/>
        <c:crosses val="autoZero"/>
        <c:auto val="1"/>
        <c:lblAlgn val="ctr"/>
        <c:lblOffset val="100"/>
        <c:noMultiLvlLbl val="1"/>
      </c:catAx>
      <c:valAx>
        <c:axId val="301686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69905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Metndria!$C$1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Metndria!$C$2:$C$67</c:f>
              <c:numCache>
                <c:formatCode>#,##0</c:formatCode>
                <c:ptCount val="66"/>
                <c:pt idx="0">
                  <c:v>635530.82083405391</c:v>
                </c:pt>
                <c:pt idx="1">
                  <c:v>634021.8488338294</c:v>
                </c:pt>
                <c:pt idx="2">
                  <c:v>632484.9105013113</c:v>
                </c:pt>
                <c:pt idx="3">
                  <c:v>631008.3509600648</c:v>
                </c:pt>
                <c:pt idx="4">
                  <c:v>628669.69967726537</c:v>
                </c:pt>
                <c:pt idx="5">
                  <c:v>627083.17923380388</c:v>
                </c:pt>
                <c:pt idx="6">
                  <c:v>626025.19665146293</c:v>
                </c:pt>
                <c:pt idx="7">
                  <c:v>623866.61815265473</c:v>
                </c:pt>
                <c:pt idx="8">
                  <c:v>621814.62987407029</c:v>
                </c:pt>
                <c:pt idx="9">
                  <c:v>619590.30069457681</c:v>
                </c:pt>
                <c:pt idx="10">
                  <c:v>616845.33893631015</c:v>
                </c:pt>
                <c:pt idx="11">
                  <c:v>614761.29813563032</c:v>
                </c:pt>
                <c:pt idx="12">
                  <c:v>612562.19983821118</c:v>
                </c:pt>
                <c:pt idx="13">
                  <c:v>610383.13205676852</c:v>
                </c:pt>
                <c:pt idx="14">
                  <c:v>607328.27085437102</c:v>
                </c:pt>
                <c:pt idx="15">
                  <c:v>603892.12466502702</c:v>
                </c:pt>
                <c:pt idx="16">
                  <c:v>601228.6816055146</c:v>
                </c:pt>
                <c:pt idx="17">
                  <c:v>596948.56042725127</c:v>
                </c:pt>
                <c:pt idx="18">
                  <c:v>592916.72668578802</c:v>
                </c:pt>
                <c:pt idx="19">
                  <c:v>588135.18761051458</c:v>
                </c:pt>
                <c:pt idx="20">
                  <c:v>583455.87152091693</c:v>
                </c:pt>
                <c:pt idx="21">
                  <c:v>578744.8881315263</c:v>
                </c:pt>
                <c:pt idx="22">
                  <c:v>573923.92714352079</c:v>
                </c:pt>
                <c:pt idx="23">
                  <c:v>568940.01263285696</c:v>
                </c:pt>
                <c:pt idx="24">
                  <c:v>563580.36337714037</c:v>
                </c:pt>
                <c:pt idx="25">
                  <c:v>558182.73631695542</c:v>
                </c:pt>
                <c:pt idx="26">
                  <c:v>553544.03728451114</c:v>
                </c:pt>
                <c:pt idx="27">
                  <c:v>548726.22106357291</c:v>
                </c:pt>
                <c:pt idx="28">
                  <c:v>543056.7090213896</c:v>
                </c:pt>
                <c:pt idx="29">
                  <c:v>537562.8170313295</c:v>
                </c:pt>
                <c:pt idx="30">
                  <c:v>531787.60365562933</c:v>
                </c:pt>
                <c:pt idx="31">
                  <c:v>524988.99615541671</c:v>
                </c:pt>
                <c:pt idx="32">
                  <c:v>517577.28937161516</c:v>
                </c:pt>
                <c:pt idx="33">
                  <c:v>509757.60766995803</c:v>
                </c:pt>
                <c:pt idx="34">
                  <c:v>501576.88861662091</c:v>
                </c:pt>
                <c:pt idx="35">
                  <c:v>493090.79601716553</c:v>
                </c:pt>
                <c:pt idx="36">
                  <c:v>484105.79250821314</c:v>
                </c:pt>
                <c:pt idx="37">
                  <c:v>474325.20674512855</c:v>
                </c:pt>
                <c:pt idx="38">
                  <c:v>464737.66864106344</c:v>
                </c:pt>
                <c:pt idx="39">
                  <c:v>455401.92909462366</c:v>
                </c:pt>
                <c:pt idx="40">
                  <c:v>446083.25000208017</c:v>
                </c:pt>
                <c:pt idx="41">
                  <c:v>438997.82510488725</c:v>
                </c:pt>
                <c:pt idx="42">
                  <c:v>430913.88070290087</c:v>
                </c:pt>
                <c:pt idx="43">
                  <c:v>422410.75225990894</c:v>
                </c:pt>
                <c:pt idx="44">
                  <c:v>413665.85606274259</c:v>
                </c:pt>
                <c:pt idx="45">
                  <c:v>404769.03272348043</c:v>
                </c:pt>
                <c:pt idx="46">
                  <c:v>397299.79654837109</c:v>
                </c:pt>
                <c:pt idx="47">
                  <c:v>389105.2401899703</c:v>
                </c:pt>
                <c:pt idx="48">
                  <c:v>380796.26567298576</c:v>
                </c:pt>
                <c:pt idx="49">
                  <c:v>372278.53284157062</c:v>
                </c:pt>
                <c:pt idx="50">
                  <c:v>361347.76301050285</c:v>
                </c:pt>
                <c:pt idx="51">
                  <c:v>350238.20708186604</c:v>
                </c:pt>
                <c:pt idx="52">
                  <c:v>339033.16110727075</c:v>
                </c:pt>
                <c:pt idx="53">
                  <c:v>327774.12008243892</c:v>
                </c:pt>
                <c:pt idx="54">
                  <c:v>316668.55389726197</c:v>
                </c:pt>
                <c:pt idx="55">
                  <c:v>305717.74429655925</c:v>
                </c:pt>
                <c:pt idx="56">
                  <c:v>294923.54263607878</c:v>
                </c:pt>
                <c:pt idx="57">
                  <c:v>284244.47761218884</c:v>
                </c:pt>
                <c:pt idx="58">
                  <c:v>273661.96926087094</c:v>
                </c:pt>
                <c:pt idx="59">
                  <c:v>263106.15050270251</c:v>
                </c:pt>
                <c:pt idx="60">
                  <c:v>253091.32670498619</c:v>
                </c:pt>
                <c:pt idx="61">
                  <c:v>243755.49138494287</c:v>
                </c:pt>
                <c:pt idx="62">
                  <c:v>235065.13340303276</c:v>
                </c:pt>
                <c:pt idx="63">
                  <c:v>226780.82969429999</c:v>
                </c:pt>
                <c:pt idx="64">
                  <c:v>218830.71</c:v>
                </c:pt>
                <c:pt idx="65">
                  <c:v>211400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A-4D22-853B-533FA4E8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690130"/>
        <c:axId val="125491653"/>
      </c:lineChart>
      <c:catAx>
        <c:axId val="1064690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491653"/>
        <c:crosses val="autoZero"/>
        <c:auto val="1"/>
        <c:lblAlgn val="ctr"/>
        <c:lblOffset val="100"/>
        <c:noMultiLvlLbl val="1"/>
      </c:catAx>
      <c:valAx>
        <c:axId val="125491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46901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Migoku!$D$1:$D$67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-1.9990000000000001E-2</c:v>
                </c:pt>
                <c:pt idx="2">
                  <c:v>-2.069E-2</c:v>
                </c:pt>
                <c:pt idx="3">
                  <c:v>-5.8619999999999998E-2</c:v>
                </c:pt>
                <c:pt idx="4">
                  <c:v>2.281E-2</c:v>
                </c:pt>
                <c:pt idx="5">
                  <c:v>5.4599999999999996E-3</c:v>
                </c:pt>
                <c:pt idx="6">
                  <c:v>2.4764999999999999E-2</c:v>
                </c:pt>
                <c:pt idx="7">
                  <c:v>2.3279999999999999E-2</c:v>
                </c:pt>
                <c:pt idx="8">
                  <c:v>2.9794999999999999E-2</c:v>
                </c:pt>
                <c:pt idx="9">
                  <c:v>3.2309999999999998E-2</c:v>
                </c:pt>
                <c:pt idx="10">
                  <c:v>3.4825000000000002E-2</c:v>
                </c:pt>
                <c:pt idx="11">
                  <c:v>3.7339999999999998E-2</c:v>
                </c:pt>
                <c:pt idx="12">
                  <c:v>3.9855000000000002E-2</c:v>
                </c:pt>
                <c:pt idx="13">
                  <c:v>4.2369999999999998E-2</c:v>
                </c:pt>
                <c:pt idx="14">
                  <c:v>4.0800000000000003E-2</c:v>
                </c:pt>
                <c:pt idx="15">
                  <c:v>4.8370000000000003E-2</c:v>
                </c:pt>
                <c:pt idx="16">
                  <c:v>6.0229999999999999E-2</c:v>
                </c:pt>
                <c:pt idx="17">
                  <c:v>4.5229999999999999E-2</c:v>
                </c:pt>
                <c:pt idx="18">
                  <c:v>4.9209999999999997E-2</c:v>
                </c:pt>
                <c:pt idx="19">
                  <c:v>6.0539999999999997E-2</c:v>
                </c:pt>
                <c:pt idx="20">
                  <c:v>8.0240000000000006E-2</c:v>
                </c:pt>
                <c:pt idx="21">
                  <c:v>0.14904000000000001</c:v>
                </c:pt>
                <c:pt idx="22">
                  <c:v>8.7300000000000003E-2</c:v>
                </c:pt>
                <c:pt idx="23">
                  <c:v>2.6040000000000001E-2</c:v>
                </c:pt>
                <c:pt idx="24">
                  <c:v>-4.471E-2</c:v>
                </c:pt>
                <c:pt idx="25">
                  <c:v>-3.4700000000000002E-2</c:v>
                </c:pt>
                <c:pt idx="26">
                  <c:v>4.4810000000000003E-2</c:v>
                </c:pt>
                <c:pt idx="27">
                  <c:v>4.3490000000000001E-2</c:v>
                </c:pt>
                <c:pt idx="28">
                  <c:v>3.9280000000000002E-2</c:v>
                </c:pt>
                <c:pt idx="29">
                  <c:v>3.0810000000000001E-2</c:v>
                </c:pt>
                <c:pt idx="30">
                  <c:v>3.5139999999999998E-2</c:v>
                </c:pt>
                <c:pt idx="31">
                  <c:v>3.44E-2</c:v>
                </c:pt>
                <c:pt idx="32">
                  <c:v>3.5860000000000003E-2</c:v>
                </c:pt>
                <c:pt idx="33">
                  <c:v>3.9122999999999998E-2</c:v>
                </c:pt>
                <c:pt idx="34">
                  <c:v>4.3797999999999997E-2</c:v>
                </c:pt>
                <c:pt idx="35">
                  <c:v>2.8472999999999998E-2</c:v>
                </c:pt>
                <c:pt idx="36">
                  <c:v>9.7999999999999997E-3</c:v>
                </c:pt>
                <c:pt idx="37">
                  <c:v>8.9499999999999996E-3</c:v>
                </c:pt>
                <c:pt idx="38">
                  <c:v>-4.5909999999999999E-2</c:v>
                </c:pt>
                <c:pt idx="39">
                  <c:v>-9.9900000000000006E-3</c:v>
                </c:pt>
                <c:pt idx="40">
                  <c:v>-4.5909999999999999E-2</c:v>
                </c:pt>
                <c:pt idx="41">
                  <c:v>-1.25E-3</c:v>
                </c:pt>
                <c:pt idx="42">
                  <c:v>1.7260000000000001E-2</c:v>
                </c:pt>
                <c:pt idx="43">
                  <c:v>2.0619999999999999E-2</c:v>
                </c:pt>
                <c:pt idx="44">
                  <c:v>2.4500000000000001E-2</c:v>
                </c:pt>
                <c:pt idx="45">
                  <c:v>2.4549999999999999E-2</c:v>
                </c:pt>
                <c:pt idx="46">
                  <c:v>2.4729999999999999E-2</c:v>
                </c:pt>
                <c:pt idx="47">
                  <c:v>2.494E-2</c:v>
                </c:pt>
                <c:pt idx="48">
                  <c:v>2.528E-2</c:v>
                </c:pt>
                <c:pt idx="49">
                  <c:v>2.5569999999999999E-2</c:v>
                </c:pt>
                <c:pt idx="50">
                  <c:v>2.5839999999999998E-2</c:v>
                </c:pt>
                <c:pt idx="51">
                  <c:v>2.6030000000000001E-2</c:v>
                </c:pt>
                <c:pt idx="52">
                  <c:v>2.605E-2</c:v>
                </c:pt>
                <c:pt idx="53">
                  <c:v>2.613E-2</c:v>
                </c:pt>
                <c:pt idx="54">
                  <c:v>2.1170000000000001E-2</c:v>
                </c:pt>
                <c:pt idx="55">
                  <c:v>2.0959999999999999E-2</c:v>
                </c:pt>
                <c:pt idx="56">
                  <c:v>1.3299999999999999E-2</c:v>
                </c:pt>
                <c:pt idx="57">
                  <c:v>1.272E-2</c:v>
                </c:pt>
                <c:pt idx="58">
                  <c:v>1.3610000000000001E-2</c:v>
                </c:pt>
                <c:pt idx="59">
                  <c:v>1.298E-2</c:v>
                </c:pt>
                <c:pt idx="60">
                  <c:v>1.2330000000000001E-2</c:v>
                </c:pt>
                <c:pt idx="61">
                  <c:v>1.67E-2</c:v>
                </c:pt>
                <c:pt idx="62">
                  <c:v>2.1270000000000001E-2</c:v>
                </c:pt>
                <c:pt idx="63">
                  <c:v>1.5599999999999999E-2</c:v>
                </c:pt>
                <c:pt idx="64">
                  <c:v>1.6129999999999999E-2</c:v>
                </c:pt>
                <c:pt idx="65">
                  <c:v>1.558E-2</c:v>
                </c:pt>
                <c:pt idx="66">
                  <c:v>1.499E-2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8A-4AA8-AE79-B397025DB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969855"/>
        <c:axId val="177466592"/>
      </c:lineChart>
      <c:catAx>
        <c:axId val="1648969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466592"/>
        <c:crosses val="autoZero"/>
        <c:auto val="1"/>
        <c:lblAlgn val="ctr"/>
        <c:lblOffset val="100"/>
        <c:noMultiLvlLbl val="1"/>
      </c:catAx>
      <c:valAx>
        <c:axId val="177466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89698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Migoku!$C$1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Migoku!$C$2:$C$67</c:f>
              <c:numCache>
                <c:formatCode>#,##0</c:formatCode>
                <c:ptCount val="66"/>
                <c:pt idx="0">
                  <c:v>6231300.9585402627</c:v>
                </c:pt>
                <c:pt idx="1">
                  <c:v>6358405.4841687968</c:v>
                </c:pt>
                <c:pt idx="2">
                  <c:v>6492740.2805738701</c:v>
                </c:pt>
                <c:pt idx="3">
                  <c:v>6897045.0621150546</c:v>
                </c:pt>
                <c:pt idx="4">
                  <c:v>6743231.9415287832</c:v>
                </c:pt>
                <c:pt idx="5">
                  <c:v>6706613.8300168905</c:v>
                </c:pt>
                <c:pt idx="6">
                  <c:v>6544538.3380744765</c:v>
                </c:pt>
                <c:pt idx="7">
                  <c:v>6395647.6605371712</c:v>
                </c:pt>
                <c:pt idx="8">
                  <c:v>6210602.7515546018</c:v>
                </c:pt>
                <c:pt idx="9">
                  <c:v>6016218.7245639404</c:v>
                </c:pt>
                <c:pt idx="10">
                  <c:v>5813754.7165597463</c:v>
                </c:pt>
                <c:pt idx="11">
                  <c:v>5604483.3097728295</c:v>
                </c:pt>
                <c:pt idx="12">
                  <c:v>5389677.7048461847</c:v>
                </c:pt>
                <c:pt idx="13">
                  <c:v>5170599.4079321017</c:v>
                </c:pt>
                <c:pt idx="14">
                  <c:v>4967908.7316795755</c:v>
                </c:pt>
                <c:pt idx="15">
                  <c:v>4738697.913598801</c:v>
                </c:pt>
                <c:pt idx="16">
                  <c:v>4469499.9326549908</c:v>
                </c:pt>
                <c:pt idx="17">
                  <c:v>4276092.2788811941</c:v>
                </c:pt>
                <c:pt idx="18">
                  <c:v>4075535.1920789876</c:v>
                </c:pt>
                <c:pt idx="19">
                  <c:v>3842886.8237680686</c:v>
                </c:pt>
                <c:pt idx="20">
                  <c:v>3557437.9987484897</c:v>
                </c:pt>
                <c:pt idx="21">
                  <c:v>3096008.841074714</c:v>
                </c:pt>
                <c:pt idx="22">
                  <c:v>2847428.3464312647</c:v>
                </c:pt>
                <c:pt idx="23">
                  <c:v>2775163.0993248457</c:v>
                </c:pt>
                <c:pt idx="24">
                  <c:v>2905047.7858292726</c:v>
                </c:pt>
                <c:pt idx="25">
                  <c:v>3009476.624706591</c:v>
                </c:pt>
                <c:pt idx="26">
                  <c:v>2880405.647636021</c:v>
                </c:pt>
                <c:pt idx="27">
                  <c:v>2760357.691627156</c:v>
                </c:pt>
                <c:pt idx="28">
                  <c:v>2656028.8773257989</c:v>
                </c:pt>
                <c:pt idx="29">
                  <c:v>2576642.5212462032</c:v>
                </c:pt>
                <c:pt idx="30">
                  <c:v>2489172.9826363614</c:v>
                </c:pt>
                <c:pt idx="31">
                  <c:v>2406393.0613267221</c:v>
                </c:pt>
                <c:pt idx="32">
                  <c:v>2323087.1559155891</c:v>
                </c:pt>
                <c:pt idx="33">
                  <c:v>2235622.8819067511</c:v>
                </c:pt>
                <c:pt idx="34">
                  <c:v>2141815.6404847978</c:v>
                </c:pt>
                <c:pt idx="35">
                  <c:v>2082520.0471814019</c:v>
                </c:pt>
                <c:pt idx="36">
                  <c:v>2062309.4149152325</c:v>
                </c:pt>
                <c:pt idx="37">
                  <c:v>2044015.4764014396</c:v>
                </c:pt>
                <c:pt idx="38">
                  <c:v>2142371.7640908505</c:v>
                </c:pt>
                <c:pt idx="39">
                  <c:v>2163990.0244349558</c:v>
                </c:pt>
                <c:pt idx="40">
                  <c:v>2268119.385419568</c:v>
                </c:pt>
                <c:pt idx="41">
                  <c:v>2270958.083023347</c:v>
                </c:pt>
                <c:pt idx="42">
                  <c:v>2232426.4033023482</c:v>
                </c:pt>
                <c:pt idx="43">
                  <c:v>2187323.7868181574</c:v>
                </c:pt>
                <c:pt idx="44">
                  <c:v>2135015.8973334869</c:v>
                </c:pt>
                <c:pt idx="45">
                  <c:v>2083857.2029998405</c:v>
                </c:pt>
                <c:pt idx="46">
                  <c:v>2033567.0888915525</c:v>
                </c:pt>
                <c:pt idx="47">
                  <c:v>1984084.0331058917</c:v>
                </c:pt>
                <c:pt idx="48">
                  <c:v>1935163.1096928562</c:v>
                </c:pt>
                <c:pt idx="49">
                  <c:v>1886914.7007935646</c:v>
                </c:pt>
                <c:pt idx="50">
                  <c:v>1839384.9925851638</c:v>
                </c:pt>
                <c:pt idx="51">
                  <c:v>1792720.4785290526</c:v>
                </c:pt>
                <c:pt idx="52">
                  <c:v>1747205.7682657305</c:v>
                </c:pt>
                <c:pt idx="53">
                  <c:v>1702713.8552286071</c:v>
                </c:pt>
                <c:pt idx="54">
                  <c:v>1667414.6863192292</c:v>
                </c:pt>
                <c:pt idx="55">
                  <c:v>1633183.1671360573</c:v>
                </c:pt>
                <c:pt idx="56">
                  <c:v>1611746.9329281133</c:v>
                </c:pt>
                <c:pt idx="57">
                  <c:v>1591503.0145826221</c:v>
                </c:pt>
                <c:pt idx="58">
                  <c:v>1570133.4976792082</c:v>
                </c:pt>
                <c:pt idx="59">
                  <c:v>1550014.3119106086</c:v>
                </c:pt>
                <c:pt idx="60">
                  <c:v>1531135.4122772303</c:v>
                </c:pt>
                <c:pt idx="61">
                  <c:v>1505985.4551757947</c:v>
                </c:pt>
                <c:pt idx="62">
                  <c:v>1474620.2817822855</c:v>
                </c:pt>
                <c:pt idx="63">
                  <c:v>1451969.5566977998</c:v>
                </c:pt>
                <c:pt idx="64">
                  <c:v>1428921.0599999998</c:v>
                </c:pt>
                <c:pt idx="65">
                  <c:v>1407000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0-4477-9B08-DF27187EF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65486"/>
        <c:axId val="1294995686"/>
      </c:lineChart>
      <c:catAx>
        <c:axId val="187665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4995686"/>
        <c:crosses val="autoZero"/>
        <c:auto val="1"/>
        <c:lblAlgn val="ctr"/>
        <c:lblOffset val="100"/>
        <c:noMultiLvlLbl val="1"/>
      </c:catAx>
      <c:valAx>
        <c:axId val="1294995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6654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Myla!$D$1:$D$67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5.7800000000000004E-3</c:v>
                </c:pt>
                <c:pt idx="2">
                  <c:v>7.0000000000000001E-3</c:v>
                </c:pt>
                <c:pt idx="3">
                  <c:v>8.1399999999999997E-3</c:v>
                </c:pt>
                <c:pt idx="4">
                  <c:v>9.3699999999999999E-3</c:v>
                </c:pt>
                <c:pt idx="5">
                  <c:v>6.8199999999999997E-3</c:v>
                </c:pt>
                <c:pt idx="6">
                  <c:v>4.7800000000000004E-3</c:v>
                </c:pt>
                <c:pt idx="7">
                  <c:v>5.7099999999999998E-3</c:v>
                </c:pt>
                <c:pt idx="8">
                  <c:v>6.7299999999999999E-3</c:v>
                </c:pt>
                <c:pt idx="9">
                  <c:v>7.3800000000000003E-3</c:v>
                </c:pt>
                <c:pt idx="10">
                  <c:v>4.1900000000000001E-3</c:v>
                </c:pt>
                <c:pt idx="11">
                  <c:v>2.3400000000000001E-3</c:v>
                </c:pt>
                <c:pt idx="12">
                  <c:v>3.5500000000000002E-3</c:v>
                </c:pt>
                <c:pt idx="13">
                  <c:v>4.96E-3</c:v>
                </c:pt>
                <c:pt idx="14">
                  <c:v>6.0099999999999997E-3</c:v>
                </c:pt>
                <c:pt idx="15">
                  <c:v>7.8799999999999999E-3</c:v>
                </c:pt>
                <c:pt idx="16">
                  <c:v>1.2789999999999999E-2</c:v>
                </c:pt>
                <c:pt idx="17">
                  <c:v>1.3679999999999999E-2</c:v>
                </c:pt>
                <c:pt idx="18">
                  <c:v>1.532E-2</c:v>
                </c:pt>
                <c:pt idx="19">
                  <c:v>1.7059999999999999E-2</c:v>
                </c:pt>
                <c:pt idx="20">
                  <c:v>1.8880000000000001E-2</c:v>
                </c:pt>
                <c:pt idx="21">
                  <c:v>2.1329999999999998E-2</c:v>
                </c:pt>
                <c:pt idx="22">
                  <c:v>2.283E-2</c:v>
                </c:pt>
                <c:pt idx="23">
                  <c:v>2.3980000000000001E-2</c:v>
                </c:pt>
                <c:pt idx="24">
                  <c:v>2.5059999999999999E-2</c:v>
                </c:pt>
                <c:pt idx="25">
                  <c:v>2.1069999999999998E-2</c:v>
                </c:pt>
                <c:pt idx="26">
                  <c:v>2.9499999999999999E-3</c:v>
                </c:pt>
                <c:pt idx="27">
                  <c:v>4.2599999999999999E-3</c:v>
                </c:pt>
                <c:pt idx="28">
                  <c:v>5.0299999999999997E-3</c:v>
                </c:pt>
                <c:pt idx="29">
                  <c:v>5.3499999999999997E-3</c:v>
                </c:pt>
                <c:pt idx="30">
                  <c:v>7.4400000000000004E-3</c:v>
                </c:pt>
                <c:pt idx="31">
                  <c:v>1.4109999999999999E-2</c:v>
                </c:pt>
                <c:pt idx="32">
                  <c:v>1.4710000000000001E-2</c:v>
                </c:pt>
                <c:pt idx="33">
                  <c:v>1.5959999999999998E-2</c:v>
                </c:pt>
                <c:pt idx="34">
                  <c:v>1.6789999999999999E-2</c:v>
                </c:pt>
                <c:pt idx="35">
                  <c:v>1.814E-2</c:v>
                </c:pt>
                <c:pt idx="36">
                  <c:v>2.1190000000000001E-2</c:v>
                </c:pt>
                <c:pt idx="37">
                  <c:v>2.1510000000000001E-2</c:v>
                </c:pt>
                <c:pt idx="38">
                  <c:v>2.1610000000000001E-2</c:v>
                </c:pt>
                <c:pt idx="39">
                  <c:v>2.2460000000000001E-2</c:v>
                </c:pt>
                <c:pt idx="40">
                  <c:v>2.3390000000000001E-2</c:v>
                </c:pt>
                <c:pt idx="41">
                  <c:v>2.4160000000000001E-2</c:v>
                </c:pt>
                <c:pt idx="42">
                  <c:v>2.496E-2</c:v>
                </c:pt>
                <c:pt idx="43">
                  <c:v>2.53E-2</c:v>
                </c:pt>
                <c:pt idx="44">
                  <c:v>2.5600000000000001E-2</c:v>
                </c:pt>
                <c:pt idx="45">
                  <c:v>3.7699999999999997E-2</c:v>
                </c:pt>
                <c:pt idx="46">
                  <c:v>3.3189999999999997E-2</c:v>
                </c:pt>
                <c:pt idx="47">
                  <c:v>3.0370000000000001E-2</c:v>
                </c:pt>
                <c:pt idx="48">
                  <c:v>3.4439999999999998E-2</c:v>
                </c:pt>
                <c:pt idx="49">
                  <c:v>2.0379999999999999E-2</c:v>
                </c:pt>
                <c:pt idx="50">
                  <c:v>3.3730000000000003E-2</c:v>
                </c:pt>
                <c:pt idx="51">
                  <c:v>3.8670000000000003E-2</c:v>
                </c:pt>
                <c:pt idx="52">
                  <c:v>3.8870000000000002E-2</c:v>
                </c:pt>
                <c:pt idx="53">
                  <c:v>3.5409999999999997E-2</c:v>
                </c:pt>
                <c:pt idx="54">
                  <c:v>3.8159999999999999E-2</c:v>
                </c:pt>
                <c:pt idx="55">
                  <c:v>3.8589999999999999E-2</c:v>
                </c:pt>
                <c:pt idx="56">
                  <c:v>3.6549999999999999E-2</c:v>
                </c:pt>
                <c:pt idx="57">
                  <c:v>4.2869999999999998E-2</c:v>
                </c:pt>
                <c:pt idx="58">
                  <c:v>4.5900000000000003E-2</c:v>
                </c:pt>
                <c:pt idx="59">
                  <c:v>4.6399999999999997E-2</c:v>
                </c:pt>
                <c:pt idx="60">
                  <c:v>4.6190000000000002E-2</c:v>
                </c:pt>
                <c:pt idx="61">
                  <c:v>4.5330000000000002E-2</c:v>
                </c:pt>
                <c:pt idx="62">
                  <c:v>4.512E-2</c:v>
                </c:pt>
                <c:pt idx="63">
                  <c:v>4.4929999999999998E-2</c:v>
                </c:pt>
                <c:pt idx="64">
                  <c:v>4.4970000000000003E-2</c:v>
                </c:pt>
                <c:pt idx="65">
                  <c:v>4.5089999999999998E-2</c:v>
                </c:pt>
                <c:pt idx="66">
                  <c:v>4.4979999999999999E-2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6E-477D-B97F-E90690AA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45082"/>
        <c:axId val="1579932626"/>
      </c:lineChart>
      <c:catAx>
        <c:axId val="1477245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9932626"/>
        <c:crosses val="autoZero"/>
        <c:auto val="1"/>
        <c:lblAlgn val="ctr"/>
        <c:lblOffset val="100"/>
        <c:noMultiLvlLbl val="1"/>
      </c:catAx>
      <c:valAx>
        <c:axId val="1579932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72450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Myla!$C$1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Myla!$C$2:$C$67</c:f>
              <c:numCache>
                <c:formatCode>#,##0</c:formatCode>
                <c:ptCount val="66"/>
                <c:pt idx="0">
                  <c:v>42673535.88442307</c:v>
                </c:pt>
                <c:pt idx="1">
                  <c:v>42428300.308639139</c:v>
                </c:pt>
                <c:pt idx="2">
                  <c:v>42133366.741448998</c:v>
                </c:pt>
                <c:pt idx="3">
                  <c:v>41793170.334922723</c:v>
                </c:pt>
                <c:pt idx="4">
                  <c:v>41405203.577402458</c:v>
                </c:pt>
                <c:pt idx="5">
                  <c:v>41124732.899031065</c:v>
                </c:pt>
                <c:pt idx="6">
                  <c:v>40929091.840035692</c:v>
                </c:pt>
                <c:pt idx="7">
                  <c:v>40696713.605349146</c:v>
                </c:pt>
                <c:pt idx="8">
                  <c:v>40424655.672672063</c:v>
                </c:pt>
                <c:pt idx="9">
                  <c:v>40128507.288880132</c:v>
                </c:pt>
                <c:pt idx="10">
                  <c:v>39961070.403887846</c:v>
                </c:pt>
                <c:pt idx="11">
                  <c:v>39867779.799157813</c:v>
                </c:pt>
                <c:pt idx="12">
                  <c:v>39726749.83723563</c:v>
                </c:pt>
                <c:pt idx="13">
                  <c:v>39530677.67596285</c:v>
                </c:pt>
                <c:pt idx="14">
                  <c:v>39294517.625036381</c:v>
                </c:pt>
                <c:pt idx="15">
                  <c:v>38987297.719010577</c:v>
                </c:pt>
                <c:pt idx="16">
                  <c:v>38494947.342500001</c:v>
                </c:pt>
                <c:pt idx="17">
                  <c:v>37975443.278450795</c:v>
                </c:pt>
                <c:pt idx="18">
                  <c:v>37402437.929372802</c:v>
                </c:pt>
                <c:pt idx="19">
                  <c:v>36775055.482835621</c:v>
                </c:pt>
                <c:pt idx="20">
                  <c:v>36093608.160760462</c:v>
                </c:pt>
                <c:pt idx="21">
                  <c:v>35339810.013179347</c:v>
                </c:pt>
                <c:pt idx="22">
                  <c:v>34551010.444726251</c:v>
                </c:pt>
                <c:pt idx="23">
                  <c:v>33741880.158524826</c:v>
                </c:pt>
                <c:pt idx="24">
                  <c:v>32916980.624085248</c:v>
                </c:pt>
                <c:pt idx="25">
                  <c:v>32237731.618875541</c:v>
                </c:pt>
                <c:pt idx="26">
                  <c:v>32142910.034274433</c:v>
                </c:pt>
                <c:pt idx="27">
                  <c:v>32006562.079814427</c:v>
                </c:pt>
                <c:pt idx="28">
                  <c:v>31846374.814497501</c:v>
                </c:pt>
                <c:pt idx="29">
                  <c:v>31676903.381406974</c:v>
                </c:pt>
                <c:pt idx="30">
                  <c:v>31442967.701706283</c:v>
                </c:pt>
                <c:pt idx="31">
                  <c:v>31005480.373634301</c:v>
                </c:pt>
                <c:pt idx="32">
                  <c:v>30556001.590241842</c:v>
                </c:pt>
                <c:pt idx="33">
                  <c:v>30075988.808852557</c:v>
                </c:pt>
                <c:pt idx="34">
                  <c:v>29579351.497214325</c:v>
                </c:pt>
                <c:pt idx="35">
                  <c:v>29052342.01309675</c:v>
                </c:pt>
                <c:pt idx="36">
                  <c:v>28449497.168104611</c:v>
                </c:pt>
                <c:pt idx="37">
                  <c:v>27850434.325757567</c:v>
                </c:pt>
                <c:pt idx="38">
                  <c:v>27261317.259773858</c:v>
                </c:pt>
                <c:pt idx="39">
                  <c:v>26662478.003808323</c:v>
                </c:pt>
                <c:pt idx="40">
                  <c:v>26053096.086348627</c:v>
                </c:pt>
                <c:pt idx="41">
                  <c:v>25438501.880905941</c:v>
                </c:pt>
                <c:pt idx="42">
                  <c:v>24819019.16260726</c:v>
                </c:pt>
                <c:pt idx="43">
                  <c:v>24206592.375506934</c:v>
                </c:pt>
                <c:pt idx="44">
                  <c:v>23602371.660985697</c:v>
                </c:pt>
                <c:pt idx="45">
                  <c:v>22744889.333126813</c:v>
                </c:pt>
                <c:pt idx="46">
                  <c:v>22014236.813293599</c:v>
                </c:pt>
                <c:pt idx="47">
                  <c:v>21365370.510878228</c:v>
                </c:pt>
                <c:pt idx="48">
                  <c:v>20654045.194383655</c:v>
                </c:pt>
                <c:pt idx="49">
                  <c:v>20241522.95652958</c:v>
                </c:pt>
                <c:pt idx="50">
                  <c:v>19581054.004942857</c:v>
                </c:pt>
                <c:pt idx="51">
                  <c:v>18852045.408977691</c:v>
                </c:pt>
                <c:pt idx="52">
                  <c:v>18146683.809309818</c:v>
                </c:pt>
                <c:pt idx="53">
                  <c:v>17526085.13469043</c:v>
                </c:pt>
                <c:pt idx="54">
                  <c:v>16881872.866119318</c:v>
                </c:pt>
                <c:pt idx="55">
                  <c:v>16254607.560364839</c:v>
                </c:pt>
                <c:pt idx="56">
                  <c:v>15681450.543017546</c:v>
                </c:pt>
                <c:pt idx="57">
                  <c:v>15036821.984540304</c:v>
                </c:pt>
                <c:pt idx="58">
                  <c:v>14376921.297007652</c:v>
                </c:pt>
                <c:pt idx="59">
                  <c:v>13739412.554479789</c:v>
                </c:pt>
                <c:pt idx="60">
                  <c:v>13132808.146206511</c:v>
                </c:pt>
                <c:pt idx="61">
                  <c:v>12563313.160634929</c:v>
                </c:pt>
                <c:pt idx="62">
                  <c:v>12020928.850883083</c:v>
                </c:pt>
                <c:pt idx="63">
                  <c:v>11504051.803358201</c:v>
                </c:pt>
                <c:pt idx="64">
                  <c:v>11008978.060000001</c:v>
                </c:pt>
                <c:pt idx="65">
                  <c:v>10534000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F-4BF2-964A-802E096AE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806004"/>
        <c:axId val="353697003"/>
      </c:lineChart>
      <c:catAx>
        <c:axId val="863806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3697003"/>
        <c:crosses val="autoZero"/>
        <c:auto val="1"/>
        <c:lblAlgn val="ctr"/>
        <c:lblOffset val="100"/>
        <c:noMultiLvlLbl val="1"/>
      </c:catAx>
      <c:valAx>
        <c:axId val="353697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38060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'New Kizura'!$D$1:$D$67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1.039E-2</c:v>
                </c:pt>
                <c:pt idx="2">
                  <c:v>1.051E-2</c:v>
                </c:pt>
                <c:pt idx="3">
                  <c:v>1.1769999999999999E-2</c:v>
                </c:pt>
                <c:pt idx="4">
                  <c:v>7.1000000000000004E-3</c:v>
                </c:pt>
                <c:pt idx="5">
                  <c:v>3.5400000000000002E-3</c:v>
                </c:pt>
                <c:pt idx="6">
                  <c:v>2.5999999999999999E-3</c:v>
                </c:pt>
                <c:pt idx="7">
                  <c:v>-5.45E-3</c:v>
                </c:pt>
                <c:pt idx="8">
                  <c:v>1.238E-2</c:v>
                </c:pt>
                <c:pt idx="9">
                  <c:v>2.5020000000000001E-2</c:v>
                </c:pt>
                <c:pt idx="10">
                  <c:v>2.5530000000000001E-2</c:v>
                </c:pt>
                <c:pt idx="11">
                  <c:v>2.1299999999999999E-2</c:v>
                </c:pt>
                <c:pt idx="12">
                  <c:v>7.3099999999999997E-3</c:v>
                </c:pt>
                <c:pt idx="13">
                  <c:v>6.5300000000000002E-3</c:v>
                </c:pt>
                <c:pt idx="14">
                  <c:v>1.133E-2</c:v>
                </c:pt>
                <c:pt idx="15">
                  <c:v>1.5339999999999999E-2</c:v>
                </c:pt>
                <c:pt idx="16">
                  <c:v>1.2070000000000001E-2</c:v>
                </c:pt>
                <c:pt idx="17">
                  <c:v>1.2120000000000001E-2</c:v>
                </c:pt>
                <c:pt idx="18">
                  <c:v>9.3299999999999998E-3</c:v>
                </c:pt>
                <c:pt idx="19">
                  <c:v>7.1300000000000001E-3</c:v>
                </c:pt>
                <c:pt idx="20">
                  <c:v>3.6700000000000001E-3</c:v>
                </c:pt>
                <c:pt idx="21">
                  <c:v>7.26E-3</c:v>
                </c:pt>
                <c:pt idx="22">
                  <c:v>1.0120000000000001E-2</c:v>
                </c:pt>
                <c:pt idx="23">
                  <c:v>1.023E-2</c:v>
                </c:pt>
                <c:pt idx="24">
                  <c:v>1.503E-2</c:v>
                </c:pt>
                <c:pt idx="25">
                  <c:v>8.1700000000000002E-3</c:v>
                </c:pt>
                <c:pt idx="26">
                  <c:v>7.4599999999999996E-3</c:v>
                </c:pt>
                <c:pt idx="27">
                  <c:v>1.7469999999999999E-2</c:v>
                </c:pt>
                <c:pt idx="28">
                  <c:v>1.375E-2</c:v>
                </c:pt>
                <c:pt idx="29">
                  <c:v>8.0599999999999995E-3</c:v>
                </c:pt>
                <c:pt idx="30">
                  <c:v>6.6400000000000001E-3</c:v>
                </c:pt>
                <c:pt idx="31">
                  <c:v>9.1699999999999993E-3</c:v>
                </c:pt>
                <c:pt idx="32">
                  <c:v>1.2149999999999999E-2</c:v>
                </c:pt>
                <c:pt idx="33">
                  <c:v>1.436E-2</c:v>
                </c:pt>
                <c:pt idx="34">
                  <c:v>1.23E-2</c:v>
                </c:pt>
                <c:pt idx="35">
                  <c:v>1.038E-2</c:v>
                </c:pt>
                <c:pt idx="36">
                  <c:v>1.068E-2</c:v>
                </c:pt>
                <c:pt idx="37">
                  <c:v>8.7600000000000004E-3</c:v>
                </c:pt>
                <c:pt idx="38">
                  <c:v>6.8399999999999997E-3</c:v>
                </c:pt>
                <c:pt idx="39">
                  <c:v>8.0400000000000003E-3</c:v>
                </c:pt>
                <c:pt idx="40">
                  <c:v>1.171E-2</c:v>
                </c:pt>
                <c:pt idx="41">
                  <c:v>1.38E-2</c:v>
                </c:pt>
                <c:pt idx="42">
                  <c:v>1.3180000000000001E-2</c:v>
                </c:pt>
                <c:pt idx="43">
                  <c:v>1.6990000000000002E-2</c:v>
                </c:pt>
                <c:pt idx="44">
                  <c:v>1.2279999999999999E-2</c:v>
                </c:pt>
                <c:pt idx="45">
                  <c:v>4.0699999999999998E-3</c:v>
                </c:pt>
                <c:pt idx="46">
                  <c:v>6.7400000000000003E-3</c:v>
                </c:pt>
                <c:pt idx="47">
                  <c:v>1.179E-2</c:v>
                </c:pt>
                <c:pt idx="48">
                  <c:v>1.542E-2</c:v>
                </c:pt>
                <c:pt idx="49">
                  <c:v>1.6910000000000001E-2</c:v>
                </c:pt>
                <c:pt idx="50">
                  <c:v>1.6729999999999998E-2</c:v>
                </c:pt>
                <c:pt idx="51">
                  <c:v>1.797E-2</c:v>
                </c:pt>
                <c:pt idx="52">
                  <c:v>1.8149999999999999E-2</c:v>
                </c:pt>
                <c:pt idx="53">
                  <c:v>1.7739999999999999E-2</c:v>
                </c:pt>
                <c:pt idx="54">
                  <c:v>1.9290000000000002E-2</c:v>
                </c:pt>
                <c:pt idx="55">
                  <c:v>1.949E-2</c:v>
                </c:pt>
                <c:pt idx="56">
                  <c:v>2.1579999999999998E-2</c:v>
                </c:pt>
                <c:pt idx="57">
                  <c:v>1.9709999999999998E-2</c:v>
                </c:pt>
                <c:pt idx="58">
                  <c:v>2.504E-2</c:v>
                </c:pt>
                <c:pt idx="59">
                  <c:v>2.002E-2</c:v>
                </c:pt>
                <c:pt idx="60">
                  <c:v>2.181E-2</c:v>
                </c:pt>
                <c:pt idx="61">
                  <c:v>2.2859999999999998E-2</c:v>
                </c:pt>
                <c:pt idx="62">
                  <c:v>2.333E-2</c:v>
                </c:pt>
                <c:pt idx="63">
                  <c:v>1.652E-2</c:v>
                </c:pt>
                <c:pt idx="64">
                  <c:v>1.5429999999999999E-2</c:v>
                </c:pt>
                <c:pt idx="65">
                  <c:v>2.2859999999999998E-2</c:v>
                </c:pt>
                <c:pt idx="66">
                  <c:v>1.1350000000000001E-2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0D-43A7-BDB6-6904C493F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617845"/>
        <c:axId val="1669179047"/>
      </c:lineChart>
      <c:catAx>
        <c:axId val="631617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9179047"/>
        <c:crosses val="autoZero"/>
        <c:auto val="1"/>
        <c:lblAlgn val="ctr"/>
        <c:lblOffset val="100"/>
        <c:noMultiLvlLbl val="1"/>
      </c:catAx>
      <c:valAx>
        <c:axId val="1669179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6178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 Kizura'!$C$1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'New Kizura'!$C$2:$C$67</c:f>
              <c:numCache>
                <c:formatCode>#,##0</c:formatCode>
                <c:ptCount val="66"/>
                <c:pt idx="0">
                  <c:v>133059.51721603354</c:v>
                </c:pt>
                <c:pt idx="1">
                  <c:v>131691.24517862761</c:v>
                </c:pt>
                <c:pt idx="2">
                  <c:v>130321.56552496029</c:v>
                </c:pt>
                <c:pt idx="3">
                  <c:v>128805.52450157671</c:v>
                </c:pt>
                <c:pt idx="4">
                  <c:v>127897.45258820048</c:v>
                </c:pt>
                <c:pt idx="5">
                  <c:v>127446.29271199999</c:v>
                </c:pt>
                <c:pt idx="6">
                  <c:v>127115.79165370038</c:v>
                </c:pt>
                <c:pt idx="7">
                  <c:v>127812.36906510519</c:v>
                </c:pt>
                <c:pt idx="8">
                  <c:v>126249.40147484659</c:v>
                </c:pt>
                <c:pt idx="9">
                  <c:v>123167.74450727458</c:v>
                </c:pt>
                <c:pt idx="10">
                  <c:v>120101.55188758453</c:v>
                </c:pt>
                <c:pt idx="11">
                  <c:v>117596.74129793842</c:v>
                </c:pt>
                <c:pt idx="12">
                  <c:v>116743.34742823802</c:v>
                </c:pt>
                <c:pt idx="13">
                  <c:v>115985.95911521566</c:v>
                </c:pt>
                <c:pt idx="14">
                  <c:v>114686.56038604181</c:v>
                </c:pt>
                <c:pt idx="15">
                  <c:v>112953.84835231726</c:v>
                </c:pt>
                <c:pt idx="16">
                  <c:v>111606.7548216203</c:v>
                </c:pt>
                <c:pt idx="17">
                  <c:v>110270.27903965964</c:v>
                </c:pt>
                <c:pt idx="18">
                  <c:v>109250.96751276554</c:v>
                </c:pt>
                <c:pt idx="19">
                  <c:v>108477.52277537709</c:v>
                </c:pt>
                <c:pt idx="20">
                  <c:v>108080.86599716748</c:v>
                </c:pt>
                <c:pt idx="21">
                  <c:v>107301.85453325603</c:v>
                </c:pt>
                <c:pt idx="22">
                  <c:v>106226.83892335172</c:v>
                </c:pt>
                <c:pt idx="23">
                  <c:v>105151.14273319118</c:v>
                </c:pt>
                <c:pt idx="24">
                  <c:v>103594.12306354608</c:v>
                </c:pt>
                <c:pt idx="25">
                  <c:v>102754.61783582738</c:v>
                </c:pt>
                <c:pt idx="26">
                  <c:v>101993.74450184363</c:v>
                </c:pt>
                <c:pt idx="27">
                  <c:v>100242.5078890224</c:v>
                </c:pt>
                <c:pt idx="28">
                  <c:v>98882.868447864268</c:v>
                </c:pt>
                <c:pt idx="29">
                  <c:v>98092.244953538757</c:v>
                </c:pt>
                <c:pt idx="30">
                  <c:v>97445.208767323726</c:v>
                </c:pt>
                <c:pt idx="31">
                  <c:v>96559.755806577421</c:v>
                </c:pt>
                <c:pt idx="32">
                  <c:v>95400.638054218653</c:v>
                </c:pt>
                <c:pt idx="33">
                  <c:v>94050.078920914326</c:v>
                </c:pt>
                <c:pt idx="34">
                  <c:v>92907.318898463229</c:v>
                </c:pt>
                <c:pt idx="35">
                  <c:v>91952.848332769077</c:v>
                </c:pt>
                <c:pt idx="36">
                  <c:v>90981.169443116596</c:v>
                </c:pt>
                <c:pt idx="37">
                  <c:v>90191.095447000858</c:v>
                </c:pt>
                <c:pt idx="38">
                  <c:v>89578.379332367462</c:v>
                </c:pt>
                <c:pt idx="39">
                  <c:v>88863.913468084065</c:v>
                </c:pt>
                <c:pt idx="40">
                  <c:v>87835.361386251054</c:v>
                </c:pt>
                <c:pt idx="41">
                  <c:v>86639.733069886614</c:v>
                </c:pt>
                <c:pt idx="42">
                  <c:v>85512.676000203923</c:v>
                </c:pt>
                <c:pt idx="43">
                  <c:v>84084.087356025047</c:v>
                </c:pt>
                <c:pt idx="44">
                  <c:v>83064.060690742728</c:v>
                </c:pt>
                <c:pt idx="45">
                  <c:v>82727.360334182609</c:v>
                </c:pt>
                <c:pt idx="46">
                  <c:v>82173.510870912665</c:v>
                </c:pt>
                <c:pt idx="47">
                  <c:v>81215.974531189931</c:v>
                </c:pt>
                <c:pt idx="48">
                  <c:v>79982.642188641083</c:v>
                </c:pt>
                <c:pt idx="49">
                  <c:v>78652.626278275449</c:v>
                </c:pt>
                <c:pt idx="50">
                  <c:v>77358.419913128804</c:v>
                </c:pt>
                <c:pt idx="51">
                  <c:v>75992.828779953052</c:v>
                </c:pt>
                <c:pt idx="52">
                  <c:v>74638.146422386737</c:v>
                </c:pt>
                <c:pt idx="53">
                  <c:v>73337.145461892753</c:v>
                </c:pt>
                <c:pt idx="54">
                  <c:v>71949.244534816142</c:v>
                </c:pt>
                <c:pt idx="55">
                  <c:v>70573.761915091018</c:v>
                </c:pt>
                <c:pt idx="56">
                  <c:v>69082.951814924949</c:v>
                </c:pt>
                <c:pt idx="57">
                  <c:v>67747.645717826599</c:v>
                </c:pt>
                <c:pt idx="58">
                  <c:v>66092.684888225442</c:v>
                </c:pt>
                <c:pt idx="59">
                  <c:v>64795.479390821201</c:v>
                </c:pt>
                <c:pt idx="60">
                  <c:v>63412.453774010035</c:v>
                </c:pt>
                <c:pt idx="61">
                  <c:v>61995.242529779272</c:v>
                </c:pt>
                <c:pt idx="62">
                  <c:v>60581.867559613485</c:v>
                </c:pt>
                <c:pt idx="63">
                  <c:v>59597.319835924012</c:v>
                </c:pt>
                <c:pt idx="64">
                  <c:v>58691.706800000007</c:v>
                </c:pt>
                <c:pt idx="65">
                  <c:v>57380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C-4C9D-B4B2-3CEC75AFA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922662"/>
        <c:axId val="1640870815"/>
      </c:lineChart>
      <c:catAx>
        <c:axId val="849922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0870815"/>
        <c:crosses val="autoZero"/>
        <c:auto val="1"/>
        <c:lblAlgn val="ctr"/>
        <c:lblOffset val="100"/>
        <c:noMultiLvlLbl val="1"/>
      </c:catAx>
      <c:valAx>
        <c:axId val="1640870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99226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'New Misos'!$D$1:$D$67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4.2000000000000006E-3</c:v>
                </c:pt>
                <c:pt idx="4">
                  <c:v>5.7000000000000002E-3</c:v>
                </c:pt>
                <c:pt idx="5">
                  <c:v>6.8999999999999999E-3</c:v>
                </c:pt>
                <c:pt idx="6">
                  <c:v>6.9999999999999993E-3</c:v>
                </c:pt>
                <c:pt idx="7">
                  <c:v>6.9999999999999993E-3</c:v>
                </c:pt>
                <c:pt idx="8">
                  <c:v>7.0999999999999987E-3</c:v>
                </c:pt>
                <c:pt idx="9">
                  <c:v>7.4000000000000003E-3</c:v>
                </c:pt>
                <c:pt idx="10">
                  <c:v>7.7000000000000002E-3</c:v>
                </c:pt>
                <c:pt idx="11">
                  <c:v>8.0000000000000002E-3</c:v>
                </c:pt>
                <c:pt idx="12">
                  <c:v>8.3000000000000001E-3</c:v>
                </c:pt>
                <c:pt idx="13">
                  <c:v>8.6E-3</c:v>
                </c:pt>
                <c:pt idx="14">
                  <c:v>8.8999999999999999E-3</c:v>
                </c:pt>
                <c:pt idx="15">
                  <c:v>9.4000000000000004E-3</c:v>
                </c:pt>
                <c:pt idx="16">
                  <c:v>9.7999999999999997E-3</c:v>
                </c:pt>
                <c:pt idx="17">
                  <c:v>1.0199999999999999E-2</c:v>
                </c:pt>
                <c:pt idx="18">
                  <c:v>1.0499999999999999E-2</c:v>
                </c:pt>
                <c:pt idx="19">
                  <c:v>1.09E-2</c:v>
                </c:pt>
                <c:pt idx="20">
                  <c:v>8.7999999999999988E-3</c:v>
                </c:pt>
                <c:pt idx="21">
                  <c:v>9.2999999999999992E-3</c:v>
                </c:pt>
                <c:pt idx="22">
                  <c:v>9.8999999999999991E-3</c:v>
                </c:pt>
                <c:pt idx="23">
                  <c:v>1.0499999999999999E-2</c:v>
                </c:pt>
                <c:pt idx="24">
                  <c:v>1.09E-2</c:v>
                </c:pt>
                <c:pt idx="25">
                  <c:v>1.1299999999999998E-2</c:v>
                </c:pt>
                <c:pt idx="26">
                  <c:v>1.1599999999999999E-2</c:v>
                </c:pt>
                <c:pt idx="27">
                  <c:v>1.1899999999999997E-2</c:v>
                </c:pt>
                <c:pt idx="28">
                  <c:v>1.2299999999999998E-2</c:v>
                </c:pt>
                <c:pt idx="29">
                  <c:v>1.2799999999999999E-2</c:v>
                </c:pt>
                <c:pt idx="30">
                  <c:v>1.34E-2</c:v>
                </c:pt>
                <c:pt idx="31">
                  <c:v>1.5900000000000001E-2</c:v>
                </c:pt>
                <c:pt idx="32">
                  <c:v>1.66E-2</c:v>
                </c:pt>
                <c:pt idx="33">
                  <c:v>1.7300000000000003E-2</c:v>
                </c:pt>
                <c:pt idx="34">
                  <c:v>1.8000000000000002E-2</c:v>
                </c:pt>
                <c:pt idx="35">
                  <c:v>1.8600000000000002E-2</c:v>
                </c:pt>
                <c:pt idx="36">
                  <c:v>1.9300000000000001E-2</c:v>
                </c:pt>
                <c:pt idx="37">
                  <c:v>1.9900000000000001E-2</c:v>
                </c:pt>
                <c:pt idx="38">
                  <c:v>2.0500000000000001E-2</c:v>
                </c:pt>
                <c:pt idx="39">
                  <c:v>2.1100000000000001E-2</c:v>
                </c:pt>
                <c:pt idx="40">
                  <c:v>2.1700000000000001E-2</c:v>
                </c:pt>
                <c:pt idx="41">
                  <c:v>2.23E-2</c:v>
                </c:pt>
                <c:pt idx="42">
                  <c:v>2.29E-2</c:v>
                </c:pt>
                <c:pt idx="43">
                  <c:v>2.35E-2</c:v>
                </c:pt>
                <c:pt idx="44">
                  <c:v>2.4200000000000003E-2</c:v>
                </c:pt>
                <c:pt idx="45">
                  <c:v>2.5000000000000001E-2</c:v>
                </c:pt>
                <c:pt idx="46">
                  <c:v>2.5900000000000003E-2</c:v>
                </c:pt>
                <c:pt idx="47">
                  <c:v>2.6700000000000002E-2</c:v>
                </c:pt>
                <c:pt idx="48">
                  <c:v>2.7400000000000001E-2</c:v>
                </c:pt>
                <c:pt idx="49">
                  <c:v>2.8000000000000001E-2</c:v>
                </c:pt>
                <c:pt idx="50">
                  <c:v>2.8300000000000002E-2</c:v>
                </c:pt>
                <c:pt idx="51">
                  <c:v>2.8300000000000002E-2</c:v>
                </c:pt>
                <c:pt idx="52">
                  <c:v>2.8200000000000003E-2</c:v>
                </c:pt>
                <c:pt idx="53">
                  <c:v>2.7900000000000001E-2</c:v>
                </c:pt>
                <c:pt idx="54">
                  <c:v>2.76E-2</c:v>
                </c:pt>
                <c:pt idx="55">
                  <c:v>2.7300000000000001E-2</c:v>
                </c:pt>
                <c:pt idx="56">
                  <c:v>2.7100000000000003E-2</c:v>
                </c:pt>
                <c:pt idx="57">
                  <c:v>2.7100000000000003E-2</c:v>
                </c:pt>
                <c:pt idx="58">
                  <c:v>2.7300000000000001E-2</c:v>
                </c:pt>
                <c:pt idx="59">
                  <c:v>2.7800000000000002E-2</c:v>
                </c:pt>
                <c:pt idx="60">
                  <c:v>2.8400000000000002E-2</c:v>
                </c:pt>
                <c:pt idx="61">
                  <c:v>2.9100000000000004E-2</c:v>
                </c:pt>
                <c:pt idx="62">
                  <c:v>2.9599999999999998E-2</c:v>
                </c:pt>
                <c:pt idx="63">
                  <c:v>2.9800000000000004E-2</c:v>
                </c:pt>
                <c:pt idx="64">
                  <c:v>2.9599999999999998E-2</c:v>
                </c:pt>
                <c:pt idx="65">
                  <c:v>2.92E-2</c:v>
                </c:pt>
                <c:pt idx="66">
                  <c:v>2.86E-2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91-45AB-86DB-E72BB7D30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255909"/>
        <c:axId val="1896414361"/>
      </c:lineChart>
      <c:catAx>
        <c:axId val="1120255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6414361"/>
        <c:crosses val="autoZero"/>
        <c:auto val="1"/>
        <c:lblAlgn val="ctr"/>
        <c:lblOffset val="100"/>
        <c:noMultiLvlLbl val="1"/>
      </c:catAx>
      <c:valAx>
        <c:axId val="1896414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02559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 Misos'!$C$1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'New Misos'!$C$2:$C$67</c:f>
              <c:numCache>
                <c:formatCode>#,##0</c:formatCode>
                <c:ptCount val="66"/>
                <c:pt idx="0">
                  <c:v>53637097.248155266</c:v>
                </c:pt>
                <c:pt idx="1">
                  <c:v>53370246.018064946</c:v>
                </c:pt>
                <c:pt idx="2">
                  <c:v>53104722.406034775</c:v>
                </c:pt>
                <c:pt idx="3">
                  <c:v>52882615.421265461</c:v>
                </c:pt>
                <c:pt idx="4">
                  <c:v>52582892.931555592</c:v>
                </c:pt>
                <c:pt idx="5">
                  <c:v>52222557.286280259</c:v>
                </c:pt>
                <c:pt idx="6">
                  <c:v>51859540.502760939</c:v>
                </c:pt>
                <c:pt idx="7">
                  <c:v>51499047.17255307</c:v>
                </c:pt>
                <c:pt idx="8">
                  <c:v>51135981.702465557</c:v>
                </c:pt>
                <c:pt idx="9">
                  <c:v>50760355.074911207</c:v>
                </c:pt>
                <c:pt idx="10">
                  <c:v>50372486.925584204</c:v>
                </c:pt>
                <c:pt idx="11">
                  <c:v>49972705.283317663</c:v>
                </c:pt>
                <c:pt idx="12">
                  <c:v>49561346.110599689</c:v>
                </c:pt>
                <c:pt idx="13">
                  <c:v>49138752.836208299</c:v>
                </c:pt>
                <c:pt idx="14">
                  <c:v>48705275.880868576</c:v>
                </c:pt>
                <c:pt idx="15">
                  <c:v>48251709.808667101</c:v>
                </c:pt>
                <c:pt idx="16">
                  <c:v>47783432.173368089</c:v>
                </c:pt>
                <c:pt idx="17">
                  <c:v>47300962.357323393</c:v>
                </c:pt>
                <c:pt idx="18">
                  <c:v>46809462.99586679</c:v>
                </c:pt>
                <c:pt idx="19">
                  <c:v>46304741.315527543</c:v>
                </c:pt>
                <c:pt idx="20">
                  <c:v>45900814.150998756</c:v>
                </c:pt>
                <c:pt idx="21">
                  <c:v>45477869.960367337</c:v>
                </c:pt>
                <c:pt idx="22">
                  <c:v>45032052.639238872</c:v>
                </c:pt>
                <c:pt idx="23">
                  <c:v>44564129.281780183</c:v>
                </c:pt>
                <c:pt idx="24">
                  <c:v>44083617.847245216</c:v>
                </c:pt>
                <c:pt idx="25">
                  <c:v>43591039.105354704</c:v>
                </c:pt>
                <c:pt idx="26">
                  <c:v>43091181.401101917</c:v>
                </c:pt>
                <c:pt idx="27">
                  <c:v>42584426.723097064</c:v>
                </c:pt>
                <c:pt idx="28">
                  <c:v>42067002.591224998</c:v>
                </c:pt>
                <c:pt idx="29">
                  <c:v>41535350.109819315</c:v>
                </c:pt>
                <c:pt idx="30">
                  <c:v>40986135.888907947</c:v>
                </c:pt>
                <c:pt idx="31">
                  <c:v>40344655.86072246</c:v>
                </c:pt>
                <c:pt idx="32">
                  <c:v>39685870.411885165</c:v>
                </c:pt>
                <c:pt idx="33">
                  <c:v>39010980.450098455</c:v>
                </c:pt>
                <c:pt idx="34">
                  <c:v>38321198.8704307</c:v>
                </c:pt>
                <c:pt idx="35">
                  <c:v>37621440.08485245</c:v>
                </c:pt>
                <c:pt idx="36">
                  <c:v>36909094.559847392</c:v>
                </c:pt>
                <c:pt idx="37">
                  <c:v>36188934.75816001</c:v>
                </c:pt>
                <c:pt idx="38">
                  <c:v>35461964.486193053</c:v>
                </c:pt>
                <c:pt idx="39">
                  <c:v>34729178.813233823</c:v>
                </c:pt>
                <c:pt idx="40">
                  <c:v>33991561.919578955</c:v>
                </c:pt>
                <c:pt idx="41">
                  <c:v>33250085.02355371</c:v>
                </c:pt>
                <c:pt idx="42">
                  <c:v>32505704.392955042</c:v>
                </c:pt>
                <c:pt idx="43">
                  <c:v>31759359.445974637</c:v>
                </c:pt>
                <c:pt idx="44">
                  <c:v>31008943.02477508</c:v>
                </c:pt>
                <c:pt idx="45">
                  <c:v>30252627.341243982</c:v>
                </c:pt>
                <c:pt idx="46">
                  <c:v>29488865.719118804</c:v>
                </c:pt>
                <c:pt idx="47">
                  <c:v>28721988.622887705</c:v>
                </c:pt>
                <c:pt idx="48">
                  <c:v>27955994.376959026</c:v>
                </c:pt>
                <c:pt idx="49">
                  <c:v>27194547.059298664</c:v>
                </c:pt>
                <c:pt idx="50">
                  <c:v>26446121.81201854</c:v>
                </c:pt>
                <c:pt idx="51">
                  <c:v>25718294.089291587</c:v>
                </c:pt>
                <c:pt idx="52">
                  <c:v>25012929.47801166</c:v>
                </c:pt>
                <c:pt idx="53">
                  <c:v>24334010.582752854</c:v>
                </c:pt>
                <c:pt idx="54">
                  <c:v>23680430.695555519</c:v>
                </c:pt>
                <c:pt idx="55">
                  <c:v>23051134.717760652</c:v>
                </c:pt>
                <c:pt idx="56">
                  <c:v>22442931.280070737</c:v>
                </c:pt>
                <c:pt idx="57">
                  <c:v>21850775.270247046</c:v>
                </c:pt>
                <c:pt idx="58">
                  <c:v>21270101.499315724</c:v>
                </c:pt>
                <c:pt idx="59">
                  <c:v>20694786.436384242</c:v>
                </c:pt>
                <c:pt idx="60">
                  <c:v>20123285.138452198</c:v>
                </c:pt>
                <c:pt idx="61">
                  <c:v>19554256.280684289</c:v>
                </c:pt>
                <c:pt idx="62">
                  <c:v>18992090.404705018</c:v>
                </c:pt>
                <c:pt idx="63">
                  <c:v>18442503.791712001</c:v>
                </c:pt>
                <c:pt idx="64">
                  <c:v>17912299.719999999</c:v>
                </c:pt>
                <c:pt idx="65">
                  <c:v>17404100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F-4386-90E2-96C717850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934367"/>
        <c:axId val="1344024168"/>
      </c:lineChart>
      <c:catAx>
        <c:axId val="71293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4024168"/>
        <c:crosses val="autoZero"/>
        <c:auto val="1"/>
        <c:lblAlgn val="ctr"/>
        <c:lblOffset val="100"/>
        <c:noMultiLvlLbl val="1"/>
      </c:catAx>
      <c:valAx>
        <c:axId val="1344024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29343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'Nheyes Si'!$D$1:$D$67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2.562E-2</c:v>
                </c:pt>
                <c:pt idx="2">
                  <c:v>2.5000000000000001E-2</c:v>
                </c:pt>
                <c:pt idx="3">
                  <c:v>2.46E-2</c:v>
                </c:pt>
                <c:pt idx="4">
                  <c:v>2.4289999999999999E-2</c:v>
                </c:pt>
                <c:pt idx="5">
                  <c:v>2.4799999999999999E-2</c:v>
                </c:pt>
                <c:pt idx="6">
                  <c:v>2.4740000000000002E-2</c:v>
                </c:pt>
                <c:pt idx="7">
                  <c:v>2.444E-2</c:v>
                </c:pt>
                <c:pt idx="8">
                  <c:v>2.4389999999999998E-2</c:v>
                </c:pt>
                <c:pt idx="9">
                  <c:v>2.3990000000000001E-2</c:v>
                </c:pt>
                <c:pt idx="10">
                  <c:v>2.2290000000000001E-2</c:v>
                </c:pt>
                <c:pt idx="11">
                  <c:v>1.949E-2</c:v>
                </c:pt>
                <c:pt idx="12">
                  <c:v>2.053E-2</c:v>
                </c:pt>
                <c:pt idx="13">
                  <c:v>2.23E-2</c:v>
                </c:pt>
                <c:pt idx="14">
                  <c:v>2.2550000000000001E-2</c:v>
                </c:pt>
                <c:pt idx="15">
                  <c:v>8.5000000000000006E-3</c:v>
                </c:pt>
                <c:pt idx="16">
                  <c:v>1.7749999999999998E-2</c:v>
                </c:pt>
                <c:pt idx="17">
                  <c:v>2.1510000000000001E-2</c:v>
                </c:pt>
                <c:pt idx="18">
                  <c:v>2.332E-2</c:v>
                </c:pt>
                <c:pt idx="19">
                  <c:v>1.422E-2</c:v>
                </c:pt>
                <c:pt idx="20">
                  <c:v>2.7019999999999999E-2</c:v>
                </c:pt>
                <c:pt idx="21">
                  <c:v>2.9610000000000001E-2</c:v>
                </c:pt>
                <c:pt idx="22">
                  <c:v>2.623E-2</c:v>
                </c:pt>
                <c:pt idx="23">
                  <c:v>3.3849999999999998E-2</c:v>
                </c:pt>
                <c:pt idx="24">
                  <c:v>2.6960000000000001E-2</c:v>
                </c:pt>
                <c:pt idx="25">
                  <c:v>3.7039999999999997E-2</c:v>
                </c:pt>
                <c:pt idx="26">
                  <c:v>4.3150000000000001E-2</c:v>
                </c:pt>
                <c:pt idx="27">
                  <c:v>2.5669999999999998E-2</c:v>
                </c:pt>
                <c:pt idx="28">
                  <c:v>2.6239999999999999E-2</c:v>
                </c:pt>
                <c:pt idx="29">
                  <c:v>2.6069999999999999E-2</c:v>
                </c:pt>
                <c:pt idx="30">
                  <c:v>2.5260000000000001E-2</c:v>
                </c:pt>
                <c:pt idx="31">
                  <c:v>2.4129999999999999E-2</c:v>
                </c:pt>
                <c:pt idx="32">
                  <c:v>2.2849999999999999E-2</c:v>
                </c:pt>
                <c:pt idx="33">
                  <c:v>2.1530000000000001E-2</c:v>
                </c:pt>
                <c:pt idx="34">
                  <c:v>2.0760000000000001E-2</c:v>
                </c:pt>
                <c:pt idx="35">
                  <c:v>1.941E-2</c:v>
                </c:pt>
                <c:pt idx="36">
                  <c:v>1.821E-2</c:v>
                </c:pt>
                <c:pt idx="37">
                  <c:v>1.702E-2</c:v>
                </c:pt>
                <c:pt idx="38">
                  <c:v>1.609E-2</c:v>
                </c:pt>
                <c:pt idx="39">
                  <c:v>1.562E-2</c:v>
                </c:pt>
                <c:pt idx="40">
                  <c:v>1.549E-2</c:v>
                </c:pt>
                <c:pt idx="41">
                  <c:v>1.5699999999999999E-2</c:v>
                </c:pt>
                <c:pt idx="42">
                  <c:v>1.6080000000000001E-2</c:v>
                </c:pt>
                <c:pt idx="43">
                  <c:v>1.6580000000000001E-2</c:v>
                </c:pt>
                <c:pt idx="44">
                  <c:v>1.7010000000000001E-2</c:v>
                </c:pt>
                <c:pt idx="45">
                  <c:v>1.7639999999999999E-2</c:v>
                </c:pt>
                <c:pt idx="46">
                  <c:v>1.8350000000000002E-2</c:v>
                </c:pt>
                <c:pt idx="47">
                  <c:v>1.9050000000000001E-2</c:v>
                </c:pt>
                <c:pt idx="48">
                  <c:v>1.9310000000000001E-2</c:v>
                </c:pt>
                <c:pt idx="49">
                  <c:v>1.9120000000000002E-2</c:v>
                </c:pt>
                <c:pt idx="50">
                  <c:v>1.8859999999999998E-2</c:v>
                </c:pt>
                <c:pt idx="51">
                  <c:v>1.8540000000000001E-2</c:v>
                </c:pt>
                <c:pt idx="52">
                  <c:v>1.8290000000000001E-2</c:v>
                </c:pt>
                <c:pt idx="53">
                  <c:v>1.804E-2</c:v>
                </c:pt>
                <c:pt idx="54">
                  <c:v>1.7829999999999999E-2</c:v>
                </c:pt>
                <c:pt idx="55">
                  <c:v>1.762E-2</c:v>
                </c:pt>
                <c:pt idx="56">
                  <c:v>1.7389999999999999E-2</c:v>
                </c:pt>
                <c:pt idx="57">
                  <c:v>1.72E-2</c:v>
                </c:pt>
                <c:pt idx="58">
                  <c:v>1.704E-2</c:v>
                </c:pt>
                <c:pt idx="59">
                  <c:v>1.687E-2</c:v>
                </c:pt>
                <c:pt idx="60">
                  <c:v>1.6650000000000002E-2</c:v>
                </c:pt>
                <c:pt idx="61">
                  <c:v>1.651E-2</c:v>
                </c:pt>
                <c:pt idx="62">
                  <c:v>1.6379999999999999E-2</c:v>
                </c:pt>
                <c:pt idx="63">
                  <c:v>1.626E-2</c:v>
                </c:pt>
                <c:pt idx="64">
                  <c:v>1.6150000000000001E-2</c:v>
                </c:pt>
                <c:pt idx="65">
                  <c:v>1.6060000000000001E-2</c:v>
                </c:pt>
                <c:pt idx="66">
                  <c:v>1.6070000000000001E-2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B5-45CA-AEF2-32682336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984837"/>
        <c:axId val="697721545"/>
      </c:lineChart>
      <c:catAx>
        <c:axId val="1084984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7721545"/>
        <c:crosses val="autoZero"/>
        <c:auto val="1"/>
        <c:lblAlgn val="ctr"/>
        <c:lblOffset val="100"/>
        <c:noMultiLvlLbl val="1"/>
      </c:catAx>
      <c:valAx>
        <c:axId val="697721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49848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'Nheyes Si'!$C$1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'Nheyes Si'!$C$2:$C$67</c:f>
              <c:numCache>
                <c:formatCode>#,##0</c:formatCode>
                <c:ptCount val="66"/>
                <c:pt idx="0">
                  <c:v>12224664.698043607</c:v>
                </c:pt>
                <c:pt idx="1">
                  <c:v>11919292.426087253</c:v>
                </c:pt>
                <c:pt idx="2">
                  <c:v>11628577.976670492</c:v>
                </c:pt>
                <c:pt idx="3">
                  <c:v>11349383.151152151</c:v>
                </c:pt>
                <c:pt idx="4">
                  <c:v>11080244.023813717</c:v>
                </c:pt>
                <c:pt idx="5">
                  <c:v>10812103.848374041</c:v>
                </c:pt>
                <c:pt idx="6">
                  <c:v>10551070.367482523</c:v>
                </c:pt>
                <c:pt idx="7">
                  <c:v>10299354.152007461</c:v>
                </c:pt>
                <c:pt idx="8">
                  <c:v>10054133.82794391</c:v>
                </c:pt>
                <c:pt idx="9">
                  <c:v>9818585.9509799033</c:v>
                </c:pt>
                <c:pt idx="10">
                  <c:v>9604501.6100909766</c:v>
                </c:pt>
                <c:pt idx="11">
                  <c:v>9420888.4933554791</c:v>
                </c:pt>
                <c:pt idx="12">
                  <c:v>9231368.4980896991</c:v>
                </c:pt>
                <c:pt idx="13">
                  <c:v>9029999.5090381484</c:v>
                </c:pt>
                <c:pt idx="14">
                  <c:v>8830863.5362947024</c:v>
                </c:pt>
                <c:pt idx="15">
                  <c:v>8756433.8485817574</c:v>
                </c:pt>
                <c:pt idx="16">
                  <c:v>8603717.8566266354</c:v>
                </c:pt>
                <c:pt idx="17">
                  <c:v>8422548.8312661014</c:v>
                </c:pt>
                <c:pt idx="18">
                  <c:v>8230610.9831392923</c:v>
                </c:pt>
                <c:pt idx="19">
                  <c:v>8115212.6591265146</c:v>
                </c:pt>
                <c:pt idx="20">
                  <c:v>7901708.4955760492</c:v>
                </c:pt>
                <c:pt idx="21">
                  <c:v>7674467.5125300353</c:v>
                </c:pt>
                <c:pt idx="22">
                  <c:v>7478311.4043928124</c:v>
                </c:pt>
                <c:pt idx="23">
                  <c:v>7233458.8232265925</c:v>
                </c:pt>
                <c:pt idx="24">
                  <c:v>7043564.3289189376</c:v>
                </c:pt>
                <c:pt idx="25">
                  <c:v>6791989.0543459635</c:v>
                </c:pt>
                <c:pt idx="26">
                  <c:v>6511037.7743814057</c:v>
                </c:pt>
                <c:pt idx="27">
                  <c:v>6348082.4966913387</c:v>
                </c:pt>
                <c:pt idx="28">
                  <c:v>6185767.9457937116</c:v>
                </c:pt>
                <c:pt idx="29">
                  <c:v>6028602.284243484</c:v>
                </c:pt>
                <c:pt idx="30">
                  <c:v>5880071.6737641999</c:v>
                </c:pt>
                <c:pt idx="31">
                  <c:v>5741528.5889137117</c:v>
                </c:pt>
                <c:pt idx="32">
                  <c:v>5613265.4728588862</c:v>
                </c:pt>
                <c:pt idx="33">
                  <c:v>5494959.0054710936</c:v>
                </c:pt>
                <c:pt idx="34">
                  <c:v>5383203.6967270393</c:v>
                </c:pt>
                <c:pt idx="35">
                  <c:v>5280705.2086275788</c:v>
                </c:pt>
                <c:pt idx="36">
                  <c:v>5186263.3529699948</c:v>
                </c:pt>
                <c:pt idx="37">
                  <c:v>5099470.3673182381</c:v>
                </c:pt>
                <c:pt idx="38">
                  <c:v>5018719.1757799396</c:v>
                </c:pt>
                <c:pt idx="39">
                  <c:v>4941532.4390814872</c:v>
                </c:pt>
                <c:pt idx="40">
                  <c:v>4866155.687482385</c:v>
                </c:pt>
                <c:pt idx="41">
                  <c:v>4790937.9614870381</c:v>
                </c:pt>
                <c:pt idx="42">
                  <c:v>4715118.850373039</c:v>
                </c:pt>
                <c:pt idx="43">
                  <c:v>4638217.209047039</c:v>
                </c:pt>
                <c:pt idx="44">
                  <c:v>4560640.7105604066</c:v>
                </c:pt>
                <c:pt idx="45">
                  <c:v>4481585.5416064681</c:v>
                </c:pt>
                <c:pt idx="46">
                  <c:v>4400830.3055005334</c:v>
                </c:pt>
                <c:pt idx="47">
                  <c:v>4318561.7050199043</c:v>
                </c:pt>
                <c:pt idx="48">
                  <c:v>4236750.0613355162</c:v>
                </c:pt>
                <c:pt idx="49">
                  <c:v>4157263.1891587996</c:v>
                </c:pt>
                <c:pt idx="50">
                  <c:v>4080308.5695373253</c:v>
                </c:pt>
                <c:pt idx="51">
                  <c:v>4006036.650045482</c:v>
                </c:pt>
                <c:pt idx="52">
                  <c:v>3934082.2850518832</c:v>
                </c:pt>
                <c:pt idx="53">
                  <c:v>3864369.0670817285</c:v>
                </c:pt>
                <c:pt idx="54">
                  <c:v>3796674.3631861201</c:v>
                </c:pt>
                <c:pt idx="55">
                  <c:v>3730935.2834910084</c:v>
                </c:pt>
                <c:pt idx="56">
                  <c:v>3667163.313469769</c:v>
                </c:pt>
                <c:pt idx="57">
                  <c:v>3605154.6534307594</c:v>
                </c:pt>
                <c:pt idx="58">
                  <c:v>3544752.0780212772</c:v>
                </c:pt>
                <c:pt idx="59">
                  <c:v>3485944.1993777743</c:v>
                </c:pt>
                <c:pt idx="60">
                  <c:v>3428853.7838762347</c:v>
                </c:pt>
                <c:pt idx="61">
                  <c:v>3373162.8649754892</c:v>
                </c:pt>
                <c:pt idx="62">
                  <c:v>3318800.9061330301</c:v>
                </c:pt>
                <c:pt idx="63">
                  <c:v>3265700.614147</c:v>
                </c:pt>
                <c:pt idx="64">
                  <c:v>3213797.78</c:v>
                </c:pt>
                <c:pt idx="65">
                  <c:v>3163000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3-40E4-A988-6BA6EC580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945072"/>
        <c:axId val="1027268215"/>
      </c:lineChart>
      <c:catAx>
        <c:axId val="164694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7268215"/>
        <c:crosses val="autoZero"/>
        <c:auto val="1"/>
        <c:lblAlgn val="ctr"/>
        <c:lblOffset val="100"/>
        <c:noMultiLvlLbl val="1"/>
      </c:catAx>
      <c:valAx>
        <c:axId val="1027268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69450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Nia!$D$1:$D$67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9.75E-3</c:v>
                </c:pt>
                <c:pt idx="2">
                  <c:v>1.056E-2</c:v>
                </c:pt>
                <c:pt idx="3">
                  <c:v>1.102E-2</c:v>
                </c:pt>
                <c:pt idx="4">
                  <c:v>1.1140000000000001E-2</c:v>
                </c:pt>
                <c:pt idx="5">
                  <c:v>1.1010000000000001E-2</c:v>
                </c:pt>
                <c:pt idx="6">
                  <c:v>1.094E-2</c:v>
                </c:pt>
                <c:pt idx="7">
                  <c:v>1.0970000000000001E-2</c:v>
                </c:pt>
                <c:pt idx="8">
                  <c:v>1.116E-2</c:v>
                </c:pt>
                <c:pt idx="9">
                  <c:v>1.1429999999999999E-2</c:v>
                </c:pt>
                <c:pt idx="10">
                  <c:v>1.1809999999999999E-2</c:v>
                </c:pt>
                <c:pt idx="11">
                  <c:v>1.502E-2</c:v>
                </c:pt>
                <c:pt idx="12">
                  <c:v>1.9519999999999999E-2</c:v>
                </c:pt>
                <c:pt idx="13">
                  <c:v>2.0490000000000001E-2</c:v>
                </c:pt>
                <c:pt idx="14">
                  <c:v>2.154E-2</c:v>
                </c:pt>
                <c:pt idx="15">
                  <c:v>2.256E-2</c:v>
                </c:pt>
                <c:pt idx="16">
                  <c:v>2.359E-2</c:v>
                </c:pt>
                <c:pt idx="17">
                  <c:v>2.487E-2</c:v>
                </c:pt>
                <c:pt idx="18">
                  <c:v>2.0729999999999998E-2</c:v>
                </c:pt>
                <c:pt idx="19">
                  <c:v>1.7319999999999999E-2</c:v>
                </c:pt>
                <c:pt idx="20">
                  <c:v>1.8499999999999999E-2</c:v>
                </c:pt>
                <c:pt idx="21">
                  <c:v>-1.562E-2</c:v>
                </c:pt>
                <c:pt idx="22">
                  <c:v>-8.0300000000000007E-3</c:v>
                </c:pt>
                <c:pt idx="23">
                  <c:v>7.4000000000000003E-3</c:v>
                </c:pt>
                <c:pt idx="24">
                  <c:v>-1.7129999999999999E-2</c:v>
                </c:pt>
                <c:pt idx="25">
                  <c:v>1.0489999999999999E-2</c:v>
                </c:pt>
                <c:pt idx="26">
                  <c:v>2.495E-2</c:v>
                </c:pt>
                <c:pt idx="27">
                  <c:v>2.911E-2</c:v>
                </c:pt>
                <c:pt idx="28">
                  <c:v>2.963E-2</c:v>
                </c:pt>
                <c:pt idx="29">
                  <c:v>3.0259999999999999E-2</c:v>
                </c:pt>
                <c:pt idx="30">
                  <c:v>3.073E-2</c:v>
                </c:pt>
                <c:pt idx="31">
                  <c:v>3.099E-2</c:v>
                </c:pt>
                <c:pt idx="32">
                  <c:v>3.1379999999999998E-2</c:v>
                </c:pt>
                <c:pt idx="33">
                  <c:v>3.1809999999999998E-2</c:v>
                </c:pt>
                <c:pt idx="34">
                  <c:v>3.1919999999999997E-2</c:v>
                </c:pt>
                <c:pt idx="35">
                  <c:v>3.2460000000000003E-2</c:v>
                </c:pt>
                <c:pt idx="36">
                  <c:v>3.3059999999999999E-2</c:v>
                </c:pt>
                <c:pt idx="37">
                  <c:v>3.3599999999999998E-2</c:v>
                </c:pt>
                <c:pt idx="38">
                  <c:v>3.4130000000000001E-2</c:v>
                </c:pt>
                <c:pt idx="39">
                  <c:v>3.4160000000000003E-2</c:v>
                </c:pt>
                <c:pt idx="40">
                  <c:v>3.4139999999999997E-2</c:v>
                </c:pt>
                <c:pt idx="41">
                  <c:v>3.4119999999999998E-2</c:v>
                </c:pt>
                <c:pt idx="42">
                  <c:v>3.4020000000000002E-2</c:v>
                </c:pt>
                <c:pt idx="43">
                  <c:v>3.406E-2</c:v>
                </c:pt>
                <c:pt idx="44">
                  <c:v>3.4049999999999997E-2</c:v>
                </c:pt>
                <c:pt idx="45">
                  <c:v>3.4029999999999998E-2</c:v>
                </c:pt>
                <c:pt idx="46">
                  <c:v>3.4040000000000001E-2</c:v>
                </c:pt>
                <c:pt idx="47">
                  <c:v>3.3959999999999997E-2</c:v>
                </c:pt>
                <c:pt idx="48">
                  <c:v>3.3579999999999999E-2</c:v>
                </c:pt>
                <c:pt idx="49">
                  <c:v>3.313E-2</c:v>
                </c:pt>
                <c:pt idx="50">
                  <c:v>3.2710000000000003E-2</c:v>
                </c:pt>
                <c:pt idx="51">
                  <c:v>3.2210000000000003E-2</c:v>
                </c:pt>
                <c:pt idx="52">
                  <c:v>3.168E-2</c:v>
                </c:pt>
                <c:pt idx="53">
                  <c:v>3.1199999999999999E-2</c:v>
                </c:pt>
                <c:pt idx="54">
                  <c:v>3.1109999999999999E-2</c:v>
                </c:pt>
                <c:pt idx="55">
                  <c:v>2.894E-2</c:v>
                </c:pt>
                <c:pt idx="56">
                  <c:v>2.8400000000000002E-2</c:v>
                </c:pt>
                <c:pt idx="57">
                  <c:v>2.835E-2</c:v>
                </c:pt>
                <c:pt idx="58">
                  <c:v>2.8060000000000002E-2</c:v>
                </c:pt>
                <c:pt idx="59">
                  <c:v>2.8029999999999999E-2</c:v>
                </c:pt>
                <c:pt idx="60">
                  <c:v>2.7810000000000001E-2</c:v>
                </c:pt>
                <c:pt idx="61">
                  <c:v>2.7310000000000001E-2</c:v>
                </c:pt>
                <c:pt idx="62">
                  <c:v>2.7490000000000001E-2</c:v>
                </c:pt>
                <c:pt idx="63">
                  <c:v>2.6970000000000001E-2</c:v>
                </c:pt>
                <c:pt idx="64">
                  <c:v>2.7050000000000001E-2</c:v>
                </c:pt>
                <c:pt idx="65">
                  <c:v>2.656E-2</c:v>
                </c:pt>
                <c:pt idx="66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2E-4262-8D1F-23E5EFF1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307215"/>
        <c:axId val="1243522834"/>
      </c:lineChart>
      <c:catAx>
        <c:axId val="120230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3522834"/>
        <c:crosses val="autoZero"/>
        <c:auto val="1"/>
        <c:lblAlgn val="ctr"/>
        <c:lblOffset val="100"/>
        <c:noMultiLvlLbl val="1"/>
      </c:catAx>
      <c:valAx>
        <c:axId val="1243522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3072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Nia!$C$2:$C$67</c:f>
              <c:numCache>
                <c:formatCode>#,##0</c:formatCode>
                <c:ptCount val="66"/>
                <c:pt idx="0">
                  <c:v>16303297.541242715</c:v>
                </c:pt>
                <c:pt idx="1">
                  <c:v>16145875.257482264</c:v>
                </c:pt>
                <c:pt idx="2">
                  <c:v>15977156.485000659</c:v>
                </c:pt>
                <c:pt idx="3">
                  <c:v>15803007.344069017</c:v>
                </c:pt>
                <c:pt idx="4">
                  <c:v>15628901.382666118</c:v>
                </c:pt>
                <c:pt idx="5">
                  <c:v>15458701.083734205</c:v>
                </c:pt>
                <c:pt idx="6">
                  <c:v>15291413.0252381</c:v>
                </c:pt>
                <c:pt idx="7">
                  <c:v>15125486.439002248</c:v>
                </c:pt>
                <c:pt idx="8">
                  <c:v>14958549.031807277</c:v>
                </c:pt>
                <c:pt idx="9">
                  <c:v>14789504.989774158</c:v>
                </c:pt>
                <c:pt idx="10">
                  <c:v>14616879.64121145</c:v>
                </c:pt>
                <c:pt idx="11">
                  <c:v>14400582.886259828</c:v>
                </c:pt>
                <c:pt idx="12">
                  <c:v>14124865.51147582</c:v>
                </c:pt>
                <c:pt idx="13">
                  <c:v>13841258.132344091</c:v>
                </c:pt>
                <c:pt idx="14">
                  <c:v>13549403.970812785</c:v>
                </c:pt>
                <c:pt idx="15">
                  <c:v>13250473.293315586</c:v>
                </c:pt>
                <c:pt idx="16">
                  <c:v>12945098.421551192</c:v>
                </c:pt>
                <c:pt idx="17">
                  <c:v>12630966.289920861</c:v>
                </c:pt>
                <c:pt idx="18">
                  <c:v>12374444.064464513</c:v>
                </c:pt>
                <c:pt idx="19">
                  <c:v>12163767.609468518</c:v>
                </c:pt>
                <c:pt idx="20">
                  <c:v>11942825.340666194</c:v>
                </c:pt>
                <c:pt idx="21">
                  <c:v>12132332.372321861</c:v>
                </c:pt>
                <c:pt idx="22">
                  <c:v>12230543.637732856</c:v>
                </c:pt>
                <c:pt idx="23">
                  <c:v>12140702.43967923</c:v>
                </c:pt>
                <c:pt idx="24">
                  <c:v>12352297.292296264</c:v>
                </c:pt>
                <c:pt idx="25">
                  <c:v>12224066.831236593</c:v>
                </c:pt>
                <c:pt idx="26">
                  <c:v>11926500.640262054</c:v>
                </c:pt>
                <c:pt idx="27">
                  <c:v>11589140.752943859</c:v>
                </c:pt>
                <c:pt idx="28">
                  <c:v>11255636.250831714</c:v>
                </c:pt>
                <c:pt idx="29">
                  <c:v>10925044.407073665</c:v>
                </c:pt>
                <c:pt idx="30">
                  <c:v>10599327.085729208</c:v>
                </c:pt>
                <c:pt idx="31">
                  <c:v>10280727.345298409</c:v>
                </c:pt>
                <c:pt idx="32">
                  <c:v>9967933.5892672054</c:v>
                </c:pt>
                <c:pt idx="33">
                  <c:v>9660628.9813698325</c:v>
                </c:pt>
                <c:pt idx="34">
                  <c:v>9361800.3153052889</c:v>
                </c:pt>
                <c:pt idx="35">
                  <c:v>9067470.2315879446</c:v>
                </c:pt>
                <c:pt idx="36">
                  <c:v>8777292.9274078403</c:v>
                </c:pt>
                <c:pt idx="37">
                  <c:v>8491962.9715633132</c:v>
                </c:pt>
                <c:pt idx="38">
                  <c:v>8211697.7281031534</c:v>
                </c:pt>
                <c:pt idx="39">
                  <c:v>7940451.8914898597</c:v>
                </c:pt>
                <c:pt idx="40">
                  <c:v>7678314.2432261193</c:v>
                </c:pt>
                <c:pt idx="41">
                  <c:v>7424974.1260454487</c:v>
                </c:pt>
                <c:pt idx="42">
                  <c:v>7180687.1492286893</c:v>
                </c:pt>
                <c:pt idx="43">
                  <c:v>6944168.7612214852</c:v>
                </c:pt>
                <c:pt idx="44">
                  <c:v>6715505.7891025441</c:v>
                </c:pt>
                <c:pt idx="45">
                  <c:v>6494498.0214331727</c:v>
                </c:pt>
                <c:pt idx="46">
                  <c:v>6280702.8948910795</c:v>
                </c:pt>
                <c:pt idx="47">
                  <c:v>6074415.7364802118</c:v>
                </c:pt>
                <c:pt idx="48">
                  <c:v>5877063.929720208</c:v>
                </c:pt>
                <c:pt idx="49">
                  <c:v>5688600.5921038082</c:v>
                </c:pt>
                <c:pt idx="50">
                  <c:v>5508420.1683955882</c:v>
                </c:pt>
                <c:pt idx="51">
                  <c:v>5336530.5203355784</c:v>
                </c:pt>
                <c:pt idx="52">
                  <c:v>5172660.6315287482</c:v>
                </c:pt>
                <c:pt idx="53">
                  <c:v>5016156.5472544115</c:v>
                </c:pt>
                <c:pt idx="54">
                  <c:v>4864812.2385142334</c:v>
                </c:pt>
                <c:pt idx="55">
                  <c:v>4727984.3708226271</c:v>
                </c:pt>
                <c:pt idx="56">
                  <c:v>4597417.7079177629</c:v>
                </c:pt>
                <c:pt idx="57">
                  <c:v>4470674.0972604295</c:v>
                </c:pt>
                <c:pt idx="58">
                  <c:v>4348650.9515596656</c:v>
                </c:pt>
                <c:pt idx="59">
                  <c:v>4230081.7598315859</c:v>
                </c:pt>
                <c:pt idx="60">
                  <c:v>4115626.1953392019</c:v>
                </c:pt>
                <c:pt idx="61">
                  <c:v>4006216.4247785015</c:v>
                </c:pt>
                <c:pt idx="62">
                  <c:v>3899032.0341594578</c:v>
                </c:pt>
                <c:pt idx="63">
                  <c:v>3796636.7412479995</c:v>
                </c:pt>
                <c:pt idx="64">
                  <c:v>3696642.5599999996</c:v>
                </c:pt>
                <c:pt idx="65">
                  <c:v>3601000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3-46E1-B00C-5BE71D2B3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941219"/>
        <c:axId val="1298418069"/>
      </c:lineChart>
      <c:catAx>
        <c:axId val="1204941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8418069"/>
        <c:crosses val="autoZero"/>
        <c:auto val="1"/>
        <c:lblAlgn val="ctr"/>
        <c:lblOffset val="100"/>
        <c:noMultiLvlLbl val="1"/>
      </c:catAx>
      <c:valAx>
        <c:axId val="1298418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9412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'Niretui and Anulan'!$D$1:$D$67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2.5000000000000001E-2</c:v>
                </c:pt>
                <c:pt idx="2">
                  <c:v>4.4510000000000001E-2</c:v>
                </c:pt>
                <c:pt idx="3">
                  <c:v>2.581E-2</c:v>
                </c:pt>
                <c:pt idx="4">
                  <c:v>-4.4549999999999999E-2</c:v>
                </c:pt>
                <c:pt idx="5">
                  <c:v>1.584E-2</c:v>
                </c:pt>
                <c:pt idx="6">
                  <c:v>1.7610000000000001E-2</c:v>
                </c:pt>
                <c:pt idx="7">
                  <c:v>1.7309999999999999E-2</c:v>
                </c:pt>
                <c:pt idx="8">
                  <c:v>1.7149999999999999E-2</c:v>
                </c:pt>
                <c:pt idx="9">
                  <c:v>1.6250000000000001E-2</c:v>
                </c:pt>
                <c:pt idx="10">
                  <c:v>1.66E-2</c:v>
                </c:pt>
                <c:pt idx="11">
                  <c:v>1.6219999999999998E-2</c:v>
                </c:pt>
                <c:pt idx="12">
                  <c:v>1.6490000000000001E-2</c:v>
                </c:pt>
                <c:pt idx="13">
                  <c:v>1.575E-2</c:v>
                </c:pt>
                <c:pt idx="14">
                  <c:v>1.617E-2</c:v>
                </c:pt>
                <c:pt idx="15">
                  <c:v>2.1010000000000001E-2</c:v>
                </c:pt>
                <c:pt idx="16">
                  <c:v>3.1230000000000001E-2</c:v>
                </c:pt>
                <c:pt idx="17">
                  <c:v>2.9700000000000001E-2</c:v>
                </c:pt>
                <c:pt idx="18">
                  <c:v>2.724E-2</c:v>
                </c:pt>
                <c:pt idx="19">
                  <c:v>2.7210000000000002E-2</c:v>
                </c:pt>
                <c:pt idx="20">
                  <c:v>2.7359999999999999E-2</c:v>
                </c:pt>
                <c:pt idx="21">
                  <c:v>2.615E-2</c:v>
                </c:pt>
                <c:pt idx="22">
                  <c:v>2.5350000000000001E-2</c:v>
                </c:pt>
                <c:pt idx="23">
                  <c:v>2.579E-2</c:v>
                </c:pt>
                <c:pt idx="24">
                  <c:v>2.828E-2</c:v>
                </c:pt>
                <c:pt idx="25">
                  <c:v>3.5049999999999998E-2</c:v>
                </c:pt>
                <c:pt idx="26">
                  <c:v>3.5959999999999999E-2</c:v>
                </c:pt>
                <c:pt idx="27">
                  <c:v>3.9070000000000001E-2</c:v>
                </c:pt>
                <c:pt idx="28">
                  <c:v>3.8420000000000003E-2</c:v>
                </c:pt>
                <c:pt idx="29">
                  <c:v>3.669E-2</c:v>
                </c:pt>
                <c:pt idx="30">
                  <c:v>3.8510000000000003E-2</c:v>
                </c:pt>
                <c:pt idx="31">
                  <c:v>3.61E-2</c:v>
                </c:pt>
                <c:pt idx="32">
                  <c:v>2.581E-2</c:v>
                </c:pt>
                <c:pt idx="33">
                  <c:v>2.4099999999999998E-3</c:v>
                </c:pt>
                <c:pt idx="34">
                  <c:v>3.47E-3</c:v>
                </c:pt>
                <c:pt idx="35">
                  <c:v>3.63E-3</c:v>
                </c:pt>
                <c:pt idx="36">
                  <c:v>1.2099999999999999E-3</c:v>
                </c:pt>
                <c:pt idx="37">
                  <c:v>2.2799999999999999E-3</c:v>
                </c:pt>
                <c:pt idx="38">
                  <c:v>2.4399999999999999E-3</c:v>
                </c:pt>
                <c:pt idx="39">
                  <c:v>3.2100000000000002E-3</c:v>
                </c:pt>
                <c:pt idx="40">
                  <c:v>3.5300000000000002E-3</c:v>
                </c:pt>
                <c:pt idx="41">
                  <c:v>3.0799999999999998E-3</c:v>
                </c:pt>
                <c:pt idx="42">
                  <c:v>3.2399999999999998E-3</c:v>
                </c:pt>
                <c:pt idx="43">
                  <c:v>6.5100000000000002E-3</c:v>
                </c:pt>
                <c:pt idx="44">
                  <c:v>7.1799999999999998E-3</c:v>
                </c:pt>
                <c:pt idx="45">
                  <c:v>7.8700000000000003E-3</c:v>
                </c:pt>
                <c:pt idx="46">
                  <c:v>0.01</c:v>
                </c:pt>
                <c:pt idx="47">
                  <c:v>9.2999999999999992E-3</c:v>
                </c:pt>
                <c:pt idx="48">
                  <c:v>8.4100000000000008E-3</c:v>
                </c:pt>
                <c:pt idx="49">
                  <c:v>8.8100000000000001E-3</c:v>
                </c:pt>
                <c:pt idx="50">
                  <c:v>1.038E-2</c:v>
                </c:pt>
                <c:pt idx="51">
                  <c:v>7.4799999999999997E-3</c:v>
                </c:pt>
                <c:pt idx="52">
                  <c:v>8.5400000000000007E-3</c:v>
                </c:pt>
                <c:pt idx="53">
                  <c:v>6.9199999999999999E-3</c:v>
                </c:pt>
                <c:pt idx="54">
                  <c:v>9.5300000000000003E-3</c:v>
                </c:pt>
                <c:pt idx="55">
                  <c:v>8.4200000000000004E-3</c:v>
                </c:pt>
                <c:pt idx="56">
                  <c:v>5.7099999999999998E-3</c:v>
                </c:pt>
                <c:pt idx="57">
                  <c:v>-4.15E-3</c:v>
                </c:pt>
                <c:pt idx="58">
                  <c:v>-1.9E-3</c:v>
                </c:pt>
                <c:pt idx="59">
                  <c:v>1.3799999999999999E-3</c:v>
                </c:pt>
                <c:pt idx="60">
                  <c:v>3.98E-3</c:v>
                </c:pt>
                <c:pt idx="61">
                  <c:v>9.75E-3</c:v>
                </c:pt>
                <c:pt idx="62">
                  <c:v>2.445E-2</c:v>
                </c:pt>
                <c:pt idx="63">
                  <c:v>2.6169999999999999E-2</c:v>
                </c:pt>
                <c:pt idx="64">
                  <c:v>2.3099999999999999E-2</c:v>
                </c:pt>
                <c:pt idx="65">
                  <c:v>3.7039999999999997E-2</c:v>
                </c:pt>
                <c:pt idx="66">
                  <c:v>4.4790000000000003E-2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16-4418-AA04-DA8A80322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072881"/>
        <c:axId val="1172752645"/>
      </c:lineChart>
      <c:catAx>
        <c:axId val="1644072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2752645"/>
        <c:crosses val="autoZero"/>
        <c:auto val="1"/>
        <c:lblAlgn val="ctr"/>
        <c:lblOffset val="100"/>
        <c:noMultiLvlLbl val="1"/>
      </c:catAx>
      <c:valAx>
        <c:axId val="1172752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40728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'Niretui and Anulan'!$C$1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'Niretui and Anulan'!$C$2:$C$67</c:f>
              <c:numCache>
                <c:formatCode>#,##0</c:formatCode>
                <c:ptCount val="66"/>
                <c:pt idx="0">
                  <c:v>189630.93342655883</c:v>
                </c:pt>
                <c:pt idx="1">
                  <c:v>185005.78870883791</c:v>
                </c:pt>
                <c:pt idx="2">
                  <c:v>177122.08471803804</c:v>
                </c:pt>
                <c:pt idx="3">
                  <c:v>172665.5859448027</c:v>
                </c:pt>
                <c:pt idx="4">
                  <c:v>180716.50630048951</c:v>
                </c:pt>
                <c:pt idx="5">
                  <c:v>177898.59259380365</c:v>
                </c:pt>
                <c:pt idx="6">
                  <c:v>174820.01217932574</c:v>
                </c:pt>
                <c:pt idx="7">
                  <c:v>171845.36884462528</c:v>
                </c:pt>
                <c:pt idx="8">
                  <c:v>168947.91215123166</c:v>
                </c:pt>
                <c:pt idx="9">
                  <c:v>166246.40802089215</c:v>
                </c:pt>
                <c:pt idx="10">
                  <c:v>163531.78046517033</c:v>
                </c:pt>
                <c:pt idx="11">
                  <c:v>160921.63160060847</c:v>
                </c:pt>
                <c:pt idx="12">
                  <c:v>158311.08186072513</c:v>
                </c:pt>
                <c:pt idx="13">
                  <c:v>155856.34443586034</c:v>
                </c:pt>
                <c:pt idx="14">
                  <c:v>153376.25046582791</c:v>
                </c:pt>
                <c:pt idx="15">
                  <c:v>150220.12562641691</c:v>
                </c:pt>
                <c:pt idx="16">
                  <c:v>145670.8257386004</c:v>
                </c:pt>
                <c:pt idx="17">
                  <c:v>141469.1907726526</c:v>
                </c:pt>
                <c:pt idx="18">
                  <c:v>137717.75901702873</c:v>
                </c:pt>
                <c:pt idx="19">
                  <c:v>134069.72188455012</c:v>
                </c:pt>
                <c:pt idx="20">
                  <c:v>130499.26207420001</c:v>
                </c:pt>
                <c:pt idx="21">
                  <c:v>127173.67058831558</c:v>
                </c:pt>
                <c:pt idx="22">
                  <c:v>124029.5222005321</c:v>
                </c:pt>
                <c:pt idx="23">
                  <c:v>120911.22179055373</c:v>
                </c:pt>
                <c:pt idx="24">
                  <c:v>117585.89274376018</c:v>
                </c:pt>
                <c:pt idx="25">
                  <c:v>113604.07008720368</c:v>
                </c:pt>
                <c:pt idx="26">
                  <c:v>109660.6723109036</c:v>
                </c:pt>
                <c:pt idx="27">
                  <c:v>105537.32887187928</c:v>
                </c:pt>
                <c:pt idx="28">
                  <c:v>101632.60421783025</c:v>
                </c:pt>
                <c:pt idx="29">
                  <c:v>98035.675291389169</c:v>
                </c:pt>
                <c:pt idx="30">
                  <c:v>94400.319006450751</c:v>
                </c:pt>
                <c:pt idx="31">
                  <c:v>91111.204523164517</c:v>
                </c:pt>
                <c:pt idx="32">
                  <c:v>88818.791514183453</c:v>
                </c:pt>
                <c:pt idx="33">
                  <c:v>88605.252854803373</c:v>
                </c:pt>
                <c:pt idx="34">
                  <c:v>88298.855825090301</c:v>
                </c:pt>
                <c:pt idx="35">
                  <c:v>87979.490275390635</c:v>
                </c:pt>
                <c:pt idx="36">
                  <c:v>87873.163747256462</c:v>
                </c:pt>
                <c:pt idx="37">
                  <c:v>87673.268694632687</c:v>
                </c:pt>
                <c:pt idx="38">
                  <c:v>87459.866620079687</c:v>
                </c:pt>
                <c:pt idx="39">
                  <c:v>87180.018759860541</c:v>
                </c:pt>
                <c:pt idx="40">
                  <c:v>86873.355813837697</c:v>
                </c:pt>
                <c:pt idx="41">
                  <c:v>86606.607462852116</c:v>
                </c:pt>
                <c:pt idx="42">
                  <c:v>86326.908280024843</c:v>
                </c:pt>
                <c:pt idx="43">
                  <c:v>85768.554987059091</c:v>
                </c:pt>
                <c:pt idx="44">
                  <c:v>85157.126816516509</c:v>
                </c:pt>
                <c:pt idx="45">
                  <c:v>84492.173411765907</c:v>
                </c:pt>
                <c:pt idx="46">
                  <c:v>83655.617239372179</c:v>
                </c:pt>
                <c:pt idx="47">
                  <c:v>82884.788704421051</c:v>
                </c:pt>
                <c:pt idx="48">
                  <c:v>82193.5410244058</c:v>
                </c:pt>
                <c:pt idx="49">
                  <c:v>81475.739757145348</c:v>
                </c:pt>
                <c:pt idx="50">
                  <c:v>80638.70994788628</c:v>
                </c:pt>
                <c:pt idx="51">
                  <c:v>80040.010668088973</c:v>
                </c:pt>
                <c:pt idx="52">
                  <c:v>79362.256993365634</c:v>
                </c:pt>
                <c:pt idx="53">
                  <c:v>78816.844429910649</c:v>
                </c:pt>
                <c:pt idx="54">
                  <c:v>78072.810545412867</c:v>
                </c:pt>
                <c:pt idx="55">
                  <c:v>77420.926345583051</c:v>
                </c:pt>
                <c:pt idx="56">
                  <c:v>76981.362764199468</c:v>
                </c:pt>
                <c:pt idx="57">
                  <c:v>77302.166756237857</c:v>
                </c:pt>
                <c:pt idx="58">
                  <c:v>77449.320465121593</c:v>
                </c:pt>
                <c:pt idx="59">
                  <c:v>77342.587694103728</c:v>
                </c:pt>
                <c:pt idx="60">
                  <c:v>77035.98447588968</c:v>
                </c:pt>
                <c:pt idx="61">
                  <c:v>76292.136148442369</c:v>
                </c:pt>
                <c:pt idx="62">
                  <c:v>74471.312556437464</c:v>
                </c:pt>
                <c:pt idx="63">
                  <c:v>72572.100681599986</c:v>
                </c:pt>
                <c:pt idx="64">
                  <c:v>70933.535999999993</c:v>
                </c:pt>
                <c:pt idx="65">
                  <c:v>68400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6-46AD-99F6-C2DF3A5E4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395892"/>
        <c:axId val="1787633118"/>
      </c:lineChart>
      <c:catAx>
        <c:axId val="618395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7633118"/>
        <c:crosses val="autoZero"/>
        <c:auto val="1"/>
        <c:lblAlgn val="ctr"/>
        <c:lblOffset val="100"/>
        <c:noMultiLvlLbl val="1"/>
      </c:catAx>
      <c:valAx>
        <c:axId val="1787633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83958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'Niul Spijan'!$D$1:$D$67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-6.7299999999999999E-3</c:v>
                </c:pt>
                <c:pt idx="2">
                  <c:v>-6.0299999999999998E-3</c:v>
                </c:pt>
                <c:pt idx="3">
                  <c:v>-5.3400000000000001E-3</c:v>
                </c:pt>
                <c:pt idx="4">
                  <c:v>-9.0299999999999998E-3</c:v>
                </c:pt>
                <c:pt idx="5">
                  <c:v>-8.1300000000000001E-3</c:v>
                </c:pt>
                <c:pt idx="6">
                  <c:v>-7.4200000000000004E-3</c:v>
                </c:pt>
                <c:pt idx="7">
                  <c:v>-6.1000000000000004E-3</c:v>
                </c:pt>
                <c:pt idx="8">
                  <c:v>-6.5700000000000003E-3</c:v>
                </c:pt>
                <c:pt idx="9">
                  <c:v>-7.0000000000000001E-3</c:v>
                </c:pt>
                <c:pt idx="10">
                  <c:v>-7.0299999999999998E-3</c:v>
                </c:pt>
                <c:pt idx="11">
                  <c:v>-7.2500000000000004E-3</c:v>
                </c:pt>
                <c:pt idx="12">
                  <c:v>-6.8399999999999997E-3</c:v>
                </c:pt>
                <c:pt idx="13">
                  <c:v>-7.3000000000000001E-3</c:v>
                </c:pt>
                <c:pt idx="14">
                  <c:v>-7.3899999999999999E-3</c:v>
                </c:pt>
                <c:pt idx="15">
                  <c:v>-9.4500000000000001E-3</c:v>
                </c:pt>
                <c:pt idx="16">
                  <c:v>-8.6499999999999997E-3</c:v>
                </c:pt>
                <c:pt idx="17">
                  <c:v>-8.0199999999999994E-3</c:v>
                </c:pt>
                <c:pt idx="18">
                  <c:v>-9.4299999999999991E-3</c:v>
                </c:pt>
                <c:pt idx="19">
                  <c:v>-9.8600000000000007E-3</c:v>
                </c:pt>
                <c:pt idx="20">
                  <c:v>-8.1499999999999993E-3</c:v>
                </c:pt>
                <c:pt idx="21">
                  <c:v>-7.7499999999999999E-3</c:v>
                </c:pt>
                <c:pt idx="22">
                  <c:v>-6.4000000000000003E-3</c:v>
                </c:pt>
                <c:pt idx="23">
                  <c:v>-5.3499999999999997E-3</c:v>
                </c:pt>
                <c:pt idx="24">
                  <c:v>-1.6330000000000001E-2</c:v>
                </c:pt>
                <c:pt idx="25">
                  <c:v>-1.536E-2</c:v>
                </c:pt>
                <c:pt idx="26">
                  <c:v>-1.355E-2</c:v>
                </c:pt>
                <c:pt idx="27">
                  <c:v>-1.214E-2</c:v>
                </c:pt>
                <c:pt idx="28">
                  <c:v>1.09E-3</c:v>
                </c:pt>
                <c:pt idx="29">
                  <c:v>1.0200000000000001E-3</c:v>
                </c:pt>
                <c:pt idx="30">
                  <c:v>1.82E-3</c:v>
                </c:pt>
                <c:pt idx="31">
                  <c:v>-7.9000000000000001E-4</c:v>
                </c:pt>
                <c:pt idx="32">
                  <c:v>2.1800000000000001E-3</c:v>
                </c:pt>
                <c:pt idx="33">
                  <c:v>2.1299999999999999E-3</c:v>
                </c:pt>
                <c:pt idx="34">
                  <c:v>2.49E-3</c:v>
                </c:pt>
                <c:pt idx="35">
                  <c:v>3.1199999999999999E-3</c:v>
                </c:pt>
                <c:pt idx="36">
                  <c:v>3.2599999999999999E-3</c:v>
                </c:pt>
                <c:pt idx="37">
                  <c:v>4.5599999999999998E-3</c:v>
                </c:pt>
                <c:pt idx="38">
                  <c:v>-2.0100000000000001E-3</c:v>
                </c:pt>
                <c:pt idx="39">
                  <c:v>4.0800000000000003E-3</c:v>
                </c:pt>
                <c:pt idx="40">
                  <c:v>6.2399999999999999E-3</c:v>
                </c:pt>
                <c:pt idx="41">
                  <c:v>2.0600000000000002E-3</c:v>
                </c:pt>
                <c:pt idx="42">
                  <c:v>7.2399999999999999E-3</c:v>
                </c:pt>
                <c:pt idx="43">
                  <c:v>6.1500000000000001E-3</c:v>
                </c:pt>
                <c:pt idx="44">
                  <c:v>4.28E-3</c:v>
                </c:pt>
                <c:pt idx="45">
                  <c:v>5.3099999999999996E-3</c:v>
                </c:pt>
                <c:pt idx="46">
                  <c:v>5.9800000000000001E-3</c:v>
                </c:pt>
                <c:pt idx="47">
                  <c:v>7.1500000000000001E-3</c:v>
                </c:pt>
                <c:pt idx="48">
                  <c:v>8.2400000000000008E-3</c:v>
                </c:pt>
                <c:pt idx="49">
                  <c:v>6.0200000000000002E-3</c:v>
                </c:pt>
                <c:pt idx="50">
                  <c:v>6.62E-3</c:v>
                </c:pt>
                <c:pt idx="51">
                  <c:v>7.0800000000000004E-3</c:v>
                </c:pt>
                <c:pt idx="52">
                  <c:v>8.1799999999999998E-3</c:v>
                </c:pt>
                <c:pt idx="53">
                  <c:v>8.1899999999999994E-3</c:v>
                </c:pt>
                <c:pt idx="54">
                  <c:v>8.0800000000000004E-3</c:v>
                </c:pt>
                <c:pt idx="55">
                  <c:v>9.4999999999999998E-3</c:v>
                </c:pt>
                <c:pt idx="56">
                  <c:v>9.5899999999999996E-3</c:v>
                </c:pt>
                <c:pt idx="57">
                  <c:v>7.9699999999999997E-3</c:v>
                </c:pt>
                <c:pt idx="58">
                  <c:v>9.8899999999999995E-3</c:v>
                </c:pt>
                <c:pt idx="59">
                  <c:v>9.7099999999999999E-3</c:v>
                </c:pt>
                <c:pt idx="60">
                  <c:v>6.6499999999999997E-3</c:v>
                </c:pt>
                <c:pt idx="61">
                  <c:v>7.5100000000000002E-3</c:v>
                </c:pt>
                <c:pt idx="62">
                  <c:v>7.79E-3</c:v>
                </c:pt>
                <c:pt idx="63">
                  <c:v>8.4200000000000004E-3</c:v>
                </c:pt>
                <c:pt idx="64">
                  <c:v>6.1799999999999997E-3</c:v>
                </c:pt>
                <c:pt idx="65">
                  <c:v>6.7799999999999996E-3</c:v>
                </c:pt>
                <c:pt idx="66">
                  <c:v>1.1350000000000001E-2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6B-4097-8C96-F564EBE4B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112415"/>
        <c:axId val="877750214"/>
      </c:lineChart>
      <c:catAx>
        <c:axId val="51211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7750214"/>
        <c:crosses val="autoZero"/>
        <c:auto val="1"/>
        <c:lblAlgn val="ctr"/>
        <c:lblOffset val="100"/>
        <c:noMultiLvlLbl val="1"/>
      </c:catAx>
      <c:valAx>
        <c:axId val="87775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21124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'Niul Spijan'!$C$1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'Niul Spijan'!$C$2:$C$67</c:f>
              <c:numCache>
                <c:formatCode>#,##0</c:formatCode>
                <c:ptCount val="66"/>
                <c:pt idx="0">
                  <c:v>220397.80165261147</c:v>
                </c:pt>
                <c:pt idx="1">
                  <c:v>221891.12895044798</c:v>
                </c:pt>
                <c:pt idx="2">
                  <c:v>223237.2495653269</c:v>
                </c:pt>
                <c:pt idx="3">
                  <c:v>224435.73639769058</c:v>
                </c:pt>
                <c:pt idx="4">
                  <c:v>226480.85855040068</c:v>
                </c:pt>
                <c:pt idx="5">
                  <c:v>228337.24031415474</c:v>
                </c:pt>
                <c:pt idx="6">
                  <c:v>230044.16804101909</c:v>
                </c:pt>
                <c:pt idx="7">
                  <c:v>231456.04994568779</c:v>
                </c:pt>
                <c:pt idx="8">
                  <c:v>232986.77304459075</c:v>
                </c:pt>
                <c:pt idx="9">
                  <c:v>234629.17728558989</c:v>
                </c:pt>
                <c:pt idx="10">
                  <c:v>236290.29808110002</c:v>
                </c:pt>
                <c:pt idx="11">
                  <c:v>238015.9134536389</c:v>
                </c:pt>
                <c:pt idx="12">
                  <c:v>239655.15471186806</c:v>
                </c:pt>
                <c:pt idx="13">
                  <c:v>241417.50247997185</c:v>
                </c:pt>
                <c:pt idx="14">
                  <c:v>243214.86029757091</c:v>
                </c:pt>
                <c:pt idx="15">
                  <c:v>245535.16763169036</c:v>
                </c:pt>
                <c:pt idx="16">
                  <c:v>247677.57868733583</c:v>
                </c:pt>
                <c:pt idx="17">
                  <c:v>249680.012386677</c:v>
                </c:pt>
                <c:pt idx="18">
                  <c:v>252056.90903891396</c:v>
                </c:pt>
                <c:pt idx="19">
                  <c:v>254566.9390580261</c:v>
                </c:pt>
                <c:pt idx="20">
                  <c:v>256658.70752434953</c:v>
                </c:pt>
                <c:pt idx="21">
                  <c:v>258663.34847503103</c:v>
                </c:pt>
                <c:pt idx="22">
                  <c:v>260329.45699982994</c:v>
                </c:pt>
                <c:pt idx="23">
                  <c:v>261729.7109534308</c:v>
                </c:pt>
                <c:pt idx="24">
                  <c:v>266074.71098379616</c:v>
                </c:pt>
                <c:pt idx="25">
                  <c:v>270225.37270860025</c:v>
                </c:pt>
                <c:pt idx="26">
                  <c:v>273937.22206761641</c:v>
                </c:pt>
                <c:pt idx="27">
                  <c:v>277303.68885025854</c:v>
                </c:pt>
                <c:pt idx="28">
                  <c:v>277001.75693519914</c:v>
                </c:pt>
                <c:pt idx="29">
                  <c:v>276719.50304209621</c:v>
                </c:pt>
                <c:pt idx="30">
                  <c:v>276216.78848704981</c:v>
                </c:pt>
                <c:pt idx="31">
                  <c:v>276435.17227314558</c:v>
                </c:pt>
                <c:pt idx="32">
                  <c:v>275833.85447040008</c:v>
                </c:pt>
                <c:pt idx="33">
                  <c:v>275247.57713111083</c:v>
                </c:pt>
                <c:pt idx="34">
                  <c:v>274563.91298777127</c:v>
                </c:pt>
                <c:pt idx="35">
                  <c:v>273709.93798126973</c:v>
                </c:pt>
                <c:pt idx="36">
                  <c:v>272820.5430110537</c:v>
                </c:pt>
                <c:pt idx="37">
                  <c:v>271582.12850507058</c:v>
                </c:pt>
                <c:pt idx="38">
                  <c:v>272129.10801217501</c:v>
                </c:pt>
                <c:pt idx="39">
                  <c:v>271023.33281429269</c:v>
                </c:pt>
                <c:pt idx="40">
                  <c:v>269342.63477330725</c:v>
                </c:pt>
                <c:pt idx="41">
                  <c:v>268788.92957837583</c:v>
                </c:pt>
                <c:pt idx="42">
                  <c:v>266856.8857257216</c:v>
                </c:pt>
                <c:pt idx="43">
                  <c:v>265225.74737933866</c:v>
                </c:pt>
                <c:pt idx="44">
                  <c:v>264095.41898607824</c:v>
                </c:pt>
                <c:pt idx="45">
                  <c:v>262700.47944025055</c:v>
                </c:pt>
                <c:pt idx="46">
                  <c:v>261138.86900360894</c:v>
                </c:pt>
                <c:pt idx="47">
                  <c:v>259284.98138669407</c:v>
                </c:pt>
                <c:pt idx="48">
                  <c:v>257165.93408979414</c:v>
                </c:pt>
                <c:pt idx="49">
                  <c:v>255627.05919344959</c:v>
                </c:pt>
                <c:pt idx="50">
                  <c:v>253945.93708991434</c:v>
                </c:pt>
                <c:pt idx="51">
                  <c:v>252160.63976041065</c:v>
                </c:pt>
                <c:pt idx="52">
                  <c:v>250114.70150212327</c:v>
                </c:pt>
                <c:pt idx="53">
                  <c:v>248082.90253039933</c:v>
                </c:pt>
                <c:pt idx="54">
                  <c:v>246094.45929926127</c:v>
                </c:pt>
                <c:pt idx="55">
                  <c:v>243778.56295122462</c:v>
                </c:pt>
                <c:pt idx="56">
                  <c:v>241462.93341972941</c:v>
                </c:pt>
                <c:pt idx="57">
                  <c:v>239553.69050639344</c:v>
                </c:pt>
                <c:pt idx="58">
                  <c:v>237207.70629117373</c:v>
                </c:pt>
                <c:pt idx="59">
                  <c:v>234926.56930323926</c:v>
                </c:pt>
                <c:pt idx="60">
                  <c:v>233374.62802686062</c:v>
                </c:pt>
                <c:pt idx="61">
                  <c:v>231635.04881029532</c:v>
                </c:pt>
                <c:pt idx="62">
                  <c:v>229844.55969030783</c:v>
                </c:pt>
                <c:pt idx="63">
                  <c:v>227925.42759000001</c:v>
                </c:pt>
                <c:pt idx="64">
                  <c:v>226525.5</c:v>
                </c:pt>
                <c:pt idx="65">
                  <c:v>225000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2-4082-A142-1CB4C7FDF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496787"/>
        <c:axId val="564948790"/>
      </c:lineChart>
      <c:catAx>
        <c:axId val="442496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4948790"/>
        <c:crosses val="autoZero"/>
        <c:auto val="1"/>
        <c:lblAlgn val="ctr"/>
        <c:lblOffset val="100"/>
        <c:noMultiLvlLbl val="1"/>
      </c:catAx>
      <c:valAx>
        <c:axId val="564948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24967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'North Ayre'!$D$1:$D$67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1.7479999999999999E-2</c:v>
                </c:pt>
                <c:pt idx="2">
                  <c:v>1.7180000000000001E-2</c:v>
                </c:pt>
                <c:pt idx="3">
                  <c:v>1.711E-2</c:v>
                </c:pt>
                <c:pt idx="4">
                  <c:v>1.7080000000000001E-2</c:v>
                </c:pt>
                <c:pt idx="5">
                  <c:v>1.6979999999999999E-2</c:v>
                </c:pt>
                <c:pt idx="6">
                  <c:v>1.806E-2</c:v>
                </c:pt>
                <c:pt idx="7">
                  <c:v>1.9359999999999999E-2</c:v>
                </c:pt>
                <c:pt idx="8">
                  <c:v>2.0490000000000001E-2</c:v>
                </c:pt>
                <c:pt idx="9">
                  <c:v>2.1430000000000001E-2</c:v>
                </c:pt>
                <c:pt idx="10">
                  <c:v>2.205E-2</c:v>
                </c:pt>
                <c:pt idx="11">
                  <c:v>2.2499999999999999E-2</c:v>
                </c:pt>
                <c:pt idx="12">
                  <c:v>2.2859999999999998E-2</c:v>
                </c:pt>
                <c:pt idx="13">
                  <c:v>2.3380000000000001E-2</c:v>
                </c:pt>
                <c:pt idx="14">
                  <c:v>2.3949999999999999E-2</c:v>
                </c:pt>
                <c:pt idx="15">
                  <c:v>2.4420000000000001E-2</c:v>
                </c:pt>
                <c:pt idx="16">
                  <c:v>2.3640000000000001E-2</c:v>
                </c:pt>
                <c:pt idx="17">
                  <c:v>2.325E-2</c:v>
                </c:pt>
                <c:pt idx="18">
                  <c:v>2.4469999999999999E-2</c:v>
                </c:pt>
                <c:pt idx="19">
                  <c:v>2.4660000000000001E-2</c:v>
                </c:pt>
                <c:pt idx="20">
                  <c:v>2.5100000000000001E-2</c:v>
                </c:pt>
                <c:pt idx="21">
                  <c:v>2.537E-2</c:v>
                </c:pt>
                <c:pt idx="22">
                  <c:v>2.546E-2</c:v>
                </c:pt>
                <c:pt idx="23">
                  <c:v>2.5409999999999999E-2</c:v>
                </c:pt>
                <c:pt idx="24">
                  <c:v>2.5760000000000002E-2</c:v>
                </c:pt>
                <c:pt idx="25">
                  <c:v>2.7210000000000002E-2</c:v>
                </c:pt>
                <c:pt idx="26">
                  <c:v>2.9139999999999999E-2</c:v>
                </c:pt>
                <c:pt idx="27">
                  <c:v>2.9850000000000002E-2</c:v>
                </c:pt>
                <c:pt idx="28">
                  <c:v>3.0960000000000001E-2</c:v>
                </c:pt>
                <c:pt idx="29">
                  <c:v>3.1940000000000003E-2</c:v>
                </c:pt>
                <c:pt idx="30">
                  <c:v>3.2539999999999999E-2</c:v>
                </c:pt>
                <c:pt idx="31">
                  <c:v>3.3009999999999998E-2</c:v>
                </c:pt>
                <c:pt idx="32">
                  <c:v>3.2730000000000002E-2</c:v>
                </c:pt>
                <c:pt idx="33">
                  <c:v>3.2419999999999997E-2</c:v>
                </c:pt>
                <c:pt idx="34">
                  <c:v>3.2030000000000003E-2</c:v>
                </c:pt>
                <c:pt idx="35">
                  <c:v>3.1660000000000001E-2</c:v>
                </c:pt>
                <c:pt idx="36">
                  <c:v>3.1390000000000001E-2</c:v>
                </c:pt>
                <c:pt idx="37">
                  <c:v>2.4029999999999999E-2</c:v>
                </c:pt>
                <c:pt idx="38">
                  <c:v>2.401E-2</c:v>
                </c:pt>
                <c:pt idx="39">
                  <c:v>2.401E-2</c:v>
                </c:pt>
                <c:pt idx="40">
                  <c:v>2.4029999999999999E-2</c:v>
                </c:pt>
                <c:pt idx="41">
                  <c:v>2.3890000000000002E-2</c:v>
                </c:pt>
                <c:pt idx="42">
                  <c:v>2.392E-2</c:v>
                </c:pt>
                <c:pt idx="43">
                  <c:v>2.402E-2</c:v>
                </c:pt>
                <c:pt idx="44">
                  <c:v>2.3879999999999998E-2</c:v>
                </c:pt>
                <c:pt idx="45">
                  <c:v>2.4160000000000001E-2</c:v>
                </c:pt>
                <c:pt idx="46">
                  <c:v>2.333E-2</c:v>
                </c:pt>
                <c:pt idx="47">
                  <c:v>2.2610000000000002E-2</c:v>
                </c:pt>
                <c:pt idx="48">
                  <c:v>2.2589999999999999E-2</c:v>
                </c:pt>
                <c:pt idx="49">
                  <c:v>2.2790000000000001E-2</c:v>
                </c:pt>
                <c:pt idx="50">
                  <c:v>2.4580000000000001E-2</c:v>
                </c:pt>
                <c:pt idx="51">
                  <c:v>2.5219999999999999E-2</c:v>
                </c:pt>
                <c:pt idx="52">
                  <c:v>2.5780000000000001E-2</c:v>
                </c:pt>
                <c:pt idx="53">
                  <c:v>2.614E-2</c:v>
                </c:pt>
                <c:pt idx="54">
                  <c:v>2.615E-2</c:v>
                </c:pt>
                <c:pt idx="55">
                  <c:v>2.6009999999999998E-2</c:v>
                </c:pt>
                <c:pt idx="56">
                  <c:v>2.5659999999999999E-2</c:v>
                </c:pt>
                <c:pt idx="57">
                  <c:v>2.5360000000000001E-2</c:v>
                </c:pt>
                <c:pt idx="58">
                  <c:v>2.5010000000000001E-2</c:v>
                </c:pt>
                <c:pt idx="59">
                  <c:v>2.8660000000000001E-2</c:v>
                </c:pt>
                <c:pt idx="60">
                  <c:v>2.8150000000000001E-2</c:v>
                </c:pt>
                <c:pt idx="61">
                  <c:v>2.758E-2</c:v>
                </c:pt>
                <c:pt idx="62">
                  <c:v>2.7060000000000001E-2</c:v>
                </c:pt>
                <c:pt idx="63">
                  <c:v>2.6329999999999999E-2</c:v>
                </c:pt>
                <c:pt idx="64">
                  <c:v>2.6249999999999999E-2</c:v>
                </c:pt>
                <c:pt idx="65">
                  <c:v>2.5930000000000002E-2</c:v>
                </c:pt>
                <c:pt idx="66">
                  <c:v>2.5579999999999999E-2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C3-48E4-AA70-24E7CB24C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888669"/>
        <c:axId val="1191696888"/>
      </c:lineChart>
      <c:catAx>
        <c:axId val="1818888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1696888"/>
        <c:crosses val="autoZero"/>
        <c:auto val="1"/>
        <c:lblAlgn val="ctr"/>
        <c:lblOffset val="100"/>
        <c:noMultiLvlLbl val="1"/>
      </c:catAx>
      <c:valAx>
        <c:axId val="1191696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88886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'North Ayre'!$C$1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'North Ayre'!$C$2:$C$67</c:f>
              <c:numCache>
                <c:formatCode>#,##0</c:formatCode>
                <c:ptCount val="66"/>
                <c:pt idx="0">
                  <c:v>10967541.219928285</c:v>
                </c:pt>
                <c:pt idx="1">
                  <c:v>10779122.16449295</c:v>
                </c:pt>
                <c:pt idx="2">
                  <c:v>10597064.594755059</c:v>
                </c:pt>
                <c:pt idx="3">
                  <c:v>10418798.944809372</c:v>
                </c:pt>
                <c:pt idx="4">
                  <c:v>10243834.255721645</c:v>
                </c:pt>
                <c:pt idx="5">
                  <c:v>10072798.143249273</c:v>
                </c:pt>
                <c:pt idx="6">
                  <c:v>9894110.5074841101</c:v>
                </c:pt>
                <c:pt idx="7">
                  <c:v>9706198.5044381861</c:v>
                </c:pt>
                <c:pt idx="8">
                  <c:v>9511311.7271489054</c:v>
                </c:pt>
                <c:pt idx="9">
                  <c:v>9311760.6954455078</c:v>
                </c:pt>
                <c:pt idx="10">
                  <c:v>9110866.0979849398</c:v>
                </c:pt>
                <c:pt idx="11">
                  <c:v>8910382.4919168111</c:v>
                </c:pt>
                <c:pt idx="12">
                  <c:v>8711243.4662777018</c:v>
                </c:pt>
                <c:pt idx="13">
                  <c:v>8512227.5853326246</c:v>
                </c:pt>
                <c:pt idx="14">
                  <c:v>8313128.1657626107</c:v>
                </c:pt>
                <c:pt idx="15">
                  <c:v>8114960.8224777039</c:v>
                </c:pt>
                <c:pt idx="16">
                  <c:v>7927553.4587137112</c:v>
                </c:pt>
                <c:pt idx="17">
                  <c:v>7747425.8086623121</c:v>
                </c:pt>
                <c:pt idx="18">
                  <c:v>7562374.5045363083</c:v>
                </c:pt>
                <c:pt idx="19">
                  <c:v>7380374.4701035554</c:v>
                </c:pt>
                <c:pt idx="20">
                  <c:v>7199662.9305468304</c:v>
                </c:pt>
                <c:pt idx="21">
                  <c:v>7021526.7957389345</c:v>
                </c:pt>
                <c:pt idx="22">
                  <c:v>6847197.15614352</c:v>
                </c:pt>
                <c:pt idx="23">
                  <c:v>6677521.3389215246</c:v>
                </c:pt>
                <c:pt idx="24">
                  <c:v>6509828.1653813021</c:v>
                </c:pt>
                <c:pt idx="25">
                  <c:v>6337387.8421951719</c:v>
                </c:pt>
                <c:pt idx="26">
                  <c:v>6157945.3156957971</c:v>
                </c:pt>
                <c:pt idx="27">
                  <c:v>5979458.4800658328</c:v>
                </c:pt>
                <c:pt idx="28">
                  <c:v>5799893.7689782651</c:v>
                </c:pt>
                <c:pt idx="29">
                  <c:v>5620378.8679363765</c:v>
                </c:pt>
                <c:pt idx="30">
                  <c:v>5443255.3391988464</c:v>
                </c:pt>
                <c:pt idx="31">
                  <c:v>5269315.2430265406</c:v>
                </c:pt>
                <c:pt idx="32">
                  <c:v>5102316.4263907708</c:v>
                </c:pt>
                <c:pt idx="33">
                  <c:v>4942093.7471094821</c:v>
                </c:pt>
                <c:pt idx="34">
                  <c:v>4788711.323420329</c:v>
                </c:pt>
                <c:pt idx="35">
                  <c:v>4641753.4104456203</c:v>
                </c:pt>
                <c:pt idx="36">
                  <c:v>4500483.2414950896</c:v>
                </c:pt>
                <c:pt idx="37">
                  <c:v>4394874.4094363349</c:v>
                </c:pt>
                <c:pt idx="38">
                  <c:v>4291827.6280859895</c:v>
                </c:pt>
                <c:pt idx="39">
                  <c:v>4191196.9883946343</c:v>
                </c:pt>
                <c:pt idx="40">
                  <c:v>4092845.9013843681</c:v>
                </c:pt>
                <c:pt idx="41">
                  <c:v>3997349.2283198079</c:v>
                </c:pt>
                <c:pt idx="42">
                  <c:v>3903966.3531524027</c:v>
                </c:pt>
                <c:pt idx="43">
                  <c:v>3812392.6809558435</c:v>
                </c:pt>
                <c:pt idx="44">
                  <c:v>3723476.0723481695</c:v>
                </c:pt>
                <c:pt idx="45">
                  <c:v>3635639.0333035556</c:v>
                </c:pt>
                <c:pt idx="46">
                  <c:v>3552753.2988415812</c:v>
                </c:pt>
                <c:pt idx="47">
                  <c:v>3474201.6006508651</c:v>
                </c:pt>
                <c:pt idx="48">
                  <c:v>3397453.1343459887</c:v>
                </c:pt>
                <c:pt idx="49">
                  <c:v>3321750.441777871</c:v>
                </c:pt>
                <c:pt idx="50">
                  <c:v>3242060.5924162786</c:v>
                </c:pt>
                <c:pt idx="51">
                  <c:v>3162307.2047134065</c:v>
                </c:pt>
                <c:pt idx="52">
                  <c:v>3082831.8008865514</c:v>
                </c:pt>
                <c:pt idx="53">
                  <c:v>3004299.4141993793</c:v>
                </c:pt>
                <c:pt idx="54">
                  <c:v>2927739.0383466156</c:v>
                </c:pt>
                <c:pt idx="55">
                  <c:v>2853519.0089244894</c:v>
                </c:pt>
                <c:pt idx="56">
                  <c:v>2782129.5643044375</c:v>
                </c:pt>
                <c:pt idx="57">
                  <c:v>2713319.7748151259</c:v>
                </c:pt>
                <c:pt idx="58">
                  <c:v>2647115.4182057991</c:v>
                </c:pt>
                <c:pt idx="59">
                  <c:v>2573362.839233371</c:v>
                </c:pt>
                <c:pt idx="60">
                  <c:v>2502906.0343659692</c:v>
                </c:pt>
                <c:pt idx="61">
                  <c:v>2435728.6385157062</c:v>
                </c:pt>
                <c:pt idx="62">
                  <c:v>2371554.3770721341</c:v>
                </c:pt>
                <c:pt idx="63">
                  <c:v>2310713.2959887502</c:v>
                </c:pt>
                <c:pt idx="64">
                  <c:v>2251608.571</c:v>
                </c:pt>
                <c:pt idx="65">
                  <c:v>2194700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F-4D6B-8AC9-01C3D30D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5071042"/>
        <c:axId val="1790846159"/>
      </c:lineChart>
      <c:catAx>
        <c:axId val="2035071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0846159"/>
        <c:crosses val="autoZero"/>
        <c:auto val="1"/>
        <c:lblAlgn val="ctr"/>
        <c:lblOffset val="100"/>
        <c:noMultiLvlLbl val="1"/>
      </c:catAx>
      <c:valAx>
        <c:axId val="1790846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50710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Ocaun!$D$1:$D$67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1.37E-2</c:v>
                </c:pt>
                <c:pt idx="2">
                  <c:v>1.353E-2</c:v>
                </c:pt>
                <c:pt idx="3">
                  <c:v>1.333E-2</c:v>
                </c:pt>
                <c:pt idx="4">
                  <c:v>1.2800000000000001E-2</c:v>
                </c:pt>
                <c:pt idx="5">
                  <c:v>1.222E-2</c:v>
                </c:pt>
                <c:pt idx="6">
                  <c:v>1.2500000000000001E-2</c:v>
                </c:pt>
                <c:pt idx="7">
                  <c:v>1.2540000000000001E-2</c:v>
                </c:pt>
                <c:pt idx="8">
                  <c:v>1.23E-2</c:v>
                </c:pt>
                <c:pt idx="9">
                  <c:v>1.1990000000000001E-2</c:v>
                </c:pt>
                <c:pt idx="10">
                  <c:v>2.0789999999999999E-2</c:v>
                </c:pt>
                <c:pt idx="11">
                  <c:v>2.232E-2</c:v>
                </c:pt>
                <c:pt idx="12">
                  <c:v>2.1940000000000001E-2</c:v>
                </c:pt>
                <c:pt idx="13">
                  <c:v>2.0840000000000001E-2</c:v>
                </c:pt>
                <c:pt idx="14">
                  <c:v>2.1219999999999999E-2</c:v>
                </c:pt>
                <c:pt idx="15">
                  <c:v>1.5350000000000001E-2</c:v>
                </c:pt>
                <c:pt idx="16">
                  <c:v>1.553E-2</c:v>
                </c:pt>
                <c:pt idx="17">
                  <c:v>1.3979999999999999E-2</c:v>
                </c:pt>
                <c:pt idx="18">
                  <c:v>1.451E-2</c:v>
                </c:pt>
                <c:pt idx="19">
                  <c:v>1.2959999999999999E-2</c:v>
                </c:pt>
                <c:pt idx="20">
                  <c:v>1.1010000000000001E-2</c:v>
                </c:pt>
                <c:pt idx="21">
                  <c:v>1.06E-2</c:v>
                </c:pt>
                <c:pt idx="22">
                  <c:v>1.155E-2</c:v>
                </c:pt>
                <c:pt idx="23">
                  <c:v>1.7760000000000001E-2</c:v>
                </c:pt>
                <c:pt idx="24">
                  <c:v>1.4930000000000001E-2</c:v>
                </c:pt>
                <c:pt idx="25">
                  <c:v>2.4719999999999999E-2</c:v>
                </c:pt>
                <c:pt idx="26">
                  <c:v>2.9659999999999999E-2</c:v>
                </c:pt>
                <c:pt idx="27">
                  <c:v>2.8559999999999999E-2</c:v>
                </c:pt>
                <c:pt idx="28">
                  <c:v>2.988E-2</c:v>
                </c:pt>
                <c:pt idx="29">
                  <c:v>3.4759999999999999E-2</c:v>
                </c:pt>
                <c:pt idx="30">
                  <c:v>3.6970000000000003E-2</c:v>
                </c:pt>
                <c:pt idx="31">
                  <c:v>3.6830000000000002E-2</c:v>
                </c:pt>
                <c:pt idx="32">
                  <c:v>3.6639999999999999E-2</c:v>
                </c:pt>
                <c:pt idx="33">
                  <c:v>3.8640000000000001E-2</c:v>
                </c:pt>
                <c:pt idx="34">
                  <c:v>3.9230000000000001E-2</c:v>
                </c:pt>
                <c:pt idx="35">
                  <c:v>3.7400000000000003E-2</c:v>
                </c:pt>
                <c:pt idx="36">
                  <c:v>3.6769999999999997E-2</c:v>
                </c:pt>
                <c:pt idx="37">
                  <c:v>3.5650000000000001E-2</c:v>
                </c:pt>
                <c:pt idx="38">
                  <c:v>3.3050000000000003E-2</c:v>
                </c:pt>
                <c:pt idx="39">
                  <c:v>3.2280000000000003E-2</c:v>
                </c:pt>
                <c:pt idx="40">
                  <c:v>2.963E-2</c:v>
                </c:pt>
                <c:pt idx="41">
                  <c:v>3.066E-2</c:v>
                </c:pt>
                <c:pt idx="42">
                  <c:v>2.9780000000000001E-2</c:v>
                </c:pt>
                <c:pt idx="43">
                  <c:v>2.9420000000000002E-2</c:v>
                </c:pt>
                <c:pt idx="44">
                  <c:v>2.913E-2</c:v>
                </c:pt>
                <c:pt idx="45">
                  <c:v>2.9430000000000001E-2</c:v>
                </c:pt>
                <c:pt idx="46">
                  <c:v>3.0349999999999999E-2</c:v>
                </c:pt>
                <c:pt idx="47">
                  <c:v>3.0380000000000001E-2</c:v>
                </c:pt>
                <c:pt idx="48">
                  <c:v>2.9649999999999999E-2</c:v>
                </c:pt>
                <c:pt idx="49">
                  <c:v>3.022E-2</c:v>
                </c:pt>
                <c:pt idx="50">
                  <c:v>3.073E-2</c:v>
                </c:pt>
                <c:pt idx="51">
                  <c:v>3.159E-2</c:v>
                </c:pt>
                <c:pt idx="52">
                  <c:v>3.1220000000000001E-2</c:v>
                </c:pt>
                <c:pt idx="53">
                  <c:v>3.1050000000000001E-2</c:v>
                </c:pt>
                <c:pt idx="54">
                  <c:v>3.0339999999999999E-2</c:v>
                </c:pt>
                <c:pt idx="55">
                  <c:v>3.04E-2</c:v>
                </c:pt>
                <c:pt idx="56">
                  <c:v>2.972E-2</c:v>
                </c:pt>
                <c:pt idx="57">
                  <c:v>2.9229999999999999E-2</c:v>
                </c:pt>
                <c:pt idx="58">
                  <c:v>2.7210000000000002E-2</c:v>
                </c:pt>
                <c:pt idx="59">
                  <c:v>2.6769999999999999E-2</c:v>
                </c:pt>
                <c:pt idx="60">
                  <c:v>2.6919999999999999E-2</c:v>
                </c:pt>
                <c:pt idx="61">
                  <c:v>2.622E-2</c:v>
                </c:pt>
                <c:pt idx="62">
                  <c:v>2.5180000000000001E-2</c:v>
                </c:pt>
                <c:pt idx="63">
                  <c:v>2.46E-2</c:v>
                </c:pt>
                <c:pt idx="64">
                  <c:v>2.4799999999999999E-2</c:v>
                </c:pt>
                <c:pt idx="65">
                  <c:v>2.46E-2</c:v>
                </c:pt>
                <c:pt idx="66">
                  <c:v>2.4549999999999999E-2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EA-429C-9244-171A5C06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774494"/>
        <c:axId val="1770180419"/>
      </c:lineChart>
      <c:catAx>
        <c:axId val="2049774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0180419"/>
        <c:crosses val="autoZero"/>
        <c:auto val="1"/>
        <c:lblAlgn val="ctr"/>
        <c:lblOffset val="100"/>
        <c:noMultiLvlLbl val="1"/>
      </c:catAx>
      <c:valAx>
        <c:axId val="1770180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7744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Ocaun!$C$1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Ocaun!$C$2:$C$67</c:f>
              <c:numCache>
                <c:formatCode>#,##0</c:formatCode>
                <c:ptCount val="66"/>
                <c:pt idx="0">
                  <c:v>88913059.385321379</c:v>
                </c:pt>
                <c:pt idx="1">
                  <c:v>87711413.026853487</c:v>
                </c:pt>
                <c:pt idx="2">
                  <c:v>86540519.794040114</c:v>
                </c:pt>
                <c:pt idx="3">
                  <c:v>85402109.67211087</c:v>
                </c:pt>
                <c:pt idx="4">
                  <c:v>84322778.112273768</c:v>
                </c:pt>
                <c:pt idx="5">
                  <c:v>83304793.535272747</c:v>
                </c:pt>
                <c:pt idx="6">
                  <c:v>82276339.294096544</c:v>
                </c:pt>
                <c:pt idx="7">
                  <c:v>81257371.851083949</c:v>
                </c:pt>
                <c:pt idx="8">
                  <c:v>80270050.233215407</c:v>
                </c:pt>
                <c:pt idx="9">
                  <c:v>79319015.240482032</c:v>
                </c:pt>
                <c:pt idx="10">
                  <c:v>77703558.264169931</c:v>
                </c:pt>
                <c:pt idx="11">
                  <c:v>76007080.233361319</c:v>
                </c:pt>
                <c:pt idx="12">
                  <c:v>74375286.448677331</c:v>
                </c:pt>
                <c:pt idx="13">
                  <c:v>72856947.659454301</c:v>
                </c:pt>
                <c:pt idx="14">
                  <c:v>71343048.177135482</c:v>
                </c:pt>
                <c:pt idx="15">
                  <c:v>70264488.282006681</c:v>
                </c:pt>
                <c:pt idx="16">
                  <c:v>69189968.077759072</c:v>
                </c:pt>
                <c:pt idx="17">
                  <c:v>68236028.400717035</c:v>
                </c:pt>
                <c:pt idx="18">
                  <c:v>67260084.573554754</c:v>
                </c:pt>
                <c:pt idx="19">
                  <c:v>66399546.45154275</c:v>
                </c:pt>
                <c:pt idx="20">
                  <c:v>65676448.750796482</c:v>
                </c:pt>
                <c:pt idx="21">
                  <c:v>64987580.398571625</c:v>
                </c:pt>
                <c:pt idx="22">
                  <c:v>64245544.361199774</c:v>
                </c:pt>
                <c:pt idx="23">
                  <c:v>63124454.05714488</c:v>
                </c:pt>
                <c:pt idx="24">
                  <c:v>62195869.722192541</c:v>
                </c:pt>
                <c:pt idx="25">
                  <c:v>60695477.517948844</c:v>
                </c:pt>
                <c:pt idx="26">
                  <c:v>58947106.343791969</c:v>
                </c:pt>
                <c:pt idx="27">
                  <c:v>57310323.504503354</c:v>
                </c:pt>
                <c:pt idx="28">
                  <c:v>55647573.993575327</c:v>
                </c:pt>
                <c:pt idx="29">
                  <c:v>53778242.291522026</c:v>
                </c:pt>
                <c:pt idx="30">
                  <c:v>51860943.220654435</c:v>
                </c:pt>
                <c:pt idx="31">
                  <c:v>50018752.563732184</c:v>
                </c:pt>
                <c:pt idx="32">
                  <c:v>48250841.723001413</c:v>
                </c:pt>
                <c:pt idx="33">
                  <c:v>46455789.997498088</c:v>
                </c:pt>
                <c:pt idx="34">
                  <c:v>44702125.609824665</c:v>
                </c:pt>
                <c:pt idx="35">
                  <c:v>43090539.434957258</c:v>
                </c:pt>
                <c:pt idx="36">
                  <c:v>41562293.888670832</c:v>
                </c:pt>
                <c:pt idx="37">
                  <c:v>40131602.267822944</c:v>
                </c:pt>
                <c:pt idx="38">
                  <c:v>38847686.237668015</c:v>
                </c:pt>
                <c:pt idx="39">
                  <c:v>37632896.343693584</c:v>
                </c:pt>
                <c:pt idx="40">
                  <c:v>36549922.150377885</c:v>
                </c:pt>
                <c:pt idx="41">
                  <c:v>35462637.679135591</c:v>
                </c:pt>
                <c:pt idx="42">
                  <c:v>34437100.816810966</c:v>
                </c:pt>
                <c:pt idx="43">
                  <c:v>33452916.027288146</c:v>
                </c:pt>
                <c:pt idx="44">
                  <c:v>32506015.787401147</c:v>
                </c:pt>
                <c:pt idx="45">
                  <c:v>31576713.120271552</c:v>
                </c:pt>
                <c:pt idx="46">
                  <c:v>30646589.139876302</c:v>
                </c:pt>
                <c:pt idx="47">
                  <c:v>29742996.894229606</c:v>
                </c:pt>
                <c:pt idx="48">
                  <c:v>28886511.818802126</c:v>
                </c:pt>
                <c:pt idx="49">
                  <c:v>28039168.157094724</c:v>
                </c:pt>
                <c:pt idx="50">
                  <c:v>27203213.409035079</c:v>
                </c:pt>
                <c:pt idx="51">
                  <c:v>26370179.440509386</c:v>
                </c:pt>
                <c:pt idx="52">
                  <c:v>25571827.001521874</c:v>
                </c:pt>
                <c:pt idx="53">
                  <c:v>24801733.186093666</c:v>
                </c:pt>
                <c:pt idx="54">
                  <c:v>24071406.706614967</c:v>
                </c:pt>
                <c:pt idx="55">
                  <c:v>23361225.452848379</c:v>
                </c:pt>
                <c:pt idx="56">
                  <c:v>22686968.741840869</c:v>
                </c:pt>
                <c:pt idx="57">
                  <c:v>22042661.739203937</c:v>
                </c:pt>
                <c:pt idx="58">
                  <c:v>21458768.644390084</c:v>
                </c:pt>
                <c:pt idx="59">
                  <c:v>20899294.529826626</c:v>
                </c:pt>
                <c:pt idx="60">
                  <c:v>20351433.928472154</c:v>
                </c:pt>
                <c:pt idx="61">
                  <c:v>19831453.224914886</c:v>
                </c:pt>
                <c:pt idx="62">
                  <c:v>19344362.185094215</c:v>
                </c:pt>
                <c:pt idx="63">
                  <c:v>18879916.245455999</c:v>
                </c:pt>
                <c:pt idx="64">
                  <c:v>18423025.219999999</c:v>
                </c:pt>
                <c:pt idx="65">
                  <c:v>17980700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A-4C3C-9D4F-02D8F1896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025636"/>
        <c:axId val="1184208552"/>
      </c:lineChart>
      <c:catAx>
        <c:axId val="1705025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4208552"/>
        <c:crosses val="autoZero"/>
        <c:auto val="1"/>
        <c:lblAlgn val="ctr"/>
        <c:lblOffset val="100"/>
        <c:noMultiLvlLbl val="1"/>
      </c:catAx>
      <c:valAx>
        <c:axId val="1184208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0256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Ohtina!$D$1:$D$67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1.7309999999999999E-2</c:v>
                </c:pt>
                <c:pt idx="2">
                  <c:v>1.7299999999999999E-2</c:v>
                </c:pt>
                <c:pt idx="3">
                  <c:v>1.7309999999999999E-2</c:v>
                </c:pt>
                <c:pt idx="4">
                  <c:v>1.754E-2</c:v>
                </c:pt>
                <c:pt idx="5">
                  <c:v>1.7749999999999998E-2</c:v>
                </c:pt>
                <c:pt idx="6">
                  <c:v>1.7739999999999999E-2</c:v>
                </c:pt>
                <c:pt idx="7">
                  <c:v>1.7940000000000001E-2</c:v>
                </c:pt>
                <c:pt idx="8">
                  <c:v>1.8149999999999999E-2</c:v>
                </c:pt>
                <c:pt idx="9">
                  <c:v>1.8270000000000002E-2</c:v>
                </c:pt>
                <c:pt idx="10">
                  <c:v>1.8409999999999999E-2</c:v>
                </c:pt>
                <c:pt idx="11">
                  <c:v>1.8669999999999999E-2</c:v>
                </c:pt>
                <c:pt idx="12">
                  <c:v>1.9029999999999998E-2</c:v>
                </c:pt>
                <c:pt idx="13">
                  <c:v>1.907E-2</c:v>
                </c:pt>
                <c:pt idx="14">
                  <c:v>1.9210000000000001E-2</c:v>
                </c:pt>
                <c:pt idx="15">
                  <c:v>1.9390000000000001E-2</c:v>
                </c:pt>
                <c:pt idx="16">
                  <c:v>1.9539999999999998E-2</c:v>
                </c:pt>
                <c:pt idx="17">
                  <c:v>1.9740000000000001E-2</c:v>
                </c:pt>
                <c:pt idx="18">
                  <c:v>1.9890000000000001E-2</c:v>
                </c:pt>
                <c:pt idx="19">
                  <c:v>2.0049999999999998E-2</c:v>
                </c:pt>
                <c:pt idx="20">
                  <c:v>2.0160000000000001E-2</c:v>
                </c:pt>
                <c:pt idx="21">
                  <c:v>2.0289999999999999E-2</c:v>
                </c:pt>
                <c:pt idx="22">
                  <c:v>2.051E-2</c:v>
                </c:pt>
                <c:pt idx="23">
                  <c:v>2.0709999999999999E-2</c:v>
                </c:pt>
                <c:pt idx="24">
                  <c:v>2.0840000000000001E-2</c:v>
                </c:pt>
                <c:pt idx="25">
                  <c:v>2.104E-2</c:v>
                </c:pt>
                <c:pt idx="26">
                  <c:v>2.1420000000000002E-2</c:v>
                </c:pt>
                <c:pt idx="27">
                  <c:v>2.1190000000000001E-2</c:v>
                </c:pt>
                <c:pt idx="28">
                  <c:v>2.1680000000000001E-2</c:v>
                </c:pt>
                <c:pt idx="29">
                  <c:v>2.2040000000000001E-2</c:v>
                </c:pt>
                <c:pt idx="30">
                  <c:v>2.2450000000000001E-2</c:v>
                </c:pt>
                <c:pt idx="31">
                  <c:v>2.2839999999999999E-2</c:v>
                </c:pt>
                <c:pt idx="32">
                  <c:v>2.325E-2</c:v>
                </c:pt>
                <c:pt idx="33">
                  <c:v>2.349E-2</c:v>
                </c:pt>
                <c:pt idx="34">
                  <c:v>2.3539999999999998E-2</c:v>
                </c:pt>
                <c:pt idx="35">
                  <c:v>2.3640000000000001E-2</c:v>
                </c:pt>
                <c:pt idx="36">
                  <c:v>2.3689999999999999E-2</c:v>
                </c:pt>
                <c:pt idx="37">
                  <c:v>2.385E-2</c:v>
                </c:pt>
                <c:pt idx="38">
                  <c:v>2.4060000000000002E-2</c:v>
                </c:pt>
                <c:pt idx="39">
                  <c:v>2.4510000000000001E-2</c:v>
                </c:pt>
                <c:pt idx="40">
                  <c:v>2.5080000000000002E-2</c:v>
                </c:pt>
                <c:pt idx="41">
                  <c:v>2.5700000000000001E-2</c:v>
                </c:pt>
                <c:pt idx="42">
                  <c:v>2.631E-2</c:v>
                </c:pt>
                <c:pt idx="43">
                  <c:v>2.681E-2</c:v>
                </c:pt>
                <c:pt idx="44">
                  <c:v>2.742E-2</c:v>
                </c:pt>
                <c:pt idx="45">
                  <c:v>2.7910000000000001E-2</c:v>
                </c:pt>
                <c:pt idx="46">
                  <c:v>2.8160000000000001E-2</c:v>
                </c:pt>
                <c:pt idx="47">
                  <c:v>2.8400000000000002E-2</c:v>
                </c:pt>
                <c:pt idx="48">
                  <c:v>2.8760000000000001E-2</c:v>
                </c:pt>
                <c:pt idx="49">
                  <c:v>2.9190000000000001E-2</c:v>
                </c:pt>
                <c:pt idx="50">
                  <c:v>2.963E-2</c:v>
                </c:pt>
                <c:pt idx="51">
                  <c:v>2.9909999999999999E-2</c:v>
                </c:pt>
                <c:pt idx="52">
                  <c:v>3.023E-2</c:v>
                </c:pt>
                <c:pt idx="53">
                  <c:v>3.0429999999999999E-2</c:v>
                </c:pt>
                <c:pt idx="54">
                  <c:v>3.0249999999999999E-2</c:v>
                </c:pt>
                <c:pt idx="55">
                  <c:v>2.9929999999999998E-2</c:v>
                </c:pt>
                <c:pt idx="56">
                  <c:v>2.9329999999999998E-2</c:v>
                </c:pt>
                <c:pt idx="57">
                  <c:v>2.87E-2</c:v>
                </c:pt>
                <c:pt idx="58">
                  <c:v>2.8119999999999999E-2</c:v>
                </c:pt>
                <c:pt idx="59">
                  <c:v>2.768E-2</c:v>
                </c:pt>
                <c:pt idx="60">
                  <c:v>2.7300000000000001E-2</c:v>
                </c:pt>
                <c:pt idx="61">
                  <c:v>2.6929999999999999E-2</c:v>
                </c:pt>
                <c:pt idx="62">
                  <c:v>2.664E-2</c:v>
                </c:pt>
                <c:pt idx="63">
                  <c:v>2.6280000000000001E-2</c:v>
                </c:pt>
                <c:pt idx="64">
                  <c:v>2.554E-2</c:v>
                </c:pt>
                <c:pt idx="65">
                  <c:v>2.4719999999999999E-2</c:v>
                </c:pt>
                <c:pt idx="66">
                  <c:v>2.3810000000000001E-2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BE-491D-959F-92075D0F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069678"/>
        <c:axId val="1337779802"/>
      </c:lineChart>
      <c:catAx>
        <c:axId val="916069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7779802"/>
        <c:crosses val="autoZero"/>
        <c:auto val="1"/>
        <c:lblAlgn val="ctr"/>
        <c:lblOffset val="100"/>
        <c:noMultiLvlLbl val="1"/>
      </c:catAx>
      <c:valAx>
        <c:axId val="133777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60696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Ohtina!$C$1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Ohtina!$C$2:$C$67</c:f>
              <c:numCache>
                <c:formatCode>#,##0</c:formatCode>
                <c:ptCount val="66"/>
                <c:pt idx="0">
                  <c:v>33245957.230227757</c:v>
                </c:pt>
                <c:pt idx="1">
                  <c:v>32680261.896794252</c:v>
                </c:pt>
                <c:pt idx="2">
                  <c:v>32124507.909952078</c:v>
                </c:pt>
                <c:pt idx="3">
                  <c:v>31577894.555201542</c:v>
                </c:pt>
                <c:pt idx="4">
                  <c:v>31033565.810878731</c:v>
                </c:pt>
                <c:pt idx="5">
                  <c:v>30492327.006513126</c:v>
                </c:pt>
                <c:pt idx="6">
                  <c:v>29960822.023810722</c:v>
                </c:pt>
                <c:pt idx="7">
                  <c:v>29432797.634252235</c:v>
                </c:pt>
                <c:pt idx="8">
                  <c:v>28908115.34081642</c:v>
                </c:pt>
                <c:pt idx="9">
                  <c:v>28389440.267135847</c:v>
                </c:pt>
                <c:pt idx="10">
                  <c:v>27876238.712439828</c:v>
                </c:pt>
                <c:pt idx="11">
                  <c:v>27365328.037970912</c:v>
                </c:pt>
                <c:pt idx="12">
                  <c:v>26854290.882477365</c:v>
                </c:pt>
                <c:pt idx="13">
                  <c:v>26351762.766519833</c:v>
                </c:pt>
                <c:pt idx="14">
                  <c:v>25855086.553820934</c:v>
                </c:pt>
                <c:pt idx="15">
                  <c:v>25363292.315817237</c:v>
                </c:pt>
                <c:pt idx="16">
                  <c:v>24877191.984441258</c:v>
                </c:pt>
                <c:pt idx="17">
                  <c:v>24395622.398298837</c:v>
                </c:pt>
                <c:pt idx="18">
                  <c:v>23919856.453439917</c:v>
                </c:pt>
                <c:pt idx="19">
                  <c:v>23449690.165619254</c:v>
                </c:pt>
                <c:pt idx="20">
                  <c:v>22986286.627214607</c:v>
                </c:pt>
                <c:pt idx="21">
                  <c:v>22529169.772529975</c:v>
                </c:pt>
                <c:pt idx="22">
                  <c:v>22076383.154040601</c:v>
                </c:pt>
                <c:pt idx="23">
                  <c:v>21628457.793144576</c:v>
                </c:pt>
                <c:pt idx="24">
                  <c:v>21186922.331750888</c:v>
                </c:pt>
                <c:pt idx="25">
                  <c:v>20750335.277512036</c:v>
                </c:pt>
                <c:pt idx="26">
                  <c:v>20315184.035472222</c:v>
                </c:pt>
                <c:pt idx="27">
                  <c:v>19893637.849442534</c:v>
                </c:pt>
                <c:pt idx="28">
                  <c:v>19471495.820063557</c:v>
                </c:pt>
                <c:pt idx="29">
                  <c:v>19051598.587201633</c:v>
                </c:pt>
                <c:pt idx="30">
                  <c:v>18633281.419337504</c:v>
                </c:pt>
                <c:pt idx="31">
                  <c:v>18217200.558579545</c:v>
                </c:pt>
                <c:pt idx="32">
                  <c:v>17803274.428125624</c:v>
                </c:pt>
                <c:pt idx="33">
                  <c:v>17394673.546517916</c:v>
                </c:pt>
                <c:pt idx="34">
                  <c:v>16994620.187308673</c:v>
                </c:pt>
                <c:pt idx="35">
                  <c:v>16602145.46843487</c:v>
                </c:pt>
                <c:pt idx="36">
                  <c:v>16217942.412678516</c:v>
                </c:pt>
                <c:pt idx="37">
                  <c:v>15840154.722545799</c:v>
                </c:pt>
                <c:pt idx="38">
                  <c:v>15467994.768417669</c:v>
                </c:pt>
                <c:pt idx="39">
                  <c:v>15097944.157126499</c:v>
                </c:pt>
                <c:pt idx="40">
                  <c:v>14728552.071181273</c:v>
                </c:pt>
                <c:pt idx="41">
                  <c:v>14359512.597427389</c:v>
                </c:pt>
                <c:pt idx="42">
                  <c:v>13991398.892564029</c:v>
                </c:pt>
                <c:pt idx="43">
                  <c:v>13626083.591476543</c:v>
                </c:pt>
                <c:pt idx="44">
                  <c:v>13262427.820634738</c:v>
                </c:pt>
                <c:pt idx="45">
                  <c:v>12902323.958940702</c:v>
                </c:pt>
                <c:pt idx="46">
                  <c:v>12548945.649452129</c:v>
                </c:pt>
                <c:pt idx="47">
                  <c:v>12202397.5587827</c:v>
                </c:pt>
                <c:pt idx="48">
                  <c:v>11861267.505329428</c:v>
                </c:pt>
                <c:pt idx="49">
                  <c:v>11524856.931498973</c:v>
                </c:pt>
                <c:pt idx="50">
                  <c:v>11193202.345987367</c:v>
                </c:pt>
                <c:pt idx="51">
                  <c:v>10868136.386662297</c:v>
                </c:pt>
                <c:pt idx="52">
                  <c:v>10549233.07092814</c:v>
                </c:pt>
                <c:pt idx="53">
                  <c:v>10237699.864064652</c:v>
                </c:pt>
                <c:pt idx="54">
                  <c:v>9937102.513045039</c:v>
                </c:pt>
                <c:pt idx="55">
                  <c:v>9648328.0543775205</c:v>
                </c:pt>
                <c:pt idx="56">
                  <c:v>9373406.0547905136</c:v>
                </c:pt>
                <c:pt idx="57">
                  <c:v>9111894.6775449738</c:v>
                </c:pt>
                <c:pt idx="58">
                  <c:v>8862676.2221773472</c:v>
                </c:pt>
                <c:pt idx="59">
                  <c:v>8623964.8744525034</c:v>
                </c:pt>
                <c:pt idx="60">
                  <c:v>8394787.1843205523</c:v>
                </c:pt>
                <c:pt idx="61">
                  <c:v>8174644.0208393503</c:v>
                </c:pt>
                <c:pt idx="62">
                  <c:v>7962522.4234778993</c:v>
                </c:pt>
                <c:pt idx="63">
                  <c:v>7758625.7390555199</c:v>
                </c:pt>
                <c:pt idx="64">
                  <c:v>7565405.2880000006</c:v>
                </c:pt>
                <c:pt idx="65">
                  <c:v>7382900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2-4503-B346-AA39B5F11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987454"/>
        <c:axId val="1437181180"/>
      </c:lineChart>
      <c:catAx>
        <c:axId val="67498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7181180"/>
        <c:crosses val="autoZero"/>
        <c:auto val="1"/>
        <c:lblAlgn val="ctr"/>
        <c:lblOffset val="100"/>
        <c:noMultiLvlLbl val="1"/>
      </c:catAx>
      <c:valAx>
        <c:axId val="1437181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49874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Onphello!$D$1:$D$67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7.8600000000000007E-3</c:v>
                </c:pt>
                <c:pt idx="2">
                  <c:v>8.1499999999999993E-3</c:v>
                </c:pt>
                <c:pt idx="3">
                  <c:v>8.4499999999999992E-3</c:v>
                </c:pt>
                <c:pt idx="4">
                  <c:v>8.5400000000000007E-3</c:v>
                </c:pt>
                <c:pt idx="5">
                  <c:v>8.2900000000000005E-3</c:v>
                </c:pt>
                <c:pt idx="6">
                  <c:v>7.7799999999999996E-3</c:v>
                </c:pt>
                <c:pt idx="7">
                  <c:v>7.1199999999999996E-3</c:v>
                </c:pt>
                <c:pt idx="8">
                  <c:v>3.98E-3</c:v>
                </c:pt>
                <c:pt idx="9">
                  <c:v>7.0400000000000003E-3</c:v>
                </c:pt>
                <c:pt idx="10">
                  <c:v>7.1399999999999996E-3</c:v>
                </c:pt>
                <c:pt idx="11">
                  <c:v>7.43E-3</c:v>
                </c:pt>
                <c:pt idx="12">
                  <c:v>8.2199999999999999E-3</c:v>
                </c:pt>
                <c:pt idx="13">
                  <c:v>8.9200000000000008E-3</c:v>
                </c:pt>
                <c:pt idx="14">
                  <c:v>9.7900000000000001E-3</c:v>
                </c:pt>
                <c:pt idx="15">
                  <c:v>1.0279999999999999E-2</c:v>
                </c:pt>
                <c:pt idx="16">
                  <c:v>1.082E-2</c:v>
                </c:pt>
                <c:pt idx="17">
                  <c:v>1.1520000000000001E-2</c:v>
                </c:pt>
                <c:pt idx="18">
                  <c:v>1.2290000000000001E-2</c:v>
                </c:pt>
                <c:pt idx="19">
                  <c:v>1.268E-2</c:v>
                </c:pt>
                <c:pt idx="20">
                  <c:v>1.2829999999999999E-2</c:v>
                </c:pt>
                <c:pt idx="21">
                  <c:v>1.2800000000000001E-2</c:v>
                </c:pt>
                <c:pt idx="22">
                  <c:v>1.32E-2</c:v>
                </c:pt>
                <c:pt idx="23">
                  <c:v>1.3259999999999999E-2</c:v>
                </c:pt>
                <c:pt idx="24">
                  <c:v>1.3520000000000001E-2</c:v>
                </c:pt>
                <c:pt idx="25">
                  <c:v>1.383E-2</c:v>
                </c:pt>
                <c:pt idx="26">
                  <c:v>1.495E-2</c:v>
                </c:pt>
                <c:pt idx="27">
                  <c:v>1.5559999999999999E-2</c:v>
                </c:pt>
                <c:pt idx="28">
                  <c:v>1.5990000000000001E-2</c:v>
                </c:pt>
                <c:pt idx="29">
                  <c:v>1.6889999999999999E-2</c:v>
                </c:pt>
                <c:pt idx="30">
                  <c:v>1.8010000000000002E-2</c:v>
                </c:pt>
                <c:pt idx="31">
                  <c:v>1.9439999999999999E-2</c:v>
                </c:pt>
                <c:pt idx="32">
                  <c:v>2.0480000000000002E-2</c:v>
                </c:pt>
                <c:pt idx="33">
                  <c:v>2.0990000000000002E-2</c:v>
                </c:pt>
                <c:pt idx="34">
                  <c:v>1.8020000000000001E-2</c:v>
                </c:pt>
                <c:pt idx="35">
                  <c:v>1.8519999999999998E-2</c:v>
                </c:pt>
                <c:pt idx="36">
                  <c:v>1.915E-2</c:v>
                </c:pt>
                <c:pt idx="37">
                  <c:v>1.9179999999999999E-2</c:v>
                </c:pt>
                <c:pt idx="38">
                  <c:v>1.9449999999999999E-2</c:v>
                </c:pt>
                <c:pt idx="39">
                  <c:v>1.9519999999999999E-2</c:v>
                </c:pt>
                <c:pt idx="40">
                  <c:v>1.8929999999999999E-2</c:v>
                </c:pt>
                <c:pt idx="41">
                  <c:v>1.9290000000000002E-2</c:v>
                </c:pt>
                <c:pt idx="42">
                  <c:v>1.941E-2</c:v>
                </c:pt>
                <c:pt idx="43">
                  <c:v>1.9599999999999999E-2</c:v>
                </c:pt>
                <c:pt idx="44">
                  <c:v>2.206E-2</c:v>
                </c:pt>
                <c:pt idx="45">
                  <c:v>2.2120000000000001E-2</c:v>
                </c:pt>
                <c:pt idx="46">
                  <c:v>2.256E-2</c:v>
                </c:pt>
                <c:pt idx="47">
                  <c:v>2.266E-2</c:v>
                </c:pt>
                <c:pt idx="48">
                  <c:v>2.264E-2</c:v>
                </c:pt>
                <c:pt idx="49">
                  <c:v>2.2749999999999999E-2</c:v>
                </c:pt>
                <c:pt idx="50">
                  <c:v>2.2620000000000001E-2</c:v>
                </c:pt>
                <c:pt idx="51">
                  <c:v>2.2749999999999999E-2</c:v>
                </c:pt>
                <c:pt idx="52">
                  <c:v>2.2409999999999999E-2</c:v>
                </c:pt>
                <c:pt idx="53">
                  <c:v>2.222E-2</c:v>
                </c:pt>
                <c:pt idx="54">
                  <c:v>2.2089999999999999E-2</c:v>
                </c:pt>
                <c:pt idx="55">
                  <c:v>2.1919999999999999E-2</c:v>
                </c:pt>
                <c:pt idx="56">
                  <c:v>2.181E-2</c:v>
                </c:pt>
                <c:pt idx="57">
                  <c:v>2.1569999999999999E-2</c:v>
                </c:pt>
                <c:pt idx="58">
                  <c:v>2.0969999999999999E-2</c:v>
                </c:pt>
                <c:pt idx="59">
                  <c:v>2.1139999999999999E-2</c:v>
                </c:pt>
                <c:pt idx="60">
                  <c:v>2.085E-2</c:v>
                </c:pt>
                <c:pt idx="61">
                  <c:v>2.053E-2</c:v>
                </c:pt>
                <c:pt idx="62">
                  <c:v>2.017E-2</c:v>
                </c:pt>
                <c:pt idx="63">
                  <c:v>1.9550000000000001E-2</c:v>
                </c:pt>
                <c:pt idx="64">
                  <c:v>1.9359999999999999E-2</c:v>
                </c:pt>
                <c:pt idx="65">
                  <c:v>1.874E-2</c:v>
                </c:pt>
                <c:pt idx="66">
                  <c:v>1.8489999999999999E-2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8B-4FE0-91A9-17E5CA08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068441"/>
        <c:axId val="1897266256"/>
      </c:lineChart>
      <c:catAx>
        <c:axId val="1016068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7266256"/>
        <c:crosses val="autoZero"/>
        <c:auto val="1"/>
        <c:lblAlgn val="ctr"/>
        <c:lblOffset val="100"/>
        <c:noMultiLvlLbl val="1"/>
      </c:catAx>
      <c:valAx>
        <c:axId val="1897266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60684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Onphello!$C$1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Onphello!$C$2:$C$67</c:f>
              <c:numCache>
                <c:formatCode>#,##0</c:formatCode>
                <c:ptCount val="66"/>
                <c:pt idx="0">
                  <c:v>10232177.744382663</c:v>
                </c:pt>
                <c:pt idx="1">
                  <c:v>10152380.037289567</c:v>
                </c:pt>
                <c:pt idx="2">
                  <c:v>10070307.034954686</c:v>
                </c:pt>
                <c:pt idx="3">
                  <c:v>9985925.9605877195</c:v>
                </c:pt>
                <c:pt idx="4">
                  <c:v>9901368.2755148225</c:v>
                </c:pt>
                <c:pt idx="5">
                  <c:v>9819960.8004788533</c:v>
                </c:pt>
                <c:pt idx="6">
                  <c:v>9744151.3033388779</c:v>
                </c:pt>
                <c:pt idx="7">
                  <c:v>9675263.4277334157</c:v>
                </c:pt>
                <c:pt idx="8">
                  <c:v>9636908.5317769423</c:v>
                </c:pt>
                <c:pt idx="9">
                  <c:v>9569538.9773762152</c:v>
                </c:pt>
                <c:pt idx="10">
                  <c:v>9501696.8617830854</c:v>
                </c:pt>
                <c:pt idx="11">
                  <c:v>9431619.9257348757</c:v>
                </c:pt>
                <c:pt idx="12">
                  <c:v>9354724.0936847869</c:v>
                </c:pt>
                <c:pt idx="13">
                  <c:v>9272017.6958379131</c:v>
                </c:pt>
                <c:pt idx="14">
                  <c:v>9182124.6950731464</c:v>
                </c:pt>
                <c:pt idx="15">
                  <c:v>9088692.9317349102</c:v>
                </c:pt>
                <c:pt idx="16">
                  <c:v>8991405.9196839295</c:v>
                </c:pt>
                <c:pt idx="17">
                  <c:v>8889004.5868434925</c:v>
                </c:pt>
                <c:pt idx="18">
                  <c:v>8781085.0515598226</c:v>
                </c:pt>
                <c:pt idx="19">
                  <c:v>8671135.0590115562</c:v>
                </c:pt>
                <c:pt idx="20">
                  <c:v>8561293.6613366082</c:v>
                </c:pt>
                <c:pt idx="21">
                  <c:v>8453094.0574018657</c:v>
                </c:pt>
                <c:pt idx="22">
                  <c:v>8342966.8943958394</c:v>
                </c:pt>
                <c:pt idx="23">
                  <c:v>8233786.8803622359</c:v>
                </c:pt>
                <c:pt idx="24">
                  <c:v>8123951.0620039431</c:v>
                </c:pt>
                <c:pt idx="25">
                  <c:v>8013129.48127787</c:v>
                </c:pt>
                <c:pt idx="26">
                  <c:v>7895097.7696220204</c:v>
                </c:pt>
                <c:pt idx="27">
                  <c:v>7774132.271477825</c:v>
                </c:pt>
                <c:pt idx="28">
                  <c:v>7651780.3044103049</c:v>
                </c:pt>
                <c:pt idx="29">
                  <c:v>7524688.3187073376</c:v>
                </c:pt>
                <c:pt idx="30">
                  <c:v>7391566.2112428537</c:v>
                </c:pt>
                <c:pt idx="31">
                  <c:v>7250614.2698372193</c:v>
                </c:pt>
                <c:pt idx="32">
                  <c:v>7105101.7852747915</c:v>
                </c:pt>
                <c:pt idx="33">
                  <c:v>6959031.7096884307</c:v>
                </c:pt>
                <c:pt idx="34">
                  <c:v>6835849.698128162</c:v>
                </c:pt>
                <c:pt idx="35">
                  <c:v>6711551.7595414538</c:v>
                </c:pt>
                <c:pt idx="36">
                  <c:v>6585440.5725766113</c:v>
                </c:pt>
                <c:pt idx="37">
                  <c:v>6461508.8331566667</c:v>
                </c:pt>
                <c:pt idx="38">
                  <c:v>6338230.2547026994</c:v>
                </c:pt>
                <c:pt idx="39">
                  <c:v>6216876.8191920705</c:v>
                </c:pt>
                <c:pt idx="40">
                  <c:v>6101377.7386003658</c:v>
                </c:pt>
                <c:pt idx="41">
                  <c:v>5985909.5435061324</c:v>
                </c:pt>
                <c:pt idx="42">
                  <c:v>5871935.2797266385</c:v>
                </c:pt>
                <c:pt idx="43">
                  <c:v>5759057.7478684168</c:v>
                </c:pt>
                <c:pt idx="44">
                  <c:v>5634755.0514337877</c:v>
                </c:pt>
                <c:pt idx="45">
                  <c:v>5512811.6575683756</c:v>
                </c:pt>
                <c:pt idx="46">
                  <c:v>5391186.4903461663</c:v>
                </c:pt>
                <c:pt idx="47">
                  <c:v>5271729.1087420713</c:v>
                </c:pt>
                <c:pt idx="48">
                  <c:v>5155019.4679868491</c:v>
                </c:pt>
                <c:pt idx="49">
                  <c:v>5040351.4719988741</c:v>
                </c:pt>
                <c:pt idx="50">
                  <c:v>4928860.644226471</c:v>
                </c:pt>
                <c:pt idx="51">
                  <c:v>4819223.3138366863</c:v>
                </c:pt>
                <c:pt idx="52">
                  <c:v>4713591.7233171491</c:v>
                </c:pt>
                <c:pt idx="53">
                  <c:v>4611132.3622284336</c:v>
                </c:pt>
                <c:pt idx="54">
                  <c:v>4511473.9036957938</c:v>
                </c:pt>
                <c:pt idx="55">
                  <c:v>4414703.600766982</c:v>
                </c:pt>
                <c:pt idx="56">
                  <c:v>4320474.0614859723</c:v>
                </c:pt>
                <c:pt idx="57">
                  <c:v>4229249.1571659036</c:v>
                </c:pt>
                <c:pt idx="58">
                  <c:v>4142383.377734805</c:v>
                </c:pt>
                <c:pt idx="59">
                  <c:v>4056626.2977993274</c:v>
                </c:pt>
                <c:pt idx="60">
                  <c:v>3973773.1280788826</c:v>
                </c:pt>
                <c:pt idx="61">
                  <c:v>3893832.7418879238</c:v>
                </c:pt>
                <c:pt idx="62">
                  <c:v>3816846.9391257572</c:v>
                </c:pt>
                <c:pt idx="63">
                  <c:v>3743658.417072</c:v>
                </c:pt>
                <c:pt idx="64">
                  <c:v>3672557.6999999997</c:v>
                </c:pt>
                <c:pt idx="65">
                  <c:v>3605000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C-4103-8DD2-2A01AC19F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097829"/>
        <c:axId val="355025922"/>
      </c:lineChart>
      <c:catAx>
        <c:axId val="1787097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5025922"/>
        <c:crosses val="autoZero"/>
        <c:auto val="1"/>
        <c:lblAlgn val="ctr"/>
        <c:lblOffset val="100"/>
        <c:noMultiLvlLbl val="1"/>
      </c:catAx>
      <c:valAx>
        <c:axId val="355025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70978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Oscairia!$D$1:$D$67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2.4199999999999999E-2</c:v>
                </c:pt>
                <c:pt idx="2">
                  <c:v>2.4199999999999999E-2</c:v>
                </c:pt>
                <c:pt idx="3">
                  <c:v>2.4299999999999999E-2</c:v>
                </c:pt>
                <c:pt idx="4">
                  <c:v>2.8000000000000001E-2</c:v>
                </c:pt>
                <c:pt idx="5">
                  <c:v>3.2500000000000001E-2</c:v>
                </c:pt>
                <c:pt idx="6">
                  <c:v>4.1399999999999999E-2</c:v>
                </c:pt>
                <c:pt idx="7">
                  <c:v>0.04</c:v>
                </c:pt>
                <c:pt idx="8">
                  <c:v>3.2899999999999999E-2</c:v>
                </c:pt>
                <c:pt idx="9">
                  <c:v>3.6600000000000001E-2</c:v>
                </c:pt>
                <c:pt idx="10">
                  <c:v>3.7400000000000003E-2</c:v>
                </c:pt>
                <c:pt idx="11">
                  <c:v>3.5999999999999997E-2</c:v>
                </c:pt>
                <c:pt idx="12">
                  <c:v>3.4200000000000001E-2</c:v>
                </c:pt>
                <c:pt idx="13">
                  <c:v>2.8000000000000001E-2</c:v>
                </c:pt>
                <c:pt idx="14">
                  <c:v>2.3599999999999999E-2</c:v>
                </c:pt>
                <c:pt idx="15">
                  <c:v>3.7699999999999997E-2</c:v>
                </c:pt>
                <c:pt idx="16">
                  <c:v>3.8300000000000001E-2</c:v>
                </c:pt>
                <c:pt idx="17">
                  <c:v>2.7E-2</c:v>
                </c:pt>
                <c:pt idx="18">
                  <c:v>2.1999999999999999E-2</c:v>
                </c:pt>
                <c:pt idx="19">
                  <c:v>2.1399999999999999E-2</c:v>
                </c:pt>
                <c:pt idx="20">
                  <c:v>2.7699999999999999E-2</c:v>
                </c:pt>
                <c:pt idx="21">
                  <c:v>2.81E-2</c:v>
                </c:pt>
                <c:pt idx="22">
                  <c:v>2.9600000000000001E-2</c:v>
                </c:pt>
                <c:pt idx="23">
                  <c:v>2.9600000000000001E-2</c:v>
                </c:pt>
                <c:pt idx="24">
                  <c:v>2.8299999999999999E-2</c:v>
                </c:pt>
                <c:pt idx="25">
                  <c:v>2.8400000000000002E-2</c:v>
                </c:pt>
                <c:pt idx="26">
                  <c:v>2.8500000000000001E-2</c:v>
                </c:pt>
                <c:pt idx="27">
                  <c:v>2.8899999999999999E-2</c:v>
                </c:pt>
                <c:pt idx="28">
                  <c:v>2.9000000000000001E-2</c:v>
                </c:pt>
                <c:pt idx="29">
                  <c:v>2.92E-2</c:v>
                </c:pt>
                <c:pt idx="30">
                  <c:v>2.93E-2</c:v>
                </c:pt>
                <c:pt idx="31">
                  <c:v>2.9499999999999998E-2</c:v>
                </c:pt>
                <c:pt idx="32">
                  <c:v>2.4899999999999999E-2</c:v>
                </c:pt>
                <c:pt idx="33">
                  <c:v>2.07E-2</c:v>
                </c:pt>
                <c:pt idx="34">
                  <c:v>2.1499999999999998E-2</c:v>
                </c:pt>
                <c:pt idx="35">
                  <c:v>2.1999999999999999E-2</c:v>
                </c:pt>
                <c:pt idx="36">
                  <c:v>2.24E-2</c:v>
                </c:pt>
                <c:pt idx="37">
                  <c:v>2.29E-2</c:v>
                </c:pt>
                <c:pt idx="38">
                  <c:v>2.35E-2</c:v>
                </c:pt>
                <c:pt idx="39">
                  <c:v>2.3900000000000001E-2</c:v>
                </c:pt>
                <c:pt idx="40">
                  <c:v>2.4400000000000002E-2</c:v>
                </c:pt>
                <c:pt idx="41">
                  <c:v>2.7900000000000001E-2</c:v>
                </c:pt>
                <c:pt idx="42">
                  <c:v>3.1199999999999999E-2</c:v>
                </c:pt>
                <c:pt idx="43">
                  <c:v>3.1300000000000001E-2</c:v>
                </c:pt>
                <c:pt idx="44">
                  <c:v>3.1E-2</c:v>
                </c:pt>
                <c:pt idx="45">
                  <c:v>3.0599999999999999E-2</c:v>
                </c:pt>
                <c:pt idx="46">
                  <c:v>3.0099999999999998E-2</c:v>
                </c:pt>
                <c:pt idx="47">
                  <c:v>2.9700000000000001E-2</c:v>
                </c:pt>
                <c:pt idx="48">
                  <c:v>2.92E-2</c:v>
                </c:pt>
                <c:pt idx="49">
                  <c:v>2.87E-2</c:v>
                </c:pt>
                <c:pt idx="50">
                  <c:v>2.8299999999999999E-2</c:v>
                </c:pt>
                <c:pt idx="51">
                  <c:v>2.7799999999999998E-2</c:v>
                </c:pt>
                <c:pt idx="52">
                  <c:v>2.7199999999999998E-2</c:v>
                </c:pt>
                <c:pt idx="53">
                  <c:v>2.6700000000000002E-2</c:v>
                </c:pt>
                <c:pt idx="54">
                  <c:v>2.6200000000000001E-2</c:v>
                </c:pt>
                <c:pt idx="55">
                  <c:v>2.58E-2</c:v>
                </c:pt>
                <c:pt idx="56">
                  <c:v>2.5000000000000001E-2</c:v>
                </c:pt>
                <c:pt idx="57">
                  <c:v>2.5000000000000001E-2</c:v>
                </c:pt>
                <c:pt idx="58">
                  <c:v>2.4E-2</c:v>
                </c:pt>
                <c:pt idx="59">
                  <c:v>2.3E-2</c:v>
                </c:pt>
                <c:pt idx="60">
                  <c:v>2.1999999999999999E-2</c:v>
                </c:pt>
                <c:pt idx="61">
                  <c:v>2.1000000000000001E-2</c:v>
                </c:pt>
                <c:pt idx="62">
                  <c:v>2.1000000000000001E-2</c:v>
                </c:pt>
                <c:pt idx="63">
                  <c:v>0.02</c:v>
                </c:pt>
                <c:pt idx="64">
                  <c:v>0.02</c:v>
                </c:pt>
                <c:pt idx="65">
                  <c:v>1.9E-2</c:v>
                </c:pt>
                <c:pt idx="66">
                  <c:v>1.9E-2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45-4AD9-A35B-7ED95E542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288600"/>
        <c:axId val="1031853236"/>
      </c:lineChart>
      <c:catAx>
        <c:axId val="484288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853236"/>
        <c:crosses val="autoZero"/>
        <c:auto val="1"/>
        <c:lblAlgn val="ctr"/>
        <c:lblOffset val="100"/>
        <c:noMultiLvlLbl val="1"/>
      </c:catAx>
      <c:valAx>
        <c:axId val="1031853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42886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Oscairia!$C$1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Oscairia!$C$2:$C$67</c:f>
              <c:numCache>
                <c:formatCode>#,##0</c:formatCode>
                <c:ptCount val="66"/>
                <c:pt idx="0">
                  <c:v>22386516.167493358</c:v>
                </c:pt>
                <c:pt idx="1">
                  <c:v>21857563.139517047</c:v>
                </c:pt>
                <c:pt idx="2">
                  <c:v>21341108.318216216</c:v>
                </c:pt>
                <c:pt idx="3">
                  <c:v>20834822.140209135</c:v>
                </c:pt>
                <c:pt idx="4">
                  <c:v>20267336.712265696</c:v>
                </c:pt>
                <c:pt idx="5">
                  <c:v>19629381.803647164</c:v>
                </c:pt>
                <c:pt idx="6">
                  <c:v>18849031.883663494</c:v>
                </c:pt>
                <c:pt idx="7">
                  <c:v>18124069.118907206</c:v>
                </c:pt>
                <c:pt idx="8">
                  <c:v>17546780.055094596</c:v>
                </c:pt>
                <c:pt idx="9">
                  <c:v>16927242.962661196</c:v>
                </c:pt>
                <c:pt idx="10">
                  <c:v>16316987.625468666</c:v>
                </c:pt>
                <c:pt idx="11">
                  <c:v>15749988.055471685</c:v>
                </c:pt>
                <c:pt idx="12">
                  <c:v>15229151.088253418</c:v>
                </c:pt>
                <c:pt idx="13">
                  <c:v>14814349.307639511</c:v>
                </c:pt>
                <c:pt idx="14">
                  <c:v>14472791.429894011</c:v>
                </c:pt>
                <c:pt idx="15">
                  <c:v>13946989.910276582</c:v>
                </c:pt>
                <c:pt idx="16">
                  <c:v>13432524.232183937</c:v>
                </c:pt>
                <c:pt idx="17">
                  <c:v>13079380.946625061</c:v>
                </c:pt>
                <c:pt idx="18">
                  <c:v>12797828.71489732</c:v>
                </c:pt>
                <c:pt idx="19">
                  <c:v>12529693.278732445</c:v>
                </c:pt>
                <c:pt idx="20">
                  <c:v>12191975.555835793</c:v>
                </c:pt>
                <c:pt idx="21">
                  <c:v>11858744.826219037</c:v>
                </c:pt>
                <c:pt idx="22">
                  <c:v>11517817.430282669</c:v>
                </c:pt>
                <c:pt idx="23">
                  <c:v>11186691.365853408</c:v>
                </c:pt>
                <c:pt idx="24">
                  <c:v>10878820.738941368</c:v>
                </c:pt>
                <c:pt idx="25">
                  <c:v>10578394.339694057</c:v>
                </c:pt>
                <c:pt idx="26">
                  <c:v>10285264.306946093</c:v>
                </c:pt>
                <c:pt idx="27">
                  <c:v>9996369.2360249721</c:v>
                </c:pt>
                <c:pt idx="28">
                  <c:v>9714644.5442419555</c:v>
                </c:pt>
                <c:pt idx="29">
                  <c:v>9439025.0138378907</c:v>
                </c:pt>
                <c:pt idx="30">
                  <c:v>9170334.2211579606</c:v>
                </c:pt>
                <c:pt idx="31">
                  <c:v>8907561.1667391546</c:v>
                </c:pt>
                <c:pt idx="32">
                  <c:v>8691151.4945254717</c:v>
                </c:pt>
                <c:pt idx="33">
                  <c:v>8514893.2051782813</c:v>
                </c:pt>
                <c:pt idx="34">
                  <c:v>8335676.1675754096</c:v>
                </c:pt>
                <c:pt idx="35">
                  <c:v>8156238.9115219275</c:v>
                </c:pt>
                <c:pt idx="36">
                  <c:v>7977541.971363388</c:v>
                </c:pt>
                <c:pt idx="37">
                  <c:v>7798946.1055463767</c:v>
                </c:pt>
                <c:pt idx="38">
                  <c:v>7619878.9502162933</c:v>
                </c:pt>
                <c:pt idx="39">
                  <c:v>7442014.7965780767</c:v>
                </c:pt>
                <c:pt idx="40">
                  <c:v>7264754.779947361</c:v>
                </c:pt>
                <c:pt idx="41">
                  <c:v>7067569.5884301597</c:v>
                </c:pt>
                <c:pt idx="42">
                  <c:v>6853733.1152348332</c:v>
                </c:pt>
                <c:pt idx="43">
                  <c:v>6645722.016129965</c:v>
                </c:pt>
                <c:pt idx="44">
                  <c:v>6445899.1427060775</c:v>
                </c:pt>
                <c:pt idx="45">
                  <c:v>6254511.1029556356</c:v>
                </c:pt>
                <c:pt idx="46">
                  <c:v>6071751.3862301093</c:v>
                </c:pt>
                <c:pt idx="47">
                  <c:v>5896621.7211130513</c:v>
                </c:pt>
                <c:pt idx="48">
                  <c:v>5729325.418881706</c:v>
                </c:pt>
                <c:pt idx="49">
                  <c:v>5569481.3054162599</c:v>
                </c:pt>
                <c:pt idx="50">
                  <c:v>5416202.7671071282</c:v>
                </c:pt>
                <c:pt idx="51">
                  <c:v>5269704.9689697679</c:v>
                </c:pt>
                <c:pt idx="52">
                  <c:v>5130164.4947135597</c:v>
                </c:pt>
                <c:pt idx="53">
                  <c:v>4996751.2366938349</c:v>
                </c:pt>
                <c:pt idx="54">
                  <c:v>4869178.7533559101</c:v>
                </c:pt>
                <c:pt idx="55">
                  <c:v>4746713.5439227037</c:v>
                </c:pt>
                <c:pt idx="56">
                  <c:v>4630940.0428514183</c:v>
                </c:pt>
                <c:pt idx="57">
                  <c:v>4517990.2857087012</c:v>
                </c:pt>
                <c:pt idx="58">
                  <c:v>4412099.8883874035</c:v>
                </c:pt>
                <c:pt idx="59">
                  <c:v>4312903.11670323</c:v>
                </c:pt>
                <c:pt idx="60">
                  <c:v>4220061.7580266437</c:v>
                </c:pt>
                <c:pt idx="61">
                  <c:v>4133263.2301925994</c:v>
                </c:pt>
                <c:pt idx="62">
                  <c:v>4048249.9805999999</c:v>
                </c:pt>
                <c:pt idx="63">
                  <c:v>3968872.53</c:v>
                </c:pt>
                <c:pt idx="64">
                  <c:v>3891051.4999999995</c:v>
                </c:pt>
                <c:pt idx="65">
                  <c:v>3818500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1-41A7-841B-6F45CDAF8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652118"/>
        <c:axId val="1770228990"/>
      </c:lineChart>
      <c:catAx>
        <c:axId val="77865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0228990"/>
        <c:crosses val="autoZero"/>
        <c:auto val="1"/>
        <c:lblAlgn val="ctr"/>
        <c:lblOffset val="100"/>
        <c:noMultiLvlLbl val="1"/>
      </c:catAx>
      <c:valAx>
        <c:axId val="1770228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86521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Othya!$D$1:$D$67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50-41B6-8E34-A7C3A49B0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289921"/>
        <c:axId val="668204135"/>
      </c:lineChart>
      <c:catAx>
        <c:axId val="27628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8204135"/>
        <c:crosses val="autoZero"/>
        <c:auto val="1"/>
        <c:lblAlgn val="ctr"/>
        <c:lblOffset val="100"/>
        <c:noMultiLvlLbl val="1"/>
      </c:catAx>
      <c:valAx>
        <c:axId val="668204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62899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Othya!$C$1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Othya!$C$2:$C$67</c:f>
              <c:numCache>
                <c:formatCode>#,##0</c:formatCode>
                <c:ptCount val="66"/>
                <c:pt idx="0">
                  <c:v>190.93664881743518</c:v>
                </c:pt>
                <c:pt idx="1">
                  <c:v>189.04618694795562</c:v>
                </c:pt>
                <c:pt idx="2">
                  <c:v>187.17444252272833</c:v>
                </c:pt>
                <c:pt idx="3">
                  <c:v>185.32123022052309</c:v>
                </c:pt>
                <c:pt idx="4">
                  <c:v>183.48636655497336</c:v>
                </c:pt>
                <c:pt idx="5">
                  <c:v>181.66966985640926</c:v>
                </c:pt>
                <c:pt idx="6">
                  <c:v>179.87096025387055</c:v>
                </c:pt>
                <c:pt idx="7">
                  <c:v>178.09005965729756</c:v>
                </c:pt>
                <c:pt idx="8">
                  <c:v>176.32679173989857</c:v>
                </c:pt>
                <c:pt idx="9">
                  <c:v>174.58098192069164</c:v>
                </c:pt>
                <c:pt idx="10">
                  <c:v>172.85245734721946</c:v>
                </c:pt>
                <c:pt idx="11">
                  <c:v>171.14104687843511</c:v>
                </c:pt>
                <c:pt idx="12">
                  <c:v>169.44658106775753</c:v>
                </c:pt>
                <c:pt idx="13">
                  <c:v>167.76889214629458</c:v>
                </c:pt>
                <c:pt idx="14">
                  <c:v>166.10781400623225</c:v>
                </c:pt>
                <c:pt idx="15">
                  <c:v>164.46318218438836</c:v>
                </c:pt>
                <c:pt idx="16">
                  <c:v>162.83483384592907</c:v>
                </c:pt>
                <c:pt idx="17">
                  <c:v>161.2226077682466</c:v>
                </c:pt>
                <c:pt idx="18">
                  <c:v>159.62634432499664</c:v>
                </c:pt>
                <c:pt idx="19">
                  <c:v>158.04588547029371</c:v>
                </c:pt>
                <c:pt idx="20">
                  <c:v>156.48107472306307</c:v>
                </c:pt>
                <c:pt idx="21">
                  <c:v>154.9317571515476</c:v>
                </c:pt>
                <c:pt idx="22">
                  <c:v>153.39777935796792</c:v>
                </c:pt>
                <c:pt idx="23">
                  <c:v>151.87898946333456</c:v>
                </c:pt>
                <c:pt idx="24">
                  <c:v>150.37523709241046</c:v>
                </c:pt>
                <c:pt idx="25">
                  <c:v>148.88637335882223</c:v>
                </c:pt>
                <c:pt idx="26">
                  <c:v>147.41225085031903</c:v>
                </c:pt>
                <c:pt idx="27">
                  <c:v>145.95272361417724</c:v>
                </c:pt>
                <c:pt idx="28">
                  <c:v>144.50764714274973</c:v>
                </c:pt>
                <c:pt idx="29">
                  <c:v>143.07687835915814</c:v>
                </c:pt>
                <c:pt idx="30">
                  <c:v>141.66027560312688</c:v>
                </c:pt>
                <c:pt idx="31">
                  <c:v>140.2576986169573</c:v>
                </c:pt>
                <c:pt idx="32">
                  <c:v>138.8690085316409</c:v>
                </c:pt>
                <c:pt idx="33">
                  <c:v>137.49406785310981</c:v>
                </c:pt>
                <c:pt idx="34">
                  <c:v>136.13274044862357</c:v>
                </c:pt>
                <c:pt idx="35">
                  <c:v>134.78489153329065</c:v>
                </c:pt>
                <c:pt idx="36">
                  <c:v>133.45038765672342</c:v>
                </c:pt>
                <c:pt idx="37">
                  <c:v>132.12909668982516</c:v>
                </c:pt>
                <c:pt idx="38">
                  <c:v>130.82088781170808</c:v>
                </c:pt>
                <c:pt idx="39">
                  <c:v>129.52563149674066</c:v>
                </c:pt>
                <c:pt idx="40">
                  <c:v>128.24319950172341</c:v>
                </c:pt>
                <c:pt idx="41">
                  <c:v>126.97346485319149</c:v>
                </c:pt>
                <c:pt idx="42">
                  <c:v>125.71630183484305</c:v>
                </c:pt>
                <c:pt idx="43">
                  <c:v>124.47158597509213</c:v>
                </c:pt>
                <c:pt idx="44">
                  <c:v>123.23919403474467</c:v>
                </c:pt>
                <c:pt idx="45">
                  <c:v>122.01900399479671</c:v>
                </c:pt>
                <c:pt idx="46">
                  <c:v>120.81089504435317</c:v>
                </c:pt>
                <c:pt idx="47">
                  <c:v>119.6147475686665</c:v>
                </c:pt>
                <c:pt idx="48">
                  <c:v>118.43044313729357</c:v>
                </c:pt>
                <c:pt idx="49">
                  <c:v>117.25786449236986</c:v>
                </c:pt>
                <c:pt idx="50">
                  <c:v>116.09689553699987</c:v>
                </c:pt>
                <c:pt idx="51">
                  <c:v>114.94742132376224</c:v>
                </c:pt>
                <c:pt idx="52">
                  <c:v>113.80932804332895</c:v>
                </c:pt>
                <c:pt idx="53">
                  <c:v>112.68250301319698</c:v>
                </c:pt>
                <c:pt idx="54">
                  <c:v>111.56683466653166</c:v>
                </c:pt>
                <c:pt idx="55">
                  <c:v>110.46221254112045</c:v>
                </c:pt>
                <c:pt idx="56">
                  <c:v>109.36852726843608</c:v>
                </c:pt>
                <c:pt idx="57">
                  <c:v>108.28567056280801</c:v>
                </c:pt>
                <c:pt idx="58">
                  <c:v>107.213535210701</c:v>
                </c:pt>
                <c:pt idx="59">
                  <c:v>106.1520150601</c:v>
                </c:pt>
                <c:pt idx="60">
                  <c:v>105.10100500999999</c:v>
                </c:pt>
                <c:pt idx="61">
                  <c:v>104.060401</c:v>
                </c:pt>
                <c:pt idx="62">
                  <c:v>103.0301</c:v>
                </c:pt>
                <c:pt idx="63">
                  <c:v>102.01</c:v>
                </c:pt>
                <c:pt idx="64">
                  <c:v>101</c:v>
                </c:pt>
                <c:pt idx="6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C-49A0-97A5-C1FD664E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480125"/>
        <c:axId val="940980261"/>
      </c:lineChart>
      <c:catAx>
        <c:axId val="347480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0980261"/>
        <c:crosses val="autoZero"/>
        <c:auto val="1"/>
        <c:lblAlgn val="ctr"/>
        <c:lblOffset val="100"/>
        <c:noMultiLvlLbl val="1"/>
      </c:catAx>
      <c:valAx>
        <c:axId val="940980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4801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Otiiric!$D$1:$D$67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3.1199999999999999E-2</c:v>
                </c:pt>
                <c:pt idx="2">
                  <c:v>3.1699999999999999E-2</c:v>
                </c:pt>
                <c:pt idx="3">
                  <c:v>3.2000000000000001E-2</c:v>
                </c:pt>
                <c:pt idx="4">
                  <c:v>3.2399999999999998E-2</c:v>
                </c:pt>
                <c:pt idx="5">
                  <c:v>3.3300000000000003E-2</c:v>
                </c:pt>
                <c:pt idx="6">
                  <c:v>3.4599999999999999E-2</c:v>
                </c:pt>
                <c:pt idx="7">
                  <c:v>3.5400000000000001E-2</c:v>
                </c:pt>
                <c:pt idx="8">
                  <c:v>3.5700000000000003E-2</c:v>
                </c:pt>
                <c:pt idx="9">
                  <c:v>3.5299999999999998E-2</c:v>
                </c:pt>
                <c:pt idx="10">
                  <c:v>3.44E-2</c:v>
                </c:pt>
                <c:pt idx="11">
                  <c:v>3.3000000000000002E-2</c:v>
                </c:pt>
                <c:pt idx="12">
                  <c:v>3.1800000000000002E-2</c:v>
                </c:pt>
                <c:pt idx="13">
                  <c:v>3.1E-2</c:v>
                </c:pt>
                <c:pt idx="14">
                  <c:v>3.0800000000000001E-2</c:v>
                </c:pt>
                <c:pt idx="15">
                  <c:v>3.0200000000000001E-2</c:v>
                </c:pt>
                <c:pt idx="16">
                  <c:v>2.81E-2</c:v>
                </c:pt>
                <c:pt idx="17">
                  <c:v>2.6800000000000001E-2</c:v>
                </c:pt>
                <c:pt idx="18">
                  <c:v>2.6200000000000001E-2</c:v>
                </c:pt>
                <c:pt idx="19">
                  <c:v>2.5499999999999998E-2</c:v>
                </c:pt>
                <c:pt idx="20">
                  <c:v>2.4500000000000001E-2</c:v>
                </c:pt>
                <c:pt idx="21">
                  <c:v>2.41E-2</c:v>
                </c:pt>
                <c:pt idx="22">
                  <c:v>2.3900000000000001E-2</c:v>
                </c:pt>
                <c:pt idx="23">
                  <c:v>2.3800000000000002E-2</c:v>
                </c:pt>
                <c:pt idx="24">
                  <c:v>2.41E-2</c:v>
                </c:pt>
                <c:pt idx="25">
                  <c:v>2.4799999999999999E-2</c:v>
                </c:pt>
                <c:pt idx="26">
                  <c:v>2.5600000000000001E-2</c:v>
                </c:pt>
                <c:pt idx="27">
                  <c:v>2.64E-2</c:v>
                </c:pt>
                <c:pt idx="28">
                  <c:v>2.75E-2</c:v>
                </c:pt>
                <c:pt idx="29">
                  <c:v>2.8899999999999999E-2</c:v>
                </c:pt>
                <c:pt idx="30">
                  <c:v>2.9899999999999999E-2</c:v>
                </c:pt>
                <c:pt idx="31">
                  <c:v>0.03</c:v>
                </c:pt>
                <c:pt idx="32">
                  <c:v>3.0800000000000001E-2</c:v>
                </c:pt>
                <c:pt idx="33">
                  <c:v>3.2199999999999999E-2</c:v>
                </c:pt>
                <c:pt idx="34">
                  <c:v>3.2099999999999997E-2</c:v>
                </c:pt>
                <c:pt idx="35">
                  <c:v>3.0599999999999999E-2</c:v>
                </c:pt>
                <c:pt idx="36">
                  <c:v>2.9899999999999999E-2</c:v>
                </c:pt>
                <c:pt idx="37">
                  <c:v>0.03</c:v>
                </c:pt>
                <c:pt idx="38">
                  <c:v>3.0300000000000001E-2</c:v>
                </c:pt>
                <c:pt idx="39">
                  <c:v>3.04E-2</c:v>
                </c:pt>
                <c:pt idx="40">
                  <c:v>3.0300000000000001E-2</c:v>
                </c:pt>
                <c:pt idx="41">
                  <c:v>0.03</c:v>
                </c:pt>
                <c:pt idx="42">
                  <c:v>2.93E-2</c:v>
                </c:pt>
                <c:pt idx="43">
                  <c:v>2.8799999999999999E-2</c:v>
                </c:pt>
                <c:pt idx="44">
                  <c:v>2.81E-2</c:v>
                </c:pt>
                <c:pt idx="45">
                  <c:v>2.76E-2</c:v>
                </c:pt>
                <c:pt idx="46">
                  <c:v>2.93E-2</c:v>
                </c:pt>
                <c:pt idx="47">
                  <c:v>3.1800000000000002E-2</c:v>
                </c:pt>
                <c:pt idx="48">
                  <c:v>3.2300000000000002E-2</c:v>
                </c:pt>
                <c:pt idx="49">
                  <c:v>3.2099999999999997E-2</c:v>
                </c:pt>
                <c:pt idx="50">
                  <c:v>3.2000000000000001E-2</c:v>
                </c:pt>
                <c:pt idx="51">
                  <c:v>3.1699999999999999E-2</c:v>
                </c:pt>
                <c:pt idx="52">
                  <c:v>3.1600000000000003E-2</c:v>
                </c:pt>
                <c:pt idx="53">
                  <c:v>3.1600000000000003E-2</c:v>
                </c:pt>
                <c:pt idx="54">
                  <c:v>3.15E-2</c:v>
                </c:pt>
                <c:pt idx="55">
                  <c:v>3.1300000000000001E-2</c:v>
                </c:pt>
                <c:pt idx="56">
                  <c:v>0.03</c:v>
                </c:pt>
                <c:pt idx="57">
                  <c:v>0.03</c:v>
                </c:pt>
                <c:pt idx="58">
                  <c:v>2.9000000000000001E-2</c:v>
                </c:pt>
                <c:pt idx="59">
                  <c:v>2.8000000000000001E-2</c:v>
                </c:pt>
                <c:pt idx="60">
                  <c:v>2.7E-2</c:v>
                </c:pt>
                <c:pt idx="61">
                  <c:v>2.5999999999999999E-2</c:v>
                </c:pt>
                <c:pt idx="62">
                  <c:v>2.5000000000000001E-2</c:v>
                </c:pt>
                <c:pt idx="63">
                  <c:v>2.4E-2</c:v>
                </c:pt>
                <c:pt idx="64">
                  <c:v>2.3E-2</c:v>
                </c:pt>
                <c:pt idx="65">
                  <c:v>2.3E-2</c:v>
                </c:pt>
                <c:pt idx="66">
                  <c:v>2.1999999999999999E-2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A4-4D1E-845A-843647B4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564343"/>
        <c:axId val="1542191961"/>
      </c:lineChart>
      <c:catAx>
        <c:axId val="1559564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2191961"/>
        <c:crosses val="autoZero"/>
        <c:auto val="1"/>
        <c:lblAlgn val="ctr"/>
        <c:lblOffset val="100"/>
        <c:noMultiLvlLbl val="1"/>
      </c:catAx>
      <c:valAx>
        <c:axId val="1542191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95643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Otiiric!$C$1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Otiiric!$C$2:$C$67</c:f>
              <c:numCache>
                <c:formatCode>#,##0</c:formatCode>
                <c:ptCount val="66"/>
                <c:pt idx="0">
                  <c:v>21611932.671386287</c:v>
                </c:pt>
                <c:pt idx="1">
                  <c:v>20958041.768217891</c:v>
                </c:pt>
                <c:pt idx="2">
                  <c:v>20314085.265307639</c:v>
                </c:pt>
                <c:pt idx="3">
                  <c:v>19684191.148553912</c:v>
                </c:pt>
                <c:pt idx="4">
                  <c:v>19066438.539862372</c:v>
                </c:pt>
                <c:pt idx="5">
                  <c:v>18451987.360749416</c:v>
                </c:pt>
                <c:pt idx="6">
                  <c:v>17834899.826744072</c:v>
                </c:pt>
                <c:pt idx="7">
                  <c:v>17225130.217060141</c:v>
                </c:pt>
                <c:pt idx="8">
                  <c:v>16631389.608052662</c:v>
                </c:pt>
                <c:pt idx="9">
                  <c:v>16064319.142328469</c:v>
                </c:pt>
                <c:pt idx="10">
                  <c:v>15530084.244323732</c:v>
                </c:pt>
                <c:pt idx="11">
                  <c:v>15033963.450458599</c:v>
                </c:pt>
                <c:pt idx="12">
                  <c:v>14570617.804282418</c:v>
                </c:pt>
                <c:pt idx="13">
                  <c:v>14132509.994454334</c:v>
                </c:pt>
                <c:pt idx="14">
                  <c:v>13710234.763731407</c:v>
                </c:pt>
                <c:pt idx="15">
                  <c:v>13308323.397137845</c:v>
                </c:pt>
                <c:pt idx="16">
                  <c:v>12944580.680029029</c:v>
                </c:pt>
                <c:pt idx="17">
                  <c:v>12606720.568785576</c:v>
                </c:pt>
                <c:pt idx="18">
                  <c:v>12284857.30733344</c:v>
                </c:pt>
                <c:pt idx="19">
                  <c:v>11979383.039818078</c:v>
                </c:pt>
                <c:pt idx="20">
                  <c:v>11692906.82266284</c:v>
                </c:pt>
                <c:pt idx="21">
                  <c:v>11417739.305402637</c:v>
                </c:pt>
                <c:pt idx="22">
                  <c:v>11151225.027251329</c:v>
                </c:pt>
                <c:pt idx="23">
                  <c:v>10891995.533552773</c:v>
                </c:pt>
                <c:pt idx="24">
                  <c:v>10635675.748025361</c:v>
                </c:pt>
                <c:pt idx="25">
                  <c:v>10378294.055450197</c:v>
                </c:pt>
                <c:pt idx="26">
                  <c:v>10119241.47372289</c:v>
                </c:pt>
                <c:pt idx="27">
                  <c:v>9858964.8029256538</c:v>
                </c:pt>
                <c:pt idx="28">
                  <c:v>9595099.5648911465</c:v>
                </c:pt>
                <c:pt idx="29">
                  <c:v>9325590.0135009699</c:v>
                </c:pt>
                <c:pt idx="30">
                  <c:v>9054849.99854449</c:v>
                </c:pt>
                <c:pt idx="31">
                  <c:v>8791116.5034412518</c:v>
                </c:pt>
                <c:pt idx="32">
                  <c:v>8528440.534964351</c:v>
                </c:pt>
                <c:pt idx="33">
                  <c:v>8262391.5277701523</c:v>
                </c:pt>
                <c:pt idx="34">
                  <c:v>8005417.6221007193</c:v>
                </c:pt>
                <c:pt idx="35">
                  <c:v>7767725.2300608577</c:v>
                </c:pt>
                <c:pt idx="36">
                  <c:v>7542213.059579432</c:v>
                </c:pt>
                <c:pt idx="37">
                  <c:v>7322536.9510479923</c:v>
                </c:pt>
                <c:pt idx="38">
                  <c:v>7107189.1206910536</c:v>
                </c:pt>
                <c:pt idx="39">
                  <c:v>6897504.9696147647</c:v>
                </c:pt>
                <c:pt idx="40">
                  <c:v>6694656.8665580554</c:v>
                </c:pt>
                <c:pt idx="41">
                  <c:v>6499666.8607359761</c:v>
                </c:pt>
                <c:pt idx="42">
                  <c:v>6314647.6836063107</c:v>
                </c:pt>
                <c:pt idx="43">
                  <c:v>6137876.8308770517</c:v>
                </c:pt>
                <c:pt idx="44">
                  <c:v>5970116.5556629235</c:v>
                </c:pt>
                <c:pt idx="45">
                  <c:v>5809766.9868265111</c:v>
                </c:pt>
                <c:pt idx="46">
                  <c:v>5644386.4634474991</c:v>
                </c:pt>
                <c:pt idx="47">
                  <c:v>5470426.8883964904</c:v>
                </c:pt>
                <c:pt idx="48">
                  <c:v>5299260.7656654948</c:v>
                </c:pt>
                <c:pt idx="49">
                  <c:v>5134445.0786411148</c:v>
                </c:pt>
                <c:pt idx="50">
                  <c:v>4975237.4793034056</c:v>
                </c:pt>
                <c:pt idx="51">
                  <c:v>4822368.4009919604</c:v>
                </c:pt>
                <c:pt idx="52">
                  <c:v>4674649.4775028694</c:v>
                </c:pt>
                <c:pt idx="53">
                  <c:v>4531455.4842020832</c:v>
                </c:pt>
                <c:pt idx="54">
                  <c:v>4393073.6637926158</c:v>
                </c:pt>
                <c:pt idx="55">
                  <c:v>4259743.6864080438</c:v>
                </c:pt>
                <c:pt idx="56">
                  <c:v>4135673.4819495566</c:v>
                </c:pt>
                <c:pt idx="57">
                  <c:v>4015216.9727665596</c:v>
                </c:pt>
                <c:pt idx="58">
                  <c:v>3902057.3107546745</c:v>
                </c:pt>
                <c:pt idx="59">
                  <c:v>3795775.5941193332</c:v>
                </c:pt>
                <c:pt idx="60">
                  <c:v>3695984.0254326519</c:v>
                </c:pt>
                <c:pt idx="61">
                  <c:v>3602323.611532799</c:v>
                </c:pt>
                <c:pt idx="62">
                  <c:v>3514462.0600319994</c:v>
                </c:pt>
                <c:pt idx="63">
                  <c:v>3432091.8554999991</c:v>
                </c:pt>
                <c:pt idx="64">
                  <c:v>3354928.4999999995</c:v>
                </c:pt>
                <c:pt idx="65">
                  <c:v>3279500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8-4BC7-BAAB-9497A77D3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468403"/>
        <c:axId val="389782514"/>
      </c:lineChart>
      <c:catAx>
        <c:axId val="1845468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9782514"/>
        <c:crosses val="autoZero"/>
        <c:auto val="1"/>
        <c:lblAlgn val="ctr"/>
        <c:lblOffset val="100"/>
        <c:noMultiLvlLbl val="1"/>
      </c:catAx>
      <c:valAx>
        <c:axId val="389782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4684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Oyreain!$D$1:$D$67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1.7100000000000001E-2</c:v>
                </c:pt>
                <c:pt idx="2">
                  <c:v>1.66E-2</c:v>
                </c:pt>
                <c:pt idx="3">
                  <c:v>1.6500000000000001E-2</c:v>
                </c:pt>
                <c:pt idx="4">
                  <c:v>1.47E-2</c:v>
                </c:pt>
                <c:pt idx="5">
                  <c:v>1.24E-2</c:v>
                </c:pt>
                <c:pt idx="6">
                  <c:v>1.18E-2</c:v>
                </c:pt>
                <c:pt idx="7">
                  <c:v>1.1900000000000001E-2</c:v>
                </c:pt>
                <c:pt idx="8">
                  <c:v>1.15E-2</c:v>
                </c:pt>
                <c:pt idx="9">
                  <c:v>1.06E-2</c:v>
                </c:pt>
                <c:pt idx="10">
                  <c:v>1.0200000000000001E-2</c:v>
                </c:pt>
                <c:pt idx="11">
                  <c:v>1.01E-2</c:v>
                </c:pt>
                <c:pt idx="12">
                  <c:v>1.01E-2</c:v>
                </c:pt>
                <c:pt idx="13">
                  <c:v>0.01</c:v>
                </c:pt>
                <c:pt idx="14">
                  <c:v>9.4999999999999998E-3</c:v>
                </c:pt>
                <c:pt idx="15">
                  <c:v>8.6E-3</c:v>
                </c:pt>
                <c:pt idx="16">
                  <c:v>9.1000000000000004E-3</c:v>
                </c:pt>
                <c:pt idx="17">
                  <c:v>1.09E-2</c:v>
                </c:pt>
                <c:pt idx="18">
                  <c:v>1.21E-2</c:v>
                </c:pt>
                <c:pt idx="19">
                  <c:v>1.2E-2</c:v>
                </c:pt>
                <c:pt idx="20">
                  <c:v>1.2999999999999999E-2</c:v>
                </c:pt>
                <c:pt idx="21">
                  <c:v>1.21E-2</c:v>
                </c:pt>
                <c:pt idx="22">
                  <c:v>1.6199999999999999E-2</c:v>
                </c:pt>
                <c:pt idx="23">
                  <c:v>1.9900000000000001E-2</c:v>
                </c:pt>
                <c:pt idx="24">
                  <c:v>1.7999999999999999E-2</c:v>
                </c:pt>
                <c:pt idx="25">
                  <c:v>2.2800000000000001E-2</c:v>
                </c:pt>
                <c:pt idx="26">
                  <c:v>2.7799999999999998E-2</c:v>
                </c:pt>
                <c:pt idx="27">
                  <c:v>2.9399999999999999E-2</c:v>
                </c:pt>
                <c:pt idx="28">
                  <c:v>3.0499999999999999E-2</c:v>
                </c:pt>
                <c:pt idx="29">
                  <c:v>3.1199999999999999E-2</c:v>
                </c:pt>
                <c:pt idx="30">
                  <c:v>3.2000000000000001E-2</c:v>
                </c:pt>
                <c:pt idx="31">
                  <c:v>3.3300000000000003E-2</c:v>
                </c:pt>
                <c:pt idx="32">
                  <c:v>3.4599999999999999E-2</c:v>
                </c:pt>
                <c:pt idx="33">
                  <c:v>3.49E-2</c:v>
                </c:pt>
                <c:pt idx="34">
                  <c:v>3.4599999999999999E-2</c:v>
                </c:pt>
                <c:pt idx="35">
                  <c:v>3.4000000000000002E-2</c:v>
                </c:pt>
                <c:pt idx="36">
                  <c:v>3.04E-2</c:v>
                </c:pt>
                <c:pt idx="37">
                  <c:v>2.7099999999999999E-2</c:v>
                </c:pt>
                <c:pt idx="38">
                  <c:v>2.7300000000000001E-2</c:v>
                </c:pt>
                <c:pt idx="39">
                  <c:v>2.7E-2</c:v>
                </c:pt>
                <c:pt idx="40">
                  <c:v>2.7099999999999999E-2</c:v>
                </c:pt>
                <c:pt idx="41">
                  <c:v>2.7699999999999999E-2</c:v>
                </c:pt>
                <c:pt idx="42">
                  <c:v>2.8199999999999999E-2</c:v>
                </c:pt>
                <c:pt idx="43">
                  <c:v>2.86E-2</c:v>
                </c:pt>
                <c:pt idx="44">
                  <c:v>2.87E-2</c:v>
                </c:pt>
                <c:pt idx="45">
                  <c:v>2.93E-2</c:v>
                </c:pt>
                <c:pt idx="46">
                  <c:v>3.0300000000000001E-2</c:v>
                </c:pt>
                <c:pt idx="47">
                  <c:v>3.09E-2</c:v>
                </c:pt>
                <c:pt idx="48">
                  <c:v>3.1199999999999999E-2</c:v>
                </c:pt>
                <c:pt idx="49">
                  <c:v>3.1199999999999999E-2</c:v>
                </c:pt>
                <c:pt idx="50">
                  <c:v>3.1E-2</c:v>
                </c:pt>
                <c:pt idx="51">
                  <c:v>3.0700000000000002E-2</c:v>
                </c:pt>
                <c:pt idx="52">
                  <c:v>3.0499999999999999E-2</c:v>
                </c:pt>
                <c:pt idx="53">
                  <c:v>3.0300000000000001E-2</c:v>
                </c:pt>
                <c:pt idx="54">
                  <c:v>2.9700000000000001E-2</c:v>
                </c:pt>
                <c:pt idx="55">
                  <c:v>2.81E-2</c:v>
                </c:pt>
                <c:pt idx="56">
                  <c:v>2.8000000000000001E-2</c:v>
                </c:pt>
                <c:pt idx="57">
                  <c:v>2.7E-2</c:v>
                </c:pt>
                <c:pt idx="58">
                  <c:v>2.7E-2</c:v>
                </c:pt>
                <c:pt idx="59">
                  <c:v>2.5999999999999999E-2</c:v>
                </c:pt>
                <c:pt idx="60">
                  <c:v>2.5999999999999999E-2</c:v>
                </c:pt>
                <c:pt idx="61">
                  <c:v>2.5000000000000001E-2</c:v>
                </c:pt>
                <c:pt idx="62">
                  <c:v>2.5000000000000001E-2</c:v>
                </c:pt>
                <c:pt idx="63">
                  <c:v>2.4E-2</c:v>
                </c:pt>
                <c:pt idx="64">
                  <c:v>2.4E-2</c:v>
                </c:pt>
                <c:pt idx="65">
                  <c:v>2.3E-2</c:v>
                </c:pt>
                <c:pt idx="66">
                  <c:v>2.1999999999999999E-2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3F-42AE-8C96-CD018B764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6754"/>
        <c:axId val="1949556596"/>
      </c:lineChart>
      <c:catAx>
        <c:axId val="584796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9556596"/>
        <c:crosses val="autoZero"/>
        <c:auto val="1"/>
        <c:lblAlgn val="ctr"/>
        <c:lblOffset val="100"/>
        <c:noMultiLvlLbl val="1"/>
      </c:catAx>
      <c:valAx>
        <c:axId val="1949556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47967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Oyreain!$C$1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Oyreain!$C$2:$C$67</c:f>
              <c:numCache>
                <c:formatCode>#,##0</c:formatCode>
                <c:ptCount val="66"/>
                <c:pt idx="0">
                  <c:v>31490291.99996132</c:v>
                </c:pt>
                <c:pt idx="1">
                  <c:v>30960861.27220659</c:v>
                </c:pt>
                <c:pt idx="2">
                  <c:v>30455303.238448348</c:v>
                </c:pt>
                <c:pt idx="3">
                  <c:v>29960947.602998868</c:v>
                </c:pt>
                <c:pt idx="4">
                  <c:v>29526902.141518548</c:v>
                </c:pt>
                <c:pt idx="5">
                  <c:v>29165253.004265655</c:v>
                </c:pt>
                <c:pt idx="6">
                  <c:v>28825116.628054608</c:v>
                </c:pt>
                <c:pt idx="7">
                  <c:v>28486131.661285311</c:v>
                </c:pt>
                <c:pt idx="8">
                  <c:v>28162265.606807027</c:v>
                </c:pt>
                <c:pt idx="9">
                  <c:v>27866876.713642418</c:v>
                </c:pt>
                <c:pt idx="10">
                  <c:v>27585504.567058422</c:v>
                </c:pt>
                <c:pt idx="11">
                  <c:v>27309676.831064668</c:v>
                </c:pt>
                <c:pt idx="12">
                  <c:v>27036607.099361122</c:v>
                </c:pt>
                <c:pt idx="13">
                  <c:v>26768917.920159526</c:v>
                </c:pt>
                <c:pt idx="14">
                  <c:v>26517006.359741975</c:v>
                </c:pt>
                <c:pt idx="15">
                  <c:v>26290904.580350958</c:v>
                </c:pt>
                <c:pt idx="16">
                  <c:v>26053814.86507874</c:v>
                </c:pt>
                <c:pt idx="17">
                  <c:v>25772890.360153075</c:v>
                </c:pt>
                <c:pt idx="18">
                  <c:v>25464766.683285322</c:v>
                </c:pt>
                <c:pt idx="19">
                  <c:v>25162812.928147551</c:v>
                </c:pt>
                <c:pt idx="20">
                  <c:v>24839894.302218709</c:v>
                </c:pt>
                <c:pt idx="21">
                  <c:v>24542924.910798054</c:v>
                </c:pt>
                <c:pt idx="22">
                  <c:v>24151667.89096443</c:v>
                </c:pt>
                <c:pt idx="23">
                  <c:v>23680427.385983359</c:v>
                </c:pt>
                <c:pt idx="24">
                  <c:v>23261716.489178151</c:v>
                </c:pt>
                <c:pt idx="25">
                  <c:v>22743172.163842544</c:v>
                </c:pt>
                <c:pt idx="26">
                  <c:v>22128013.39155725</c:v>
                </c:pt>
                <c:pt idx="27">
                  <c:v>21496030.106428258</c:v>
                </c:pt>
                <c:pt idx="28">
                  <c:v>20859806.022734847</c:v>
                </c:pt>
                <c:pt idx="29">
                  <c:v>20228671.47278399</c:v>
                </c:pt>
                <c:pt idx="30">
                  <c:v>19601425.845720921</c:v>
                </c:pt>
                <c:pt idx="31">
                  <c:v>18969733.713075504</c:v>
                </c:pt>
                <c:pt idx="32">
                  <c:v>18335331.251764454</c:v>
                </c:pt>
                <c:pt idx="33">
                  <c:v>17717007.683606584</c:v>
                </c:pt>
                <c:pt idx="34">
                  <c:v>17124499.984154828</c:v>
                </c:pt>
                <c:pt idx="35">
                  <c:v>16561411.976938905</c:v>
                </c:pt>
                <c:pt idx="36">
                  <c:v>16072798.890662758</c:v>
                </c:pt>
                <c:pt idx="37">
                  <c:v>15648718.616164695</c:v>
                </c:pt>
                <c:pt idx="38">
                  <c:v>15232861.497288711</c:v>
                </c:pt>
                <c:pt idx="39">
                  <c:v>14832387.047019195</c:v>
                </c:pt>
                <c:pt idx="40">
                  <c:v>14441034.998558268</c:v>
                </c:pt>
                <c:pt idx="41">
                  <c:v>14051800.134823652</c:v>
                </c:pt>
                <c:pt idx="42">
                  <c:v>13666407.44487809</c:v>
                </c:pt>
                <c:pt idx="43">
                  <c:v>13286415.948744012</c:v>
                </c:pt>
                <c:pt idx="44">
                  <c:v>12915734.372260146</c:v>
                </c:pt>
                <c:pt idx="45">
                  <c:v>12548075.752705863</c:v>
                </c:pt>
                <c:pt idx="46">
                  <c:v>12179050.52189252</c:v>
                </c:pt>
                <c:pt idx="47">
                  <c:v>11813997.984181318</c:v>
                </c:pt>
                <c:pt idx="48">
                  <c:v>11456553.514528045</c:v>
                </c:pt>
                <c:pt idx="49">
                  <c:v>11109923.88918546</c:v>
                </c:pt>
                <c:pt idx="50">
                  <c:v>10775871.861479593</c:v>
                </c:pt>
                <c:pt idx="51">
                  <c:v>10454906.239914227</c:v>
                </c:pt>
                <c:pt idx="52">
                  <c:v>10145469.422527149</c:v>
                </c:pt>
                <c:pt idx="53">
                  <c:v>9847102.2251064256</c:v>
                </c:pt>
                <c:pt idx="54">
                  <c:v>9563078.7851863895</c:v>
                </c:pt>
                <c:pt idx="55">
                  <c:v>9301700.9874393437</c:v>
                </c:pt>
                <c:pt idx="56">
                  <c:v>9048347.2640460543</c:v>
                </c:pt>
                <c:pt idx="57">
                  <c:v>8810464.7166952826</c:v>
                </c:pt>
                <c:pt idx="58">
                  <c:v>8578836.1408912204</c:v>
                </c:pt>
                <c:pt idx="59">
                  <c:v>8361438.7338121049</c:v>
                </c:pt>
                <c:pt idx="60">
                  <c:v>8149550.4228188153</c:v>
                </c:pt>
                <c:pt idx="61">
                  <c:v>7950780.9003110398</c:v>
                </c:pt>
                <c:pt idx="62">
                  <c:v>7756859.4149376005</c:v>
                </c:pt>
                <c:pt idx="63">
                  <c:v>7575058.0224000001</c:v>
                </c:pt>
                <c:pt idx="64">
                  <c:v>7397517.5999999996</c:v>
                </c:pt>
                <c:pt idx="65">
                  <c:v>7231200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0E2-B74A-715379BE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200361"/>
        <c:axId val="1719214249"/>
      </c:lineChart>
      <c:catAx>
        <c:axId val="772200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9214249"/>
        <c:crosses val="autoZero"/>
        <c:auto val="1"/>
        <c:lblAlgn val="ctr"/>
        <c:lblOffset val="100"/>
        <c:noMultiLvlLbl val="1"/>
      </c:catAx>
      <c:valAx>
        <c:axId val="1719214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22003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Ozinia!$D$1:$D$67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1.9599999999999999E-2</c:v>
                </c:pt>
                <c:pt idx="2">
                  <c:v>2.9899999999999999E-2</c:v>
                </c:pt>
                <c:pt idx="3">
                  <c:v>2.2499999999999999E-2</c:v>
                </c:pt>
                <c:pt idx="4">
                  <c:v>2.7E-2</c:v>
                </c:pt>
                <c:pt idx="5">
                  <c:v>1.0800000000000001E-2</c:v>
                </c:pt>
                <c:pt idx="6">
                  <c:v>9.7999999999999997E-3</c:v>
                </c:pt>
                <c:pt idx="7">
                  <c:v>1.35E-2</c:v>
                </c:pt>
                <c:pt idx="8">
                  <c:v>1.66E-2</c:v>
                </c:pt>
                <c:pt idx="9">
                  <c:v>1.9400000000000001E-2</c:v>
                </c:pt>
                <c:pt idx="10">
                  <c:v>1.55E-2</c:v>
                </c:pt>
                <c:pt idx="11">
                  <c:v>1.6199999999999999E-2</c:v>
                </c:pt>
                <c:pt idx="12">
                  <c:v>1.38E-2</c:v>
                </c:pt>
                <c:pt idx="13">
                  <c:v>1.3899999999999999E-2</c:v>
                </c:pt>
                <c:pt idx="14">
                  <c:v>1.66E-2</c:v>
                </c:pt>
                <c:pt idx="15">
                  <c:v>1.7299999999999999E-2</c:v>
                </c:pt>
                <c:pt idx="16">
                  <c:v>1.7500000000000002E-2</c:v>
                </c:pt>
                <c:pt idx="17">
                  <c:v>1.7600000000000001E-2</c:v>
                </c:pt>
                <c:pt idx="18">
                  <c:v>1.8100000000000002E-2</c:v>
                </c:pt>
                <c:pt idx="19">
                  <c:v>1.8499999999999999E-2</c:v>
                </c:pt>
                <c:pt idx="20">
                  <c:v>1.8100000000000002E-2</c:v>
                </c:pt>
                <c:pt idx="21">
                  <c:v>1.7899999999999999E-2</c:v>
                </c:pt>
                <c:pt idx="22">
                  <c:v>1.9400000000000001E-2</c:v>
                </c:pt>
                <c:pt idx="23">
                  <c:v>2.12E-2</c:v>
                </c:pt>
                <c:pt idx="24">
                  <c:v>2.0299999999999999E-2</c:v>
                </c:pt>
                <c:pt idx="25">
                  <c:v>1.9599999999999999E-2</c:v>
                </c:pt>
                <c:pt idx="26">
                  <c:v>2.0199999999999999E-2</c:v>
                </c:pt>
                <c:pt idx="27">
                  <c:v>2.0199999999999999E-2</c:v>
                </c:pt>
                <c:pt idx="28">
                  <c:v>2.5499999999999998E-2</c:v>
                </c:pt>
                <c:pt idx="29">
                  <c:v>2.5499999999999998E-2</c:v>
                </c:pt>
                <c:pt idx="30">
                  <c:v>2.0299999999999999E-2</c:v>
                </c:pt>
                <c:pt idx="31">
                  <c:v>1.8499999999999999E-2</c:v>
                </c:pt>
                <c:pt idx="32">
                  <c:v>1.2999999999999999E-2</c:v>
                </c:pt>
                <c:pt idx="33">
                  <c:v>1.52E-2</c:v>
                </c:pt>
                <c:pt idx="34">
                  <c:v>2.1600000000000001E-2</c:v>
                </c:pt>
                <c:pt idx="35">
                  <c:v>2.1299999999999999E-2</c:v>
                </c:pt>
                <c:pt idx="36">
                  <c:v>2.1000000000000001E-2</c:v>
                </c:pt>
                <c:pt idx="37">
                  <c:v>2.1700000000000001E-2</c:v>
                </c:pt>
                <c:pt idx="38">
                  <c:v>1.2999999999999999E-2</c:v>
                </c:pt>
                <c:pt idx="39">
                  <c:v>1.23E-2</c:v>
                </c:pt>
                <c:pt idx="40">
                  <c:v>2.18E-2</c:v>
                </c:pt>
                <c:pt idx="41">
                  <c:v>2.3900000000000001E-2</c:v>
                </c:pt>
                <c:pt idx="42">
                  <c:v>2.4899999999999999E-2</c:v>
                </c:pt>
                <c:pt idx="43">
                  <c:v>2.5600000000000001E-2</c:v>
                </c:pt>
                <c:pt idx="44">
                  <c:v>2.4899999999999999E-2</c:v>
                </c:pt>
                <c:pt idx="45">
                  <c:v>2.46E-2</c:v>
                </c:pt>
                <c:pt idx="46">
                  <c:v>2.69E-2</c:v>
                </c:pt>
                <c:pt idx="47">
                  <c:v>2.6700000000000002E-2</c:v>
                </c:pt>
                <c:pt idx="48">
                  <c:v>2.69E-2</c:v>
                </c:pt>
                <c:pt idx="49">
                  <c:v>2.81E-2</c:v>
                </c:pt>
                <c:pt idx="50">
                  <c:v>2.8299999999999999E-2</c:v>
                </c:pt>
                <c:pt idx="51">
                  <c:v>3.0099999999999998E-2</c:v>
                </c:pt>
                <c:pt idx="52">
                  <c:v>3.1300000000000001E-2</c:v>
                </c:pt>
                <c:pt idx="53">
                  <c:v>3.1699999999999999E-2</c:v>
                </c:pt>
                <c:pt idx="54">
                  <c:v>3.0599999999999999E-2</c:v>
                </c:pt>
                <c:pt idx="55">
                  <c:v>0.03</c:v>
                </c:pt>
                <c:pt idx="56">
                  <c:v>2.8000000000000001E-2</c:v>
                </c:pt>
                <c:pt idx="57">
                  <c:v>2.5000000000000001E-2</c:v>
                </c:pt>
                <c:pt idx="58">
                  <c:v>2.9000000000000001E-2</c:v>
                </c:pt>
                <c:pt idx="59">
                  <c:v>2.9000000000000001E-2</c:v>
                </c:pt>
                <c:pt idx="60">
                  <c:v>2.8000000000000001E-2</c:v>
                </c:pt>
                <c:pt idx="61">
                  <c:v>2.7E-2</c:v>
                </c:pt>
                <c:pt idx="62">
                  <c:v>2.7E-2</c:v>
                </c:pt>
                <c:pt idx="63">
                  <c:v>2.7E-2</c:v>
                </c:pt>
                <c:pt idx="64">
                  <c:v>2.5999999999999999E-2</c:v>
                </c:pt>
                <c:pt idx="65">
                  <c:v>2.5000000000000001E-2</c:v>
                </c:pt>
                <c:pt idx="66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DB-4731-830C-2A51866CE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61960"/>
        <c:axId val="1267826044"/>
      </c:lineChart>
      <c:catAx>
        <c:axId val="109661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7826044"/>
        <c:crosses val="autoZero"/>
        <c:auto val="1"/>
        <c:lblAlgn val="ctr"/>
        <c:lblOffset val="100"/>
        <c:noMultiLvlLbl val="1"/>
      </c:catAx>
      <c:valAx>
        <c:axId val="1267826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6619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Ozinia!$C$1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Ozinia!$C$2:$C$67</c:f>
              <c:numCache>
                <c:formatCode>#,##0</c:formatCode>
                <c:ptCount val="66"/>
                <c:pt idx="0">
                  <c:v>7896970.9998418577</c:v>
                </c:pt>
                <c:pt idx="1">
                  <c:v>7745165.751119907</c:v>
                </c:pt>
                <c:pt idx="2">
                  <c:v>7520308.5261869179</c:v>
                </c:pt>
                <c:pt idx="3">
                  <c:v>7354824.9644859834</c:v>
                </c:pt>
                <c:pt idx="4">
                  <c:v>7161465.3987205299</c:v>
                </c:pt>
                <c:pt idx="5">
                  <c:v>7084947.9607444899</c:v>
                </c:pt>
                <c:pt idx="6">
                  <c:v>7016189.3055500984</c:v>
                </c:pt>
                <c:pt idx="7">
                  <c:v>6922732.4179083351</c:v>
                </c:pt>
                <c:pt idx="8">
                  <c:v>6809691.5383713711</c:v>
                </c:pt>
                <c:pt idx="9">
                  <c:v>6680097.6440762905</c:v>
                </c:pt>
                <c:pt idx="10">
                  <c:v>6578136.5278939344</c:v>
                </c:pt>
                <c:pt idx="11">
                  <c:v>6473269.5610056426</c:v>
                </c:pt>
                <c:pt idx="12">
                  <c:v>6385154.4298733892</c:v>
                </c:pt>
                <c:pt idx="13">
                  <c:v>6297617.5459842086</c:v>
                </c:pt>
                <c:pt idx="14">
                  <c:v>6194784.1294355784</c:v>
                </c:pt>
                <c:pt idx="15">
                  <c:v>6089436.8715576306</c:v>
                </c:pt>
                <c:pt idx="16">
                  <c:v>5984704.5420713807</c:v>
                </c:pt>
                <c:pt idx="17">
                  <c:v>5881195.5012493907</c:v>
                </c:pt>
                <c:pt idx="18">
                  <c:v>5776638.3471656917</c:v>
                </c:pt>
                <c:pt idx="19">
                  <c:v>5671711.681065971</c:v>
                </c:pt>
                <c:pt idx="20">
                  <c:v>5570878.7752342317</c:v>
                </c:pt>
                <c:pt idx="21">
                  <c:v>5472913.6214109752</c:v>
                </c:pt>
                <c:pt idx="22">
                  <c:v>5368759.6835501026</c:v>
                </c:pt>
                <c:pt idx="23">
                  <c:v>5257304.8213377418</c:v>
                </c:pt>
                <c:pt idx="24">
                  <c:v>5152704.9116316196</c:v>
                </c:pt>
                <c:pt idx="25">
                  <c:v>5053653.306817987</c:v>
                </c:pt>
                <c:pt idx="26">
                  <c:v>4953590.7731993599</c:v>
                </c:pt>
                <c:pt idx="27">
                  <c:v>4855509.4816696336</c:v>
                </c:pt>
                <c:pt idx="28">
                  <c:v>4734772.7758845761</c:v>
                </c:pt>
                <c:pt idx="29">
                  <c:v>4617038.299253609</c:v>
                </c:pt>
                <c:pt idx="30">
                  <c:v>4525177.2020519543</c:v>
                </c:pt>
                <c:pt idx="31">
                  <c:v>4442982.0344152721</c:v>
                </c:pt>
                <c:pt idx="32">
                  <c:v>4385964.4959676927</c:v>
                </c:pt>
                <c:pt idx="33">
                  <c:v>4320295.9968160875</c:v>
                </c:pt>
                <c:pt idx="34">
                  <c:v>4228950.6625059582</c:v>
                </c:pt>
                <c:pt idx="35">
                  <c:v>4140752.6314559458</c:v>
                </c:pt>
                <c:pt idx="36">
                  <c:v>4055585.3393300157</c:v>
                </c:pt>
                <c:pt idx="37">
                  <c:v>3969448.3109817123</c:v>
                </c:pt>
                <c:pt idx="38">
                  <c:v>3918507.7107420657</c:v>
                </c:pt>
                <c:pt idx="39">
                  <c:v>3870895.6937094396</c:v>
                </c:pt>
                <c:pt idx="40">
                  <c:v>3788310.5242801327</c:v>
                </c:pt>
                <c:pt idx="41">
                  <c:v>3699883.3130971114</c:v>
                </c:pt>
                <c:pt idx="42">
                  <c:v>3609994.4512607199</c:v>
                </c:pt>
                <c:pt idx="43">
                  <c:v>3519885.3853946174</c:v>
                </c:pt>
                <c:pt idx="44">
                  <c:v>3434369.582783313</c:v>
                </c:pt>
                <c:pt idx="45">
                  <c:v>3351912.5344361831</c:v>
                </c:pt>
                <c:pt idx="46">
                  <c:v>3264108.0284703313</c:v>
                </c:pt>
                <c:pt idx="47">
                  <c:v>3179222.7802379774</c:v>
                </c:pt>
                <c:pt idx="48">
                  <c:v>3095941.9419982252</c:v>
                </c:pt>
                <c:pt idx="49">
                  <c:v>3011323.7447701828</c:v>
                </c:pt>
                <c:pt idx="50">
                  <c:v>2928448.6480309083</c:v>
                </c:pt>
                <c:pt idx="51">
                  <c:v>2842878.0196397519</c:v>
                </c:pt>
                <c:pt idx="52">
                  <c:v>2756596.5476968405</c:v>
                </c:pt>
                <c:pt idx="53">
                  <c:v>2671897.4001132501</c:v>
                </c:pt>
                <c:pt idx="54">
                  <c:v>2592564.9137524259</c:v>
                </c:pt>
                <c:pt idx="55">
                  <c:v>2517053.3143227436</c:v>
                </c:pt>
                <c:pt idx="56">
                  <c:v>2448495.4419481941</c:v>
                </c:pt>
                <c:pt idx="57">
                  <c:v>2388776.0409250674</c:v>
                </c:pt>
                <c:pt idx="58">
                  <c:v>2321453.878450017</c:v>
                </c:pt>
                <c:pt idx="59">
                  <c:v>2256029.0363945747</c:v>
                </c:pt>
                <c:pt idx="60">
                  <c:v>2194580.7747028936</c:v>
                </c:pt>
                <c:pt idx="61">
                  <c:v>2136884.8828655244</c:v>
                </c:pt>
                <c:pt idx="62">
                  <c:v>2080705.8255749997</c:v>
                </c:pt>
                <c:pt idx="63">
                  <c:v>2026003.7249999999</c:v>
                </c:pt>
                <c:pt idx="64">
                  <c:v>1974662.4999999998</c:v>
                </c:pt>
                <c:pt idx="65">
                  <c:v>1926500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3-434B-9D56-8F40E6C32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04048"/>
        <c:axId val="93639208"/>
      </c:lineChart>
      <c:catAx>
        <c:axId val="13110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639208"/>
        <c:crosses val="autoZero"/>
        <c:auto val="1"/>
        <c:lblAlgn val="ctr"/>
        <c:lblOffset val="100"/>
        <c:noMultiLvlLbl val="1"/>
      </c:catAx>
      <c:valAx>
        <c:axId val="93639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1040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Palina!$D$1:$D$67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-4.1000000000000003E-3</c:v>
                </c:pt>
                <c:pt idx="2">
                  <c:v>-5.4000000000000003E-3</c:v>
                </c:pt>
                <c:pt idx="3">
                  <c:v>-5.4999999999999997E-3</c:v>
                </c:pt>
                <c:pt idx="4">
                  <c:v>-4.1000000000000003E-3</c:v>
                </c:pt>
                <c:pt idx="5">
                  <c:v>-1.5E-3</c:v>
                </c:pt>
                <c:pt idx="6">
                  <c:v>5.0000000000000001E-4</c:v>
                </c:pt>
                <c:pt idx="7">
                  <c:v>1E-3</c:v>
                </c:pt>
                <c:pt idx="8">
                  <c:v>1.4E-3</c:v>
                </c:pt>
                <c:pt idx="9">
                  <c:v>2E-3</c:v>
                </c:pt>
                <c:pt idx="10">
                  <c:v>1.8E-3</c:v>
                </c:pt>
                <c:pt idx="11">
                  <c:v>1.9E-3</c:v>
                </c:pt>
                <c:pt idx="12">
                  <c:v>2.3999999999999998E-3</c:v>
                </c:pt>
                <c:pt idx="13">
                  <c:v>3.8E-3</c:v>
                </c:pt>
                <c:pt idx="14">
                  <c:v>5.4999999999999997E-3</c:v>
                </c:pt>
                <c:pt idx="15">
                  <c:v>7.1000000000000004E-3</c:v>
                </c:pt>
                <c:pt idx="16">
                  <c:v>7.0000000000000001E-3</c:v>
                </c:pt>
                <c:pt idx="17">
                  <c:v>5.7000000000000002E-3</c:v>
                </c:pt>
                <c:pt idx="18">
                  <c:v>5.1000000000000004E-3</c:v>
                </c:pt>
                <c:pt idx="19">
                  <c:v>4.4999999999999997E-3</c:v>
                </c:pt>
                <c:pt idx="20">
                  <c:v>3.8E-3</c:v>
                </c:pt>
                <c:pt idx="21">
                  <c:v>3.5000000000000001E-3</c:v>
                </c:pt>
                <c:pt idx="22">
                  <c:v>2.7000000000000001E-3</c:v>
                </c:pt>
                <c:pt idx="23">
                  <c:v>1.1999999999999999E-3</c:v>
                </c:pt>
                <c:pt idx="24">
                  <c:v>-8.0000000000000004E-4</c:v>
                </c:pt>
                <c:pt idx="25">
                  <c:v>-2.3E-3</c:v>
                </c:pt>
                <c:pt idx="26">
                  <c:v>-2.2000000000000001E-3</c:v>
                </c:pt>
                <c:pt idx="27">
                  <c:v>-1.5E-3</c:v>
                </c:pt>
                <c:pt idx="28">
                  <c:v>-1E-3</c:v>
                </c:pt>
                <c:pt idx="29">
                  <c:v>-2.9999999999999997E-4</c:v>
                </c:pt>
                <c:pt idx="30">
                  <c:v>8.9999999999999998E-4</c:v>
                </c:pt>
                <c:pt idx="31">
                  <c:v>2.7000000000000001E-3</c:v>
                </c:pt>
                <c:pt idx="32">
                  <c:v>3.8E-3</c:v>
                </c:pt>
                <c:pt idx="33">
                  <c:v>4.5999999999999999E-3</c:v>
                </c:pt>
                <c:pt idx="34">
                  <c:v>6.1000000000000004E-3</c:v>
                </c:pt>
                <c:pt idx="35">
                  <c:v>8.6999999999999994E-3</c:v>
                </c:pt>
                <c:pt idx="36">
                  <c:v>1.0800000000000001E-2</c:v>
                </c:pt>
                <c:pt idx="37">
                  <c:v>1.0699999999999999E-2</c:v>
                </c:pt>
                <c:pt idx="38">
                  <c:v>1.0800000000000001E-2</c:v>
                </c:pt>
                <c:pt idx="39">
                  <c:v>1.06E-2</c:v>
                </c:pt>
                <c:pt idx="40">
                  <c:v>2.8400000000000002E-2</c:v>
                </c:pt>
                <c:pt idx="41">
                  <c:v>3.7999999999999999E-2</c:v>
                </c:pt>
                <c:pt idx="42">
                  <c:v>1.3899999999999999E-2</c:v>
                </c:pt>
                <c:pt idx="43">
                  <c:v>2.9999999999999997E-4</c:v>
                </c:pt>
                <c:pt idx="44">
                  <c:v>-1.5E-3</c:v>
                </c:pt>
                <c:pt idx="45">
                  <c:v>-4.1999999999999997E-3</c:v>
                </c:pt>
                <c:pt idx="46">
                  <c:v>-8.8999999999999999E-3</c:v>
                </c:pt>
                <c:pt idx="47">
                  <c:v>-8.9999999999999993E-3</c:v>
                </c:pt>
                <c:pt idx="48">
                  <c:v>-4.3E-3</c:v>
                </c:pt>
                <c:pt idx="49">
                  <c:v>-6.3E-3</c:v>
                </c:pt>
                <c:pt idx="50">
                  <c:v>-7.4999999999999997E-3</c:v>
                </c:pt>
                <c:pt idx="51">
                  <c:v>-4.1000000000000003E-3</c:v>
                </c:pt>
                <c:pt idx="52">
                  <c:v>5.9999999999999995E-4</c:v>
                </c:pt>
                <c:pt idx="53">
                  <c:v>4.0000000000000001E-3</c:v>
                </c:pt>
                <c:pt idx="54">
                  <c:v>7.1999999999999998E-3</c:v>
                </c:pt>
                <c:pt idx="55">
                  <c:v>8.0999999999999996E-3</c:v>
                </c:pt>
                <c:pt idx="56">
                  <c:v>8.0000000000000002E-3</c:v>
                </c:pt>
                <c:pt idx="57">
                  <c:v>8.0000000000000002E-3</c:v>
                </c:pt>
                <c:pt idx="58">
                  <c:v>8.0000000000000002E-3</c:v>
                </c:pt>
                <c:pt idx="59">
                  <c:v>8.0000000000000002E-3</c:v>
                </c:pt>
                <c:pt idx="60">
                  <c:v>7.0000000000000001E-3</c:v>
                </c:pt>
                <c:pt idx="61">
                  <c:v>7.0000000000000001E-3</c:v>
                </c:pt>
                <c:pt idx="62">
                  <c:v>7.0000000000000001E-3</c:v>
                </c:pt>
                <c:pt idx="63">
                  <c:v>7.0000000000000001E-3</c:v>
                </c:pt>
                <c:pt idx="64">
                  <c:v>7.0000000000000001E-3</c:v>
                </c:pt>
                <c:pt idx="65">
                  <c:v>7.0000000000000001E-3</c:v>
                </c:pt>
                <c:pt idx="66">
                  <c:v>8.0000000000000002E-3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DF-4C4B-B932-F23CE1A5B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767545"/>
        <c:axId val="949387822"/>
      </c:lineChart>
      <c:catAx>
        <c:axId val="1714767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9387822"/>
        <c:crosses val="autoZero"/>
        <c:auto val="1"/>
        <c:lblAlgn val="ctr"/>
        <c:lblOffset val="100"/>
        <c:noMultiLvlLbl val="1"/>
      </c:catAx>
      <c:valAx>
        <c:axId val="949387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47675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Palina!$C$1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Palina!$C$2:$C$67</c:f>
              <c:numCache>
                <c:formatCode>#,##0</c:formatCode>
                <c:ptCount val="66"/>
                <c:pt idx="0">
                  <c:v>3191757.8986496688</c:v>
                </c:pt>
                <c:pt idx="1">
                  <c:v>3204897.9803691823</c:v>
                </c:pt>
                <c:pt idx="2">
                  <c:v>3222298.3916842774</c:v>
                </c:pt>
                <c:pt idx="3">
                  <c:v>3240119.0464396956</c:v>
                </c:pt>
                <c:pt idx="4">
                  <c:v>3253458.2251628633</c:v>
                </c:pt>
                <c:pt idx="5">
                  <c:v>3258345.743778531</c:v>
                </c:pt>
                <c:pt idx="6">
                  <c:v>3256717.3850859883</c:v>
                </c:pt>
                <c:pt idx="7">
                  <c:v>3253463.9211648237</c:v>
                </c:pt>
                <c:pt idx="8">
                  <c:v>3248915.439549454</c:v>
                </c:pt>
                <c:pt idx="9">
                  <c:v>3242430.5783926686</c:v>
                </c:pt>
                <c:pt idx="10">
                  <c:v>3236604.6899507572</c:v>
                </c:pt>
                <c:pt idx="11">
                  <c:v>3230466.8030250096</c:v>
                </c:pt>
                <c:pt idx="12">
                  <c:v>3222732.2456354843</c:v>
                </c:pt>
                <c:pt idx="13">
                  <c:v>3210532.2231873721</c:v>
                </c:pt>
                <c:pt idx="14">
                  <c:v>3192970.8833290623</c:v>
                </c:pt>
                <c:pt idx="15">
                  <c:v>3170460.6129769259</c:v>
                </c:pt>
                <c:pt idx="16">
                  <c:v>3148421.661347494</c:v>
                </c:pt>
                <c:pt idx="17">
                  <c:v>3130577.3703365754</c:v>
                </c:pt>
                <c:pt idx="18">
                  <c:v>3114692.4388981941</c:v>
                </c:pt>
                <c:pt idx="19">
                  <c:v>3100739.1128901886</c:v>
                </c:pt>
                <c:pt idx="20">
                  <c:v>3089000.9094343381</c:v>
                </c:pt>
                <c:pt idx="21">
                  <c:v>3078227.1145334709</c:v>
                </c:pt>
                <c:pt idx="22">
                  <c:v>3069938.2811743007</c:v>
                </c:pt>
                <c:pt idx="23">
                  <c:v>3066258.7706495211</c:v>
                </c:pt>
                <c:pt idx="24">
                  <c:v>3068713.7416428356</c:v>
                </c:pt>
                <c:pt idx="25">
                  <c:v>3075788.0541674206</c:v>
                </c:pt>
                <c:pt idx="26">
                  <c:v>3082569.7075239732</c:v>
                </c:pt>
                <c:pt idx="27">
                  <c:v>3087200.5082864026</c:v>
                </c:pt>
                <c:pt idx="28">
                  <c:v>3090290.7990854881</c:v>
                </c:pt>
                <c:pt idx="29">
                  <c:v>3091218.1645348486</c:v>
                </c:pt>
                <c:pt idx="30">
                  <c:v>3088438.5698220092</c:v>
                </c:pt>
                <c:pt idx="31">
                  <c:v>3080122.2397746178</c:v>
                </c:pt>
                <c:pt idx="32">
                  <c:v>3068462.0838559652</c:v>
                </c:pt>
                <c:pt idx="33">
                  <c:v>3054411.7896236964</c:v>
                </c:pt>
                <c:pt idx="34">
                  <c:v>3035892.8432796905</c:v>
                </c:pt>
                <c:pt idx="35">
                  <c:v>3009708.3803704674</c:v>
                </c:pt>
                <c:pt idx="36">
                  <c:v>2977550.8313914402</c:v>
                </c:pt>
                <c:pt idx="37">
                  <c:v>2946028.3282788568</c:v>
                </c:pt>
                <c:pt idx="38">
                  <c:v>2914551.1755825654</c:v>
                </c:pt>
                <c:pt idx="39">
                  <c:v>2883980.9772239914</c:v>
                </c:pt>
                <c:pt idx="40">
                  <c:v>2804337.7841540175</c:v>
                </c:pt>
                <c:pt idx="41">
                  <c:v>2701674.1658516545</c:v>
                </c:pt>
                <c:pt idx="42">
                  <c:v>2664635.7292155582</c:v>
                </c:pt>
                <c:pt idx="43">
                  <c:v>2663836.5782420854</c:v>
                </c:pt>
                <c:pt idx="44">
                  <c:v>2667838.3357457039</c:v>
                </c:pt>
                <c:pt idx="45">
                  <c:v>2679090.5159125365</c:v>
                </c:pt>
                <c:pt idx="46">
                  <c:v>2703148.5378998453</c:v>
                </c:pt>
                <c:pt idx="47">
                  <c:v>2727697.8182642232</c:v>
                </c:pt>
                <c:pt idx="48">
                  <c:v>2739477.5718230624</c:v>
                </c:pt>
                <c:pt idx="49">
                  <c:v>2756845.69973137</c:v>
                </c:pt>
                <c:pt idx="50">
                  <c:v>2777678.2868829924</c:v>
                </c:pt>
                <c:pt idx="51">
                  <c:v>2789113.6528597171</c:v>
                </c:pt>
                <c:pt idx="52">
                  <c:v>2787441.1881468291</c:v>
                </c:pt>
                <c:pt idx="53">
                  <c:v>2776335.8447677582</c:v>
                </c:pt>
                <c:pt idx="54">
                  <c:v>2756489.1230815705</c:v>
                </c:pt>
                <c:pt idx="55">
                  <c:v>2734340.9612950804</c:v>
                </c:pt>
                <c:pt idx="56">
                  <c:v>2712639.8425546433</c:v>
                </c:pt>
                <c:pt idx="57">
                  <c:v>2691110.9549153205</c:v>
                </c:pt>
                <c:pt idx="58">
                  <c:v>2669752.9314636118</c:v>
                </c:pt>
                <c:pt idx="59">
                  <c:v>2648564.4161345353</c:v>
                </c:pt>
                <c:pt idx="60">
                  <c:v>2630153.3427353879</c:v>
                </c:pt>
                <c:pt idx="61">
                  <c:v>2611870.2509785383</c:v>
                </c:pt>
                <c:pt idx="62">
                  <c:v>2593714.2512199986</c:v>
                </c:pt>
                <c:pt idx="63">
                  <c:v>2575684.459999999</c:v>
                </c:pt>
                <c:pt idx="64">
                  <c:v>2557779.9999999995</c:v>
                </c:pt>
                <c:pt idx="65">
                  <c:v>2540000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3-4B46-ACD2-E66C66F4B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098712"/>
        <c:axId val="1573828635"/>
      </c:lineChart>
      <c:catAx>
        <c:axId val="1800098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3828635"/>
        <c:crosses val="autoZero"/>
        <c:auto val="1"/>
        <c:lblAlgn val="ctr"/>
        <c:lblOffset val="100"/>
        <c:noMultiLvlLbl val="1"/>
      </c:catAx>
      <c:valAx>
        <c:axId val="1573828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00987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Peka!$D$1:$D$67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4.8999999999999998E-3</c:v>
                </c:pt>
                <c:pt idx="2">
                  <c:v>4.7999999999999996E-3</c:v>
                </c:pt>
                <c:pt idx="3">
                  <c:v>4.7000000000000002E-3</c:v>
                </c:pt>
                <c:pt idx="4">
                  <c:v>4.4999999999999997E-3</c:v>
                </c:pt>
                <c:pt idx="5">
                  <c:v>4.4000000000000003E-3</c:v>
                </c:pt>
                <c:pt idx="6">
                  <c:v>4.4000000000000003E-3</c:v>
                </c:pt>
                <c:pt idx="7">
                  <c:v>4.5999999999999999E-3</c:v>
                </c:pt>
                <c:pt idx="8">
                  <c:v>4.7999999999999996E-3</c:v>
                </c:pt>
                <c:pt idx="9">
                  <c:v>5.0000000000000001E-3</c:v>
                </c:pt>
                <c:pt idx="10">
                  <c:v>5.1999999999999998E-3</c:v>
                </c:pt>
                <c:pt idx="11">
                  <c:v>5.7999999999999996E-3</c:v>
                </c:pt>
                <c:pt idx="12">
                  <c:v>6.7999999999999996E-3</c:v>
                </c:pt>
                <c:pt idx="13">
                  <c:v>6.1000000000000004E-3</c:v>
                </c:pt>
                <c:pt idx="14">
                  <c:v>5.4000000000000003E-3</c:v>
                </c:pt>
                <c:pt idx="15">
                  <c:v>6.3E-3</c:v>
                </c:pt>
                <c:pt idx="16">
                  <c:v>7.1000000000000004E-3</c:v>
                </c:pt>
                <c:pt idx="17">
                  <c:v>7.9000000000000008E-3</c:v>
                </c:pt>
                <c:pt idx="18">
                  <c:v>8.6E-3</c:v>
                </c:pt>
                <c:pt idx="19">
                  <c:v>9.4000000000000004E-3</c:v>
                </c:pt>
                <c:pt idx="20">
                  <c:v>9.9000000000000008E-3</c:v>
                </c:pt>
                <c:pt idx="21">
                  <c:v>1.2200000000000001E-2</c:v>
                </c:pt>
                <c:pt idx="22">
                  <c:v>1.44E-2</c:v>
                </c:pt>
                <c:pt idx="23">
                  <c:v>1.47E-2</c:v>
                </c:pt>
                <c:pt idx="24">
                  <c:v>1.49E-2</c:v>
                </c:pt>
                <c:pt idx="25">
                  <c:v>1.49E-2</c:v>
                </c:pt>
                <c:pt idx="26">
                  <c:v>1.47E-2</c:v>
                </c:pt>
                <c:pt idx="27">
                  <c:v>1.46E-2</c:v>
                </c:pt>
                <c:pt idx="28">
                  <c:v>1.46E-2</c:v>
                </c:pt>
                <c:pt idx="29">
                  <c:v>1.47E-2</c:v>
                </c:pt>
                <c:pt idx="30">
                  <c:v>1.47E-2</c:v>
                </c:pt>
                <c:pt idx="31">
                  <c:v>1.47E-2</c:v>
                </c:pt>
                <c:pt idx="32">
                  <c:v>1.47E-2</c:v>
                </c:pt>
                <c:pt idx="33">
                  <c:v>1.46E-2</c:v>
                </c:pt>
                <c:pt idx="34">
                  <c:v>1.4800000000000001E-2</c:v>
                </c:pt>
                <c:pt idx="35">
                  <c:v>1.44E-2</c:v>
                </c:pt>
                <c:pt idx="36">
                  <c:v>1.4E-2</c:v>
                </c:pt>
                <c:pt idx="37">
                  <c:v>1.3899999999999999E-2</c:v>
                </c:pt>
                <c:pt idx="38">
                  <c:v>1.38E-2</c:v>
                </c:pt>
                <c:pt idx="39">
                  <c:v>1.44E-2</c:v>
                </c:pt>
                <c:pt idx="40">
                  <c:v>1.5900000000000001E-2</c:v>
                </c:pt>
                <c:pt idx="41">
                  <c:v>1.77E-2</c:v>
                </c:pt>
                <c:pt idx="42">
                  <c:v>1.95E-2</c:v>
                </c:pt>
                <c:pt idx="43">
                  <c:v>2.3199999999999998E-2</c:v>
                </c:pt>
                <c:pt idx="44">
                  <c:v>2.5499999999999998E-2</c:v>
                </c:pt>
                <c:pt idx="45">
                  <c:v>2.5999999999999999E-2</c:v>
                </c:pt>
                <c:pt idx="46">
                  <c:v>2.7099999999999999E-2</c:v>
                </c:pt>
                <c:pt idx="47">
                  <c:v>2.76E-2</c:v>
                </c:pt>
                <c:pt idx="48">
                  <c:v>2.8799999999999999E-2</c:v>
                </c:pt>
                <c:pt idx="49">
                  <c:v>2.8299999999999999E-2</c:v>
                </c:pt>
                <c:pt idx="50">
                  <c:v>2.6100000000000002E-2</c:v>
                </c:pt>
                <c:pt idx="51">
                  <c:v>2.52E-2</c:v>
                </c:pt>
                <c:pt idx="52">
                  <c:v>2.5399999999999999E-2</c:v>
                </c:pt>
                <c:pt idx="53">
                  <c:v>2.4500000000000001E-2</c:v>
                </c:pt>
                <c:pt idx="54">
                  <c:v>2.24E-2</c:v>
                </c:pt>
                <c:pt idx="55">
                  <c:v>2.2599999999999999E-2</c:v>
                </c:pt>
                <c:pt idx="56">
                  <c:v>2.7E-2</c:v>
                </c:pt>
                <c:pt idx="57">
                  <c:v>0.03</c:v>
                </c:pt>
                <c:pt idx="58">
                  <c:v>3.5000000000000003E-2</c:v>
                </c:pt>
                <c:pt idx="59">
                  <c:v>0.04</c:v>
                </c:pt>
                <c:pt idx="60">
                  <c:v>4.4999999999999998E-2</c:v>
                </c:pt>
                <c:pt idx="61">
                  <c:v>0.04</c:v>
                </c:pt>
                <c:pt idx="62">
                  <c:v>3.5000000000000003E-2</c:v>
                </c:pt>
                <c:pt idx="63">
                  <c:v>-0.01</c:v>
                </c:pt>
                <c:pt idx="64">
                  <c:v>-0.02</c:v>
                </c:pt>
                <c:pt idx="65">
                  <c:v>-0.03</c:v>
                </c:pt>
                <c:pt idx="66">
                  <c:v>-0.05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FD-40B6-AAAB-907288C8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990772"/>
        <c:axId val="2141193044"/>
      </c:lineChart>
      <c:catAx>
        <c:axId val="997990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1193044"/>
        <c:crosses val="autoZero"/>
        <c:auto val="1"/>
        <c:lblAlgn val="ctr"/>
        <c:lblOffset val="100"/>
        <c:noMultiLvlLbl val="1"/>
      </c:catAx>
      <c:valAx>
        <c:axId val="2141193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79907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Peka!$C$1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Peka!$C$2:$C$67</c:f>
              <c:numCache>
                <c:formatCode>#,##0</c:formatCode>
                <c:ptCount val="66"/>
                <c:pt idx="0">
                  <c:v>1300137.5440681532</c:v>
                </c:pt>
                <c:pt idx="1">
                  <c:v>1293797.9341906193</c:v>
                </c:pt>
                <c:pt idx="2">
                  <c:v>1287617.3708107278</c:v>
                </c:pt>
                <c:pt idx="3">
                  <c:v>1281593.8795767173</c:v>
                </c:pt>
                <c:pt idx="4">
                  <c:v>1275852.5431326206</c:v>
                </c:pt>
                <c:pt idx="5">
                  <c:v>1270263.3842419561</c:v>
                </c:pt>
                <c:pt idx="6">
                  <c:v>1264698.7099183155</c:v>
                </c:pt>
                <c:pt idx="7">
                  <c:v>1258907.7343403499</c:v>
                </c:pt>
                <c:pt idx="8">
                  <c:v>1252893.8438896795</c:v>
                </c:pt>
                <c:pt idx="9">
                  <c:v>1246660.5411837609</c:v>
                </c:pt>
                <c:pt idx="10">
                  <c:v>1240211.4416869883</c:v>
                </c:pt>
                <c:pt idx="11">
                  <c:v>1233059.6954533588</c:v>
                </c:pt>
                <c:pt idx="12">
                  <c:v>1224731.5211098122</c:v>
                </c:pt>
                <c:pt idx="13">
                  <c:v>1217305.9547856199</c:v>
                </c:pt>
                <c:pt idx="14">
                  <c:v>1210767.8086190769</c:v>
                </c:pt>
                <c:pt idx="15">
                  <c:v>1203187.7259456194</c:v>
                </c:pt>
                <c:pt idx="16">
                  <c:v>1194705.3181864952</c:v>
                </c:pt>
                <c:pt idx="17">
                  <c:v>1185341.1233123278</c:v>
                </c:pt>
                <c:pt idx="18">
                  <c:v>1175234.109966615</c:v>
                </c:pt>
                <c:pt idx="19">
                  <c:v>1164289.7859784178</c:v>
                </c:pt>
                <c:pt idx="20">
                  <c:v>1152876.3105044239</c:v>
                </c:pt>
                <c:pt idx="21">
                  <c:v>1138980.7454104167</c:v>
                </c:pt>
                <c:pt idx="22">
                  <c:v>1122812.2490244645</c:v>
                </c:pt>
                <c:pt idx="23">
                  <c:v>1106546.0224938057</c:v>
                </c:pt>
                <c:pt idx="24">
                  <c:v>1090300.5443825065</c:v>
                </c:pt>
                <c:pt idx="25">
                  <c:v>1074293.5701867244</c:v>
                </c:pt>
                <c:pt idx="26">
                  <c:v>1058730.2357216168</c:v>
                </c:pt>
                <c:pt idx="27">
                  <c:v>1043495.2057181321</c:v>
                </c:pt>
                <c:pt idx="28">
                  <c:v>1028479.4063849124</c:v>
                </c:pt>
                <c:pt idx="29">
                  <c:v>1013579.7835664852</c:v>
                </c:pt>
                <c:pt idx="30">
                  <c:v>998896.01218733145</c:v>
                </c:pt>
                <c:pt idx="31">
                  <c:v>984424.96519890754</c:v>
                </c:pt>
                <c:pt idx="32">
                  <c:v>970163.5608543487</c:v>
                </c:pt>
                <c:pt idx="33">
                  <c:v>956202.99709673645</c:v>
                </c:pt>
                <c:pt idx="34">
                  <c:v>942257.58484108839</c:v>
                </c:pt>
                <c:pt idx="35">
                  <c:v>928881.68852630956</c:v>
                </c:pt>
                <c:pt idx="36">
                  <c:v>916056.89203778061</c:v>
                </c:pt>
                <c:pt idx="37">
                  <c:v>903498.26613845606</c:v>
                </c:pt>
                <c:pt idx="38">
                  <c:v>891199.71013854409</c:v>
                </c:pt>
                <c:pt idx="39">
                  <c:v>878548.61015235027</c:v>
                </c:pt>
                <c:pt idx="40">
                  <c:v>864798.31691342674</c:v>
                </c:pt>
                <c:pt idx="41">
                  <c:v>849757.607264839</c:v>
                </c:pt>
                <c:pt idx="42">
                  <c:v>833504.27392333397</c:v>
                </c:pt>
                <c:pt idx="43">
                  <c:v>814605.42799387593</c:v>
                </c:pt>
                <c:pt idx="44">
                  <c:v>794349.51535238989</c:v>
                </c:pt>
                <c:pt idx="45">
                  <c:v>774219.80053839169</c:v>
                </c:pt>
                <c:pt idx="46">
                  <c:v>753792.03635321953</c:v>
                </c:pt>
                <c:pt idx="47">
                  <c:v>733546.16227444483</c:v>
                </c:pt>
                <c:pt idx="48">
                  <c:v>713011.43300393166</c:v>
                </c:pt>
                <c:pt idx="49">
                  <c:v>693388.53739563515</c:v>
                </c:pt>
                <c:pt idx="50">
                  <c:v>675751.42519796814</c:v>
                </c:pt>
                <c:pt idx="51">
                  <c:v>659141.07022821717</c:v>
                </c:pt>
                <c:pt idx="52">
                  <c:v>642813.60466960899</c:v>
                </c:pt>
                <c:pt idx="53">
                  <c:v>627441.29299132165</c:v>
                </c:pt>
                <c:pt idx="54">
                  <c:v>613694.53539839759</c:v>
                </c:pt>
                <c:pt idx="55">
                  <c:v>600131.56209504954</c:v>
                </c:pt>
                <c:pt idx="56">
                  <c:v>584354.00398739008</c:v>
                </c:pt>
                <c:pt idx="57">
                  <c:v>567333.98445377673</c:v>
                </c:pt>
                <c:pt idx="58">
                  <c:v>548148.77725002589</c:v>
                </c:pt>
                <c:pt idx="59">
                  <c:v>527066.13197117869</c:v>
                </c:pt>
                <c:pt idx="60">
                  <c:v>504369.50427863991</c:v>
                </c:pt>
                <c:pt idx="61">
                  <c:v>484970.67719099991</c:v>
                </c:pt>
                <c:pt idx="62">
                  <c:v>468570.70259999996</c:v>
                </c:pt>
                <c:pt idx="63">
                  <c:v>473303.74</c:v>
                </c:pt>
                <c:pt idx="64">
                  <c:v>482963</c:v>
                </c:pt>
                <c:pt idx="65">
                  <c:v>497900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A-4728-91CA-F00ABB9B2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025465"/>
        <c:axId val="1003463308"/>
      </c:lineChart>
      <c:catAx>
        <c:axId val="27402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3463308"/>
        <c:crosses val="autoZero"/>
        <c:auto val="1"/>
        <c:lblAlgn val="ctr"/>
        <c:lblOffset val="100"/>
        <c:noMultiLvlLbl val="1"/>
      </c:catAx>
      <c:valAx>
        <c:axId val="1003463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40254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Pelan!$D$1:$D$67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1.38E-2</c:v>
                </c:pt>
                <c:pt idx="2">
                  <c:v>1.4200000000000001E-2</c:v>
                </c:pt>
                <c:pt idx="3">
                  <c:v>1.4500000000000001E-2</c:v>
                </c:pt>
                <c:pt idx="4">
                  <c:v>1.4800000000000001E-2</c:v>
                </c:pt>
                <c:pt idx="5">
                  <c:v>1.5100000000000001E-2</c:v>
                </c:pt>
                <c:pt idx="6">
                  <c:v>1.5299999999999999E-2</c:v>
                </c:pt>
                <c:pt idx="7">
                  <c:v>1.5599999999999999E-2</c:v>
                </c:pt>
                <c:pt idx="8">
                  <c:v>1.5800000000000002E-2</c:v>
                </c:pt>
                <c:pt idx="9">
                  <c:v>1.6E-2</c:v>
                </c:pt>
                <c:pt idx="10">
                  <c:v>1.61E-2</c:v>
                </c:pt>
                <c:pt idx="11">
                  <c:v>1.6199999999999999E-2</c:v>
                </c:pt>
                <c:pt idx="12">
                  <c:v>1.6400000000000001E-2</c:v>
                </c:pt>
                <c:pt idx="13">
                  <c:v>1.6500000000000001E-2</c:v>
                </c:pt>
                <c:pt idx="14">
                  <c:v>1.67E-2</c:v>
                </c:pt>
                <c:pt idx="15">
                  <c:v>1.7000000000000001E-2</c:v>
                </c:pt>
                <c:pt idx="16">
                  <c:v>1.72E-2</c:v>
                </c:pt>
                <c:pt idx="17">
                  <c:v>1.7500000000000002E-2</c:v>
                </c:pt>
                <c:pt idx="18">
                  <c:v>1.78E-2</c:v>
                </c:pt>
                <c:pt idx="19">
                  <c:v>1.7999999999999999E-2</c:v>
                </c:pt>
                <c:pt idx="20">
                  <c:v>1.83E-2</c:v>
                </c:pt>
                <c:pt idx="21">
                  <c:v>1.8499999999999999E-2</c:v>
                </c:pt>
                <c:pt idx="22">
                  <c:v>1.8800000000000001E-2</c:v>
                </c:pt>
                <c:pt idx="23">
                  <c:v>1.9099999999999999E-2</c:v>
                </c:pt>
                <c:pt idx="24">
                  <c:v>1.9400000000000001E-2</c:v>
                </c:pt>
                <c:pt idx="25">
                  <c:v>1.9800000000000002E-2</c:v>
                </c:pt>
                <c:pt idx="26">
                  <c:v>2.01E-2</c:v>
                </c:pt>
                <c:pt idx="27">
                  <c:v>2.0400000000000001E-2</c:v>
                </c:pt>
                <c:pt idx="28">
                  <c:v>2.0899999999999998E-2</c:v>
                </c:pt>
                <c:pt idx="29">
                  <c:v>2.1399999999999999E-2</c:v>
                </c:pt>
                <c:pt idx="30">
                  <c:v>2.1999999999999999E-2</c:v>
                </c:pt>
                <c:pt idx="31">
                  <c:v>2.2800000000000001E-2</c:v>
                </c:pt>
                <c:pt idx="32">
                  <c:v>2.3400000000000001E-2</c:v>
                </c:pt>
                <c:pt idx="33">
                  <c:v>2.3599999999999999E-2</c:v>
                </c:pt>
                <c:pt idx="34">
                  <c:v>2.3400000000000001E-2</c:v>
                </c:pt>
                <c:pt idx="35">
                  <c:v>2.2800000000000001E-2</c:v>
                </c:pt>
                <c:pt idx="36">
                  <c:v>2.1999999999999999E-2</c:v>
                </c:pt>
                <c:pt idx="37">
                  <c:v>2.1299999999999999E-2</c:v>
                </c:pt>
                <c:pt idx="38">
                  <c:v>2.0500000000000001E-2</c:v>
                </c:pt>
                <c:pt idx="39">
                  <c:v>1.9599999999999999E-2</c:v>
                </c:pt>
                <c:pt idx="40">
                  <c:v>1.89E-2</c:v>
                </c:pt>
                <c:pt idx="41">
                  <c:v>1.7999999999999999E-2</c:v>
                </c:pt>
                <c:pt idx="42">
                  <c:v>1.72E-2</c:v>
                </c:pt>
                <c:pt idx="43">
                  <c:v>1.67E-2</c:v>
                </c:pt>
                <c:pt idx="44">
                  <c:v>1.67E-2</c:v>
                </c:pt>
                <c:pt idx="45">
                  <c:v>1.72E-2</c:v>
                </c:pt>
                <c:pt idx="46">
                  <c:v>1.78E-2</c:v>
                </c:pt>
                <c:pt idx="47">
                  <c:v>1.84E-2</c:v>
                </c:pt>
                <c:pt idx="48">
                  <c:v>1.89E-2</c:v>
                </c:pt>
                <c:pt idx="49">
                  <c:v>1.9199999999999998E-2</c:v>
                </c:pt>
                <c:pt idx="50">
                  <c:v>1.9199999999999998E-2</c:v>
                </c:pt>
                <c:pt idx="51">
                  <c:v>1.9199999999999998E-2</c:v>
                </c:pt>
                <c:pt idx="52">
                  <c:v>1.9300000000000001E-2</c:v>
                </c:pt>
                <c:pt idx="53">
                  <c:v>1.9400000000000001E-2</c:v>
                </c:pt>
                <c:pt idx="54">
                  <c:v>1.9400000000000001E-2</c:v>
                </c:pt>
                <c:pt idx="55">
                  <c:v>1.9400000000000001E-2</c:v>
                </c:pt>
                <c:pt idx="56">
                  <c:v>1.9E-2</c:v>
                </c:pt>
                <c:pt idx="57">
                  <c:v>1.9E-2</c:v>
                </c:pt>
                <c:pt idx="58">
                  <c:v>1.9E-2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1.9E-2</c:v>
                </c:pt>
                <c:pt idx="63">
                  <c:v>1.7999999999999999E-2</c:v>
                </c:pt>
                <c:pt idx="64">
                  <c:v>1.7999999999999999E-2</c:v>
                </c:pt>
                <c:pt idx="65">
                  <c:v>1.7999999999999999E-2</c:v>
                </c:pt>
                <c:pt idx="66">
                  <c:v>1.7000000000000001E-2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C2-4D79-A2C3-487C153D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609644"/>
        <c:axId val="15513894"/>
      </c:lineChart>
      <c:catAx>
        <c:axId val="236609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13894"/>
        <c:crosses val="autoZero"/>
        <c:auto val="1"/>
        <c:lblAlgn val="ctr"/>
        <c:lblOffset val="100"/>
        <c:noMultiLvlLbl val="1"/>
      </c:catAx>
      <c:valAx>
        <c:axId val="1551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660964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Pelan!$C$1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Pelan!$C$2:$C$67</c:f>
              <c:numCache>
                <c:formatCode>#,##0</c:formatCode>
                <c:ptCount val="66"/>
                <c:pt idx="0">
                  <c:v>13191993.987316495</c:v>
                </c:pt>
                <c:pt idx="1">
                  <c:v>13012422.5560431</c:v>
                </c:pt>
                <c:pt idx="2">
                  <c:v>12830233.243978603</c:v>
                </c:pt>
                <c:pt idx="3">
                  <c:v>12646853.862965602</c:v>
                </c:pt>
                <c:pt idx="4">
                  <c:v>12462410.192122195</c:v>
                </c:pt>
                <c:pt idx="5">
                  <c:v>12277027.083166383</c:v>
                </c:pt>
                <c:pt idx="6">
                  <c:v>12092019.189566022</c:v>
                </c:pt>
                <c:pt idx="7">
                  <c:v>11906281.202802306</c:v>
                </c:pt>
                <c:pt idx="8">
                  <c:v>11721088.012209397</c:v>
                </c:pt>
                <c:pt idx="9">
                  <c:v>11536503.949024996</c:v>
                </c:pt>
                <c:pt idx="10">
                  <c:v>11353709.230415309</c:v>
                </c:pt>
                <c:pt idx="11">
                  <c:v>11172711.307238052</c:v>
                </c:pt>
                <c:pt idx="12">
                  <c:v>10992435.367215713</c:v>
                </c:pt>
                <c:pt idx="13">
                  <c:v>10814004.29632633</c:v>
                </c:pt>
                <c:pt idx="14">
                  <c:v>10636376.803704467</c:v>
                </c:pt>
                <c:pt idx="15">
                  <c:v>10458580.927929664</c:v>
                </c:pt>
                <c:pt idx="16">
                  <c:v>10281735.084476665</c:v>
                </c:pt>
                <c:pt idx="17">
                  <c:v>10104899.345923012</c:v>
                </c:pt>
                <c:pt idx="18">
                  <c:v>9928177.7814138457</c:v>
                </c:pt>
                <c:pt idx="19">
                  <c:v>9752630.4336088859</c:v>
                </c:pt>
                <c:pt idx="20">
                  <c:v>9577364.6603249405</c:v>
                </c:pt>
                <c:pt idx="21">
                  <c:v>9403401.7283504568</c:v>
                </c:pt>
                <c:pt idx="22">
                  <c:v>9229879.9846392404</c:v>
                </c:pt>
                <c:pt idx="23">
                  <c:v>9056893.3221854977</c:v>
                </c:pt>
                <c:pt idx="24">
                  <c:v>8884533.3747160062</c:v>
                </c:pt>
                <c:pt idx="25">
                  <c:v>8712035.0801294427</c:v>
                </c:pt>
                <c:pt idx="26">
                  <c:v>8540373.5713454001</c:v>
                </c:pt>
                <c:pt idx="27">
                  <c:v>8369633.0569829475</c:v>
                </c:pt>
                <c:pt idx="28">
                  <c:v>8198288.8206317443</c:v>
                </c:pt>
                <c:pt idx="29">
                  <c:v>8026521.2655489948</c:v>
                </c:pt>
                <c:pt idx="30">
                  <c:v>7853739.0073864916</c:v>
                </c:pt>
                <c:pt idx="31">
                  <c:v>7678665.4354580482</c:v>
                </c:pt>
                <c:pt idx="32">
                  <c:v>7503093.0579031147</c:v>
                </c:pt>
                <c:pt idx="33">
                  <c:v>7330102.6357005807</c:v>
                </c:pt>
                <c:pt idx="34">
                  <c:v>7162500.132597792</c:v>
                </c:pt>
                <c:pt idx="35">
                  <c:v>7002835.4835723434</c:v>
                </c:pt>
                <c:pt idx="36">
                  <c:v>6852089.5142586529</c:v>
                </c:pt>
                <c:pt idx="37">
                  <c:v>6709183.8972472847</c:v>
                </c:pt>
                <c:pt idx="38">
                  <c:v>6574408.5225353111</c:v>
                </c:pt>
                <c:pt idx="39">
                  <c:v>6448027.1896187821</c:v>
                </c:pt>
                <c:pt idx="40">
                  <c:v>6328420.0506612845</c:v>
                </c:pt>
                <c:pt idx="41">
                  <c:v>6216522.6430857414</c:v>
                </c:pt>
                <c:pt idx="42">
                  <c:v>6111406.4521094579</c:v>
                </c:pt>
                <c:pt idx="43">
                  <c:v>6011022.3783903392</c:v>
                </c:pt>
                <c:pt idx="44">
                  <c:v>5912287.1824435322</c:v>
                </c:pt>
                <c:pt idx="45">
                  <c:v>5812315.3582810964</c:v>
                </c:pt>
                <c:pt idx="46">
                  <c:v>5710665.5121645667</c:v>
                </c:pt>
                <c:pt idx="47">
                  <c:v>5607487.7377892444</c:v>
                </c:pt>
                <c:pt idx="48">
                  <c:v>5503472.1148191625</c:v>
                </c:pt>
                <c:pt idx="49">
                  <c:v>5399796.0310235107</c:v>
                </c:pt>
                <c:pt idx="50">
                  <c:v>5298073.028869221</c:v>
                </c:pt>
                <c:pt idx="51">
                  <c:v>5198266.3156095175</c:v>
                </c:pt>
                <c:pt idx="52">
                  <c:v>5099839.4149019103</c:v>
                </c:pt>
                <c:pt idx="53">
                  <c:v>5002785.3785578869</c:v>
                </c:pt>
                <c:pt idx="54">
                  <c:v>4907578.3584048329</c:v>
                </c:pt>
                <c:pt idx="55">
                  <c:v>4814183.2042425275</c:v>
                </c:pt>
                <c:pt idx="56">
                  <c:v>4724419.2387070935</c:v>
                </c:pt>
                <c:pt idx="57">
                  <c:v>4636328.987936304</c:v>
                </c:pt>
                <c:pt idx="58">
                  <c:v>4549881.2442947049</c:v>
                </c:pt>
                <c:pt idx="59">
                  <c:v>4465045.382036021</c:v>
                </c:pt>
                <c:pt idx="60">
                  <c:v>4381791.3464534068</c:v>
                </c:pt>
                <c:pt idx="61">
                  <c:v>4300089.6432319991</c:v>
                </c:pt>
                <c:pt idx="62">
                  <c:v>4219911.3279999997</c:v>
                </c:pt>
                <c:pt idx="63">
                  <c:v>4145296</c:v>
                </c:pt>
                <c:pt idx="64">
                  <c:v>4072000</c:v>
                </c:pt>
                <c:pt idx="65">
                  <c:v>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F-41BD-96EF-DB293B06D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6351141"/>
        <c:axId val="188660484"/>
      </c:lineChart>
      <c:catAx>
        <c:axId val="176635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660484"/>
        <c:crosses val="autoZero"/>
        <c:auto val="1"/>
        <c:lblAlgn val="ctr"/>
        <c:lblOffset val="100"/>
        <c:noMultiLvlLbl val="1"/>
      </c:catAx>
      <c:valAx>
        <c:axId val="188660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63511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Pelines!$D$1:$D$67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2.5399999999999999E-2</c:v>
                </c:pt>
                <c:pt idx="2">
                  <c:v>2.64E-2</c:v>
                </c:pt>
                <c:pt idx="3">
                  <c:v>2.7099999999999999E-2</c:v>
                </c:pt>
                <c:pt idx="4">
                  <c:v>2.7699999999999999E-2</c:v>
                </c:pt>
                <c:pt idx="5">
                  <c:v>2.8000000000000001E-2</c:v>
                </c:pt>
                <c:pt idx="6">
                  <c:v>2.8000000000000001E-2</c:v>
                </c:pt>
                <c:pt idx="7">
                  <c:v>2.7900000000000001E-2</c:v>
                </c:pt>
                <c:pt idx="8">
                  <c:v>2.7799999999999998E-2</c:v>
                </c:pt>
                <c:pt idx="9">
                  <c:v>2.7699999999999999E-2</c:v>
                </c:pt>
                <c:pt idx="10">
                  <c:v>2.76E-2</c:v>
                </c:pt>
                <c:pt idx="11">
                  <c:v>2.7699999999999999E-2</c:v>
                </c:pt>
                <c:pt idx="12">
                  <c:v>2.7699999999999999E-2</c:v>
                </c:pt>
                <c:pt idx="13">
                  <c:v>2.76E-2</c:v>
                </c:pt>
                <c:pt idx="14">
                  <c:v>2.7400000000000001E-2</c:v>
                </c:pt>
                <c:pt idx="15">
                  <c:v>2.7199999999999998E-2</c:v>
                </c:pt>
                <c:pt idx="16">
                  <c:v>2.6700000000000002E-2</c:v>
                </c:pt>
                <c:pt idx="17">
                  <c:v>2.64E-2</c:v>
                </c:pt>
                <c:pt idx="18">
                  <c:v>2.6100000000000002E-2</c:v>
                </c:pt>
                <c:pt idx="19">
                  <c:v>2.5999999999999999E-2</c:v>
                </c:pt>
                <c:pt idx="20">
                  <c:v>2.6100000000000002E-2</c:v>
                </c:pt>
                <c:pt idx="21">
                  <c:v>2.64E-2</c:v>
                </c:pt>
                <c:pt idx="22">
                  <c:v>2.64E-2</c:v>
                </c:pt>
                <c:pt idx="23">
                  <c:v>2.6499999999999999E-2</c:v>
                </c:pt>
                <c:pt idx="24">
                  <c:v>2.63E-2</c:v>
                </c:pt>
                <c:pt idx="25">
                  <c:v>2.64E-2</c:v>
                </c:pt>
                <c:pt idx="26">
                  <c:v>2.7E-2</c:v>
                </c:pt>
                <c:pt idx="27">
                  <c:v>2.69E-2</c:v>
                </c:pt>
                <c:pt idx="28">
                  <c:v>2.6700000000000002E-2</c:v>
                </c:pt>
                <c:pt idx="29">
                  <c:v>2.6599999999999999E-2</c:v>
                </c:pt>
                <c:pt idx="30">
                  <c:v>2.7199999999999998E-2</c:v>
                </c:pt>
                <c:pt idx="31">
                  <c:v>2.8299999999999999E-2</c:v>
                </c:pt>
                <c:pt idx="32">
                  <c:v>2.5600000000000001E-2</c:v>
                </c:pt>
                <c:pt idx="33">
                  <c:v>2.5899999999999999E-2</c:v>
                </c:pt>
                <c:pt idx="34">
                  <c:v>2.9899999999999999E-2</c:v>
                </c:pt>
                <c:pt idx="35">
                  <c:v>3.0700000000000002E-2</c:v>
                </c:pt>
                <c:pt idx="36">
                  <c:v>3.1199999999999999E-2</c:v>
                </c:pt>
                <c:pt idx="37">
                  <c:v>3.0800000000000001E-2</c:v>
                </c:pt>
                <c:pt idx="38">
                  <c:v>3.0599999999999999E-2</c:v>
                </c:pt>
                <c:pt idx="39">
                  <c:v>2.98E-2</c:v>
                </c:pt>
                <c:pt idx="40">
                  <c:v>2.87E-2</c:v>
                </c:pt>
                <c:pt idx="41">
                  <c:v>2.7699999999999999E-2</c:v>
                </c:pt>
                <c:pt idx="42">
                  <c:v>2.6200000000000001E-2</c:v>
                </c:pt>
                <c:pt idx="43">
                  <c:v>2.4899999999999999E-2</c:v>
                </c:pt>
                <c:pt idx="44">
                  <c:v>2.4E-2</c:v>
                </c:pt>
                <c:pt idx="45">
                  <c:v>2.3400000000000001E-2</c:v>
                </c:pt>
                <c:pt idx="46">
                  <c:v>2.2800000000000001E-2</c:v>
                </c:pt>
                <c:pt idx="47">
                  <c:v>2.2200000000000001E-2</c:v>
                </c:pt>
                <c:pt idx="48">
                  <c:v>2.1600000000000001E-2</c:v>
                </c:pt>
                <c:pt idx="49">
                  <c:v>2.1399999999999999E-2</c:v>
                </c:pt>
                <c:pt idx="50">
                  <c:v>2.18E-2</c:v>
                </c:pt>
                <c:pt idx="51">
                  <c:v>2.1700000000000001E-2</c:v>
                </c:pt>
                <c:pt idx="52">
                  <c:v>2.1399999999999999E-2</c:v>
                </c:pt>
                <c:pt idx="53">
                  <c:v>2.12E-2</c:v>
                </c:pt>
                <c:pt idx="54">
                  <c:v>2.1000000000000001E-2</c:v>
                </c:pt>
                <c:pt idx="55">
                  <c:v>2.06E-2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1.7999999999999999E-2</c:v>
                </c:pt>
                <c:pt idx="63">
                  <c:v>1.7999999999999999E-2</c:v>
                </c:pt>
                <c:pt idx="64">
                  <c:v>1.7000000000000001E-2</c:v>
                </c:pt>
                <c:pt idx="65">
                  <c:v>1.7000000000000001E-2</c:v>
                </c:pt>
                <c:pt idx="66">
                  <c:v>1.6E-2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EC-451F-B191-C8FFB8C2F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015689"/>
        <c:axId val="587961564"/>
      </c:lineChart>
      <c:catAx>
        <c:axId val="577015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7961564"/>
        <c:crosses val="autoZero"/>
        <c:auto val="1"/>
        <c:lblAlgn val="ctr"/>
        <c:lblOffset val="100"/>
        <c:noMultiLvlLbl val="1"/>
      </c:catAx>
      <c:valAx>
        <c:axId val="587961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70156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Pelines!$C$1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Pelines!$C$2:$C$67</c:f>
              <c:numCache>
                <c:formatCode>#,##0</c:formatCode>
                <c:ptCount val="66"/>
                <c:pt idx="0">
                  <c:v>88058371.691850409</c:v>
                </c:pt>
                <c:pt idx="1">
                  <c:v>85877093.516530529</c:v>
                </c:pt>
                <c:pt idx="2">
                  <c:v>83668251.672379702</c:v>
                </c:pt>
                <c:pt idx="3">
                  <c:v>81460667.580936342</c:v>
                </c:pt>
                <c:pt idx="4">
                  <c:v>79265026.351013273</c:v>
                </c:pt>
                <c:pt idx="5">
                  <c:v>77106056.761686057</c:v>
                </c:pt>
                <c:pt idx="6">
                  <c:v>75005891.791523397</c:v>
                </c:pt>
                <c:pt idx="7">
                  <c:v>72970028.010043189</c:v>
                </c:pt>
                <c:pt idx="8">
                  <c:v>70996330.035068288</c:v>
                </c:pt>
                <c:pt idx="9">
                  <c:v>69082738.18728061</c:v>
                </c:pt>
                <c:pt idx="10">
                  <c:v>67227265.655197158</c:v>
                </c:pt>
                <c:pt idx="11">
                  <c:v>65415262.873598479</c:v>
                </c:pt>
                <c:pt idx="12">
                  <c:v>63652099.711587504</c:v>
                </c:pt>
                <c:pt idx="13">
                  <c:v>61942487.06849698</c:v>
                </c:pt>
                <c:pt idx="14">
                  <c:v>60290526.638599351</c:v>
                </c:pt>
                <c:pt idx="15">
                  <c:v>58694048.518885665</c:v>
                </c:pt>
                <c:pt idx="16">
                  <c:v>57167671.684898868</c:v>
                </c:pt>
                <c:pt idx="17">
                  <c:v>55697263.917477466</c:v>
                </c:pt>
                <c:pt idx="18">
                  <c:v>54280541.777095281</c:v>
                </c:pt>
                <c:pt idx="19">
                  <c:v>52905011.478650369</c:v>
                </c:pt>
                <c:pt idx="20">
                  <c:v>51559313.398938082</c:v>
                </c:pt>
                <c:pt idx="21">
                  <c:v>50233158.027024634</c:v>
                </c:pt>
                <c:pt idx="22">
                  <c:v>48941112.652985811</c:v>
                </c:pt>
                <c:pt idx="23">
                  <c:v>47677654.800765529</c:v>
                </c:pt>
                <c:pt idx="24">
                  <c:v>46455865.537138782</c:v>
                </c:pt>
                <c:pt idx="25">
                  <c:v>45260975.776635602</c:v>
                </c:pt>
                <c:pt idx="26">
                  <c:v>44071057.231388129</c:v>
                </c:pt>
                <c:pt idx="27">
                  <c:v>42916600.673276983</c:v>
                </c:pt>
                <c:pt idx="28">
                  <c:v>41800526.612717427</c:v>
                </c:pt>
                <c:pt idx="29">
                  <c:v>40717442.638532467</c:v>
                </c:pt>
                <c:pt idx="30">
                  <c:v>39639254.905113384</c:v>
                </c:pt>
                <c:pt idx="31">
                  <c:v>38548336.968893692</c:v>
                </c:pt>
                <c:pt idx="32">
                  <c:v>37586131.989950947</c:v>
                </c:pt>
                <c:pt idx="33">
                  <c:v>36637227.790185153</c:v>
                </c:pt>
                <c:pt idx="34">
                  <c:v>35573577.813559718</c:v>
                </c:pt>
                <c:pt idx="35">
                  <c:v>34513998.072727002</c:v>
                </c:pt>
                <c:pt idx="36">
                  <c:v>33469742.118625879</c:v>
                </c:pt>
                <c:pt idx="37">
                  <c:v>32469676.094902873</c:v>
                </c:pt>
                <c:pt idx="38">
                  <c:v>31505604.594316781</c:v>
                </c:pt>
                <c:pt idx="39">
                  <c:v>30593906.18985898</c:v>
                </c:pt>
                <c:pt idx="40">
                  <c:v>29740357.917623196</c:v>
                </c:pt>
                <c:pt idx="41">
                  <c:v>28938754.420184094</c:v>
                </c:pt>
                <c:pt idx="42">
                  <c:v>28199916.605129696</c:v>
                </c:pt>
                <c:pt idx="43">
                  <c:v>27514798.131651573</c:v>
                </c:pt>
                <c:pt idx="44">
                  <c:v>26869920.050440989</c:v>
                </c:pt>
                <c:pt idx="45">
                  <c:v>26255540.404964812</c:v>
                </c:pt>
                <c:pt idx="46">
                  <c:v>25670258.510915931</c:v>
                </c:pt>
                <c:pt idx="47">
                  <c:v>25112755.342316505</c:v>
                </c:pt>
                <c:pt idx="48">
                  <c:v>24581788.706261259</c:v>
                </c:pt>
                <c:pt idx="49">
                  <c:v>24066760.041375816</c:v>
                </c:pt>
                <c:pt idx="50">
                  <c:v>23553298.14188277</c:v>
                </c:pt>
                <c:pt idx="51">
                  <c:v>23053047.021515872</c:v>
                </c:pt>
                <c:pt idx="52">
                  <c:v>22570047.994434964</c:v>
                </c:pt>
                <c:pt idx="53">
                  <c:v>22101496.273438074</c:v>
                </c:pt>
                <c:pt idx="54">
                  <c:v>21646911.1395084</c:v>
                </c:pt>
                <c:pt idx="55">
                  <c:v>21209985.439455617</c:v>
                </c:pt>
                <c:pt idx="56">
                  <c:v>20794103.372015312</c:v>
                </c:pt>
                <c:pt idx="57">
                  <c:v>20386375.854916971</c:v>
                </c:pt>
                <c:pt idx="58">
                  <c:v>19986642.995016638</c:v>
                </c:pt>
                <c:pt idx="59">
                  <c:v>19613977.423961375</c:v>
                </c:pt>
                <c:pt idx="60">
                  <c:v>19248260.474937562</c:v>
                </c:pt>
                <c:pt idx="61">
                  <c:v>18889362.585807227</c:v>
                </c:pt>
                <c:pt idx="62">
                  <c:v>18555365.997846</c:v>
                </c:pt>
                <c:pt idx="63">
                  <c:v>18227275.046999998</c:v>
                </c:pt>
                <c:pt idx="64">
                  <c:v>17922591</c:v>
                </c:pt>
                <c:pt idx="65">
                  <c:v>17623000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8-453B-83AE-043DE5CD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682657"/>
        <c:axId val="434017732"/>
      </c:lineChart>
      <c:catAx>
        <c:axId val="1646682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017732"/>
        <c:crosses val="autoZero"/>
        <c:auto val="1"/>
        <c:lblAlgn val="ctr"/>
        <c:lblOffset val="100"/>
        <c:noMultiLvlLbl val="1"/>
      </c:catAx>
      <c:valAx>
        <c:axId val="434017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66826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Pelugrotoa!$D$1:$D$67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2.3999999999999998E-3</c:v>
                </c:pt>
                <c:pt idx="2">
                  <c:v>2.3999999999999998E-3</c:v>
                </c:pt>
                <c:pt idx="3">
                  <c:v>2.3E-3</c:v>
                </c:pt>
                <c:pt idx="4">
                  <c:v>3.7000000000000002E-3</c:v>
                </c:pt>
                <c:pt idx="5">
                  <c:v>2.5000000000000001E-3</c:v>
                </c:pt>
                <c:pt idx="6">
                  <c:v>1.6999999999999999E-3</c:v>
                </c:pt>
                <c:pt idx="7">
                  <c:v>3.5000000000000001E-3</c:v>
                </c:pt>
                <c:pt idx="8">
                  <c:v>3.3E-3</c:v>
                </c:pt>
                <c:pt idx="9">
                  <c:v>3.5999999999999999E-3</c:v>
                </c:pt>
                <c:pt idx="10">
                  <c:v>4.4999999999999997E-3</c:v>
                </c:pt>
                <c:pt idx="11">
                  <c:v>3.3999999999999998E-3</c:v>
                </c:pt>
                <c:pt idx="12">
                  <c:v>3.5999999999999999E-3</c:v>
                </c:pt>
                <c:pt idx="13">
                  <c:v>3.5999999999999999E-3</c:v>
                </c:pt>
                <c:pt idx="14">
                  <c:v>5.0000000000000001E-3</c:v>
                </c:pt>
                <c:pt idx="15">
                  <c:v>5.7000000000000002E-3</c:v>
                </c:pt>
                <c:pt idx="16">
                  <c:v>4.4000000000000003E-3</c:v>
                </c:pt>
                <c:pt idx="17">
                  <c:v>7.1999999999999998E-3</c:v>
                </c:pt>
                <c:pt idx="18">
                  <c:v>6.7999999999999996E-3</c:v>
                </c:pt>
                <c:pt idx="19">
                  <c:v>8.0999999999999996E-3</c:v>
                </c:pt>
                <c:pt idx="20">
                  <c:v>8.0000000000000002E-3</c:v>
                </c:pt>
                <c:pt idx="21">
                  <c:v>8.0999999999999996E-3</c:v>
                </c:pt>
                <c:pt idx="22">
                  <c:v>8.3999999999999995E-3</c:v>
                </c:pt>
                <c:pt idx="23">
                  <c:v>8.8000000000000005E-3</c:v>
                </c:pt>
                <c:pt idx="24">
                  <c:v>9.4999999999999998E-3</c:v>
                </c:pt>
                <c:pt idx="25">
                  <c:v>9.7000000000000003E-3</c:v>
                </c:pt>
                <c:pt idx="26">
                  <c:v>8.3999999999999995E-3</c:v>
                </c:pt>
                <c:pt idx="27">
                  <c:v>8.8000000000000005E-3</c:v>
                </c:pt>
                <c:pt idx="28">
                  <c:v>1.04E-2</c:v>
                </c:pt>
                <c:pt idx="29">
                  <c:v>1.0200000000000001E-2</c:v>
                </c:pt>
                <c:pt idx="30">
                  <c:v>1.29E-2</c:v>
                </c:pt>
                <c:pt idx="31">
                  <c:v>1.2999999999999999E-2</c:v>
                </c:pt>
                <c:pt idx="32">
                  <c:v>1.43E-2</c:v>
                </c:pt>
                <c:pt idx="33">
                  <c:v>1.5299999999999999E-2</c:v>
                </c:pt>
                <c:pt idx="34">
                  <c:v>1.6299999999999999E-2</c:v>
                </c:pt>
                <c:pt idx="35">
                  <c:v>1.72E-2</c:v>
                </c:pt>
                <c:pt idx="36">
                  <c:v>1.8599999999999998E-2</c:v>
                </c:pt>
                <c:pt idx="37">
                  <c:v>2.06E-2</c:v>
                </c:pt>
                <c:pt idx="38">
                  <c:v>2.06E-2</c:v>
                </c:pt>
                <c:pt idx="39">
                  <c:v>2.0500000000000001E-2</c:v>
                </c:pt>
                <c:pt idx="40">
                  <c:v>2.0899999999999998E-2</c:v>
                </c:pt>
                <c:pt idx="41">
                  <c:v>1.61E-2</c:v>
                </c:pt>
                <c:pt idx="42">
                  <c:v>1.8800000000000001E-2</c:v>
                </c:pt>
                <c:pt idx="43">
                  <c:v>2.01E-2</c:v>
                </c:pt>
                <c:pt idx="44">
                  <c:v>2.1100000000000001E-2</c:v>
                </c:pt>
                <c:pt idx="45">
                  <c:v>2.1999999999999999E-2</c:v>
                </c:pt>
                <c:pt idx="46">
                  <c:v>1.8800000000000001E-2</c:v>
                </c:pt>
                <c:pt idx="47">
                  <c:v>2.1100000000000001E-2</c:v>
                </c:pt>
                <c:pt idx="48">
                  <c:v>2.18E-2</c:v>
                </c:pt>
                <c:pt idx="49">
                  <c:v>2.29E-2</c:v>
                </c:pt>
                <c:pt idx="50">
                  <c:v>3.0300000000000001E-2</c:v>
                </c:pt>
                <c:pt idx="51">
                  <c:v>3.1699999999999999E-2</c:v>
                </c:pt>
                <c:pt idx="52">
                  <c:v>3.3099999999999997E-2</c:v>
                </c:pt>
                <c:pt idx="53">
                  <c:v>3.44E-2</c:v>
                </c:pt>
                <c:pt idx="54">
                  <c:v>3.5099999999999999E-2</c:v>
                </c:pt>
                <c:pt idx="55">
                  <c:v>3.5799999999999998E-2</c:v>
                </c:pt>
                <c:pt idx="56">
                  <c:v>3.6600000000000001E-2</c:v>
                </c:pt>
                <c:pt idx="57">
                  <c:v>3.7600000000000001E-2</c:v>
                </c:pt>
                <c:pt idx="58">
                  <c:v>3.8699999999999998E-2</c:v>
                </c:pt>
                <c:pt idx="59">
                  <c:v>4.0099999999999997E-2</c:v>
                </c:pt>
                <c:pt idx="60">
                  <c:v>3.9600000000000003E-2</c:v>
                </c:pt>
                <c:pt idx="61">
                  <c:v>3.8300000000000001E-2</c:v>
                </c:pt>
                <c:pt idx="62">
                  <c:v>3.6999999999999998E-2</c:v>
                </c:pt>
                <c:pt idx="63">
                  <c:v>3.6499999999999998E-2</c:v>
                </c:pt>
                <c:pt idx="64">
                  <c:v>3.6299999999999999E-2</c:v>
                </c:pt>
                <c:pt idx="65">
                  <c:v>3.5200000000000002E-2</c:v>
                </c:pt>
                <c:pt idx="66">
                  <c:v>3.3700000000000001E-2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ED-49FA-8672-3673B0A16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111194"/>
        <c:axId val="360077258"/>
      </c:lineChart>
      <c:catAx>
        <c:axId val="1506111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0077258"/>
        <c:crosses val="autoZero"/>
        <c:auto val="1"/>
        <c:lblAlgn val="ctr"/>
        <c:lblOffset val="100"/>
        <c:noMultiLvlLbl val="1"/>
      </c:catAx>
      <c:valAx>
        <c:axId val="360077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61111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Pelugrotoa!$C$1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Pelugrotoa!$C$2:$C$67</c:f>
              <c:numCache>
                <c:formatCode>#,##0</c:formatCode>
                <c:ptCount val="66"/>
                <c:pt idx="0">
                  <c:v>347520788.88603979</c:v>
                </c:pt>
                <c:pt idx="1">
                  <c:v>346688735.91983223</c:v>
                </c:pt>
                <c:pt idx="2">
                  <c:v>345858675.09959322</c:v>
                </c:pt>
                <c:pt idx="3">
                  <c:v>345065025.54084927</c:v>
                </c:pt>
                <c:pt idx="4">
                  <c:v>343792991.47240138</c:v>
                </c:pt>
                <c:pt idx="5">
                  <c:v>342935652.34154755</c:v>
                </c:pt>
                <c:pt idx="6">
                  <c:v>342353651.1346187</c:v>
                </c:pt>
                <c:pt idx="7">
                  <c:v>341159592.56065637</c:v>
                </c:pt>
                <c:pt idx="8">
                  <c:v>340037468.91324264</c:v>
                </c:pt>
                <c:pt idx="9">
                  <c:v>338817725.10287225</c:v>
                </c:pt>
                <c:pt idx="10">
                  <c:v>337299875.66239148</c:v>
                </c:pt>
                <c:pt idx="11">
                  <c:v>336156942.05938953</c:v>
                </c:pt>
                <c:pt idx="12">
                  <c:v>334951118.03446543</c:v>
                </c:pt>
                <c:pt idx="13">
                  <c:v>333749619.40460885</c:v>
                </c:pt>
                <c:pt idx="14">
                  <c:v>332089173.53692424</c:v>
                </c:pt>
                <c:pt idx="15">
                  <c:v>330206993.67298818</c:v>
                </c:pt>
                <c:pt idx="16">
                  <c:v>328760447.7030946</c:v>
                </c:pt>
                <c:pt idx="17">
                  <c:v>326410293.58925194</c:v>
                </c:pt>
                <c:pt idx="18">
                  <c:v>324205694.86417556</c:v>
                </c:pt>
                <c:pt idx="19">
                  <c:v>321600728.95960277</c:v>
                </c:pt>
                <c:pt idx="20">
                  <c:v>319048342.22182816</c:v>
                </c:pt>
                <c:pt idx="21">
                  <c:v>316484815.21855783</c:v>
                </c:pt>
                <c:pt idx="22">
                  <c:v>313848487.92002958</c:v>
                </c:pt>
                <c:pt idx="23">
                  <c:v>311110713.6399976</c:v>
                </c:pt>
                <c:pt idx="24">
                  <c:v>308182975.37394512</c:v>
                </c:pt>
                <c:pt idx="25">
                  <c:v>305222318.88080132</c:v>
                </c:pt>
                <c:pt idx="26">
                  <c:v>302679808.48948961</c:v>
                </c:pt>
                <c:pt idx="27">
                  <c:v>300039461.23065984</c:v>
                </c:pt>
                <c:pt idx="28">
                  <c:v>296951169.07230783</c:v>
                </c:pt>
                <c:pt idx="29">
                  <c:v>293952850.00228453</c:v>
                </c:pt>
                <c:pt idx="30">
                  <c:v>290209151.94222981</c:v>
                </c:pt>
                <c:pt idx="31">
                  <c:v>286484848.90644604</c:v>
                </c:pt>
                <c:pt idx="32">
                  <c:v>282445872.92363805</c:v>
                </c:pt>
                <c:pt idx="33">
                  <c:v>278189572.46492469</c:v>
                </c:pt>
                <c:pt idx="34">
                  <c:v>273727809.17536622</c:v>
                </c:pt>
                <c:pt idx="35">
                  <c:v>269099301.1948154</c:v>
                </c:pt>
                <c:pt idx="36">
                  <c:v>264185451.79149362</c:v>
                </c:pt>
                <c:pt idx="37">
                  <c:v>258853078.3769289</c:v>
                </c:pt>
                <c:pt idx="38">
                  <c:v>253628334.68247002</c:v>
                </c:pt>
                <c:pt idx="39">
                  <c:v>248533399.98282218</c:v>
                </c:pt>
                <c:pt idx="40">
                  <c:v>243445391.30455697</c:v>
                </c:pt>
                <c:pt idx="41">
                  <c:v>239588024.11628479</c:v>
                </c:pt>
                <c:pt idx="42">
                  <c:v>235166886.64731526</c:v>
                </c:pt>
                <c:pt idx="43">
                  <c:v>230533169.93168834</c:v>
                </c:pt>
                <c:pt idx="44">
                  <c:v>225769434.85622206</c:v>
                </c:pt>
                <c:pt idx="45">
                  <c:v>220909427.45227209</c:v>
                </c:pt>
                <c:pt idx="46">
                  <c:v>216832967.66025922</c:v>
                </c:pt>
                <c:pt idx="47">
                  <c:v>212352333.42499191</c:v>
                </c:pt>
                <c:pt idx="48">
                  <c:v>207821817.79701692</c:v>
                </c:pt>
                <c:pt idx="49">
                  <c:v>203169242.15174204</c:v>
                </c:pt>
                <c:pt idx="50">
                  <c:v>197194256.18920901</c:v>
                </c:pt>
                <c:pt idx="51">
                  <c:v>191135268.18766019</c:v>
                </c:pt>
                <c:pt idx="52">
                  <c:v>185011391.14089653</c:v>
                </c:pt>
                <c:pt idx="53">
                  <c:v>178858653.46181026</c:v>
                </c:pt>
                <c:pt idx="54">
                  <c:v>172793598.16617745</c:v>
                </c:pt>
                <c:pt idx="55">
                  <c:v>166821392.32108268</c:v>
                </c:pt>
                <c:pt idx="56">
                  <c:v>160931306.50307032</c:v>
                </c:pt>
                <c:pt idx="57">
                  <c:v>155099562.93665218</c:v>
                </c:pt>
                <c:pt idx="58">
                  <c:v>149320846.18913275</c:v>
                </c:pt>
                <c:pt idx="59">
                  <c:v>143563932.49604148</c:v>
                </c:pt>
                <c:pt idx="60">
                  <c:v>138095356.38326421</c:v>
                </c:pt>
                <c:pt idx="61">
                  <c:v>133001402.66133508</c:v>
                </c:pt>
                <c:pt idx="62">
                  <c:v>128255933.13532795</c:v>
                </c:pt>
                <c:pt idx="63">
                  <c:v>123739443.44942398</c:v>
                </c:pt>
                <c:pt idx="64">
                  <c:v>119405040.47999999</c:v>
                </c:pt>
                <c:pt idx="65">
                  <c:v>115344900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2-430E-A26D-18F6DFADE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722696"/>
        <c:axId val="1706798022"/>
      </c:lineChart>
      <c:catAx>
        <c:axId val="150772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6798022"/>
        <c:crosses val="autoZero"/>
        <c:auto val="1"/>
        <c:lblAlgn val="ctr"/>
        <c:lblOffset val="100"/>
        <c:noMultiLvlLbl val="1"/>
      </c:catAx>
      <c:valAx>
        <c:axId val="1706798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77226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'Pha Hii'!$D$1:$D$67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1.9300000000000001E-2</c:v>
                </c:pt>
                <c:pt idx="2">
                  <c:v>1.9199999999999998E-2</c:v>
                </c:pt>
                <c:pt idx="3">
                  <c:v>1.9099999999999999E-2</c:v>
                </c:pt>
                <c:pt idx="4">
                  <c:v>1.9099999999999999E-2</c:v>
                </c:pt>
                <c:pt idx="5">
                  <c:v>2.1600000000000001E-2</c:v>
                </c:pt>
                <c:pt idx="6">
                  <c:v>2.35E-2</c:v>
                </c:pt>
                <c:pt idx="7">
                  <c:v>2.4400000000000002E-2</c:v>
                </c:pt>
                <c:pt idx="8">
                  <c:v>2.5499999999999998E-2</c:v>
                </c:pt>
                <c:pt idx="9">
                  <c:v>2.6100000000000002E-2</c:v>
                </c:pt>
                <c:pt idx="10">
                  <c:v>2.64E-2</c:v>
                </c:pt>
                <c:pt idx="11">
                  <c:v>2.6700000000000002E-2</c:v>
                </c:pt>
                <c:pt idx="12">
                  <c:v>2.7300000000000001E-2</c:v>
                </c:pt>
                <c:pt idx="13">
                  <c:v>2.8000000000000001E-2</c:v>
                </c:pt>
                <c:pt idx="14">
                  <c:v>2.8400000000000002E-2</c:v>
                </c:pt>
                <c:pt idx="15">
                  <c:v>1.9800000000000002E-2</c:v>
                </c:pt>
                <c:pt idx="16">
                  <c:v>1.5599999999999999E-2</c:v>
                </c:pt>
                <c:pt idx="17">
                  <c:v>1.7000000000000001E-2</c:v>
                </c:pt>
                <c:pt idx="18">
                  <c:v>1.7899999999999999E-2</c:v>
                </c:pt>
                <c:pt idx="19">
                  <c:v>1.9E-2</c:v>
                </c:pt>
                <c:pt idx="20">
                  <c:v>2.01E-2</c:v>
                </c:pt>
                <c:pt idx="21">
                  <c:v>2.1299999999999999E-2</c:v>
                </c:pt>
                <c:pt idx="22">
                  <c:v>2.2200000000000001E-2</c:v>
                </c:pt>
                <c:pt idx="23">
                  <c:v>2.3400000000000001E-2</c:v>
                </c:pt>
                <c:pt idx="24">
                  <c:v>2.4799999999999999E-2</c:v>
                </c:pt>
                <c:pt idx="25">
                  <c:v>2.9700000000000001E-2</c:v>
                </c:pt>
                <c:pt idx="26">
                  <c:v>3.2899999999999999E-2</c:v>
                </c:pt>
                <c:pt idx="27">
                  <c:v>3.61E-2</c:v>
                </c:pt>
                <c:pt idx="28">
                  <c:v>3.7900000000000003E-2</c:v>
                </c:pt>
                <c:pt idx="29">
                  <c:v>3.8699999999999998E-2</c:v>
                </c:pt>
                <c:pt idx="30">
                  <c:v>3.8699999999999998E-2</c:v>
                </c:pt>
                <c:pt idx="31">
                  <c:v>3.7999999999999999E-2</c:v>
                </c:pt>
                <c:pt idx="32">
                  <c:v>3.6999999999999998E-2</c:v>
                </c:pt>
                <c:pt idx="33">
                  <c:v>3.5999999999999997E-2</c:v>
                </c:pt>
                <c:pt idx="34">
                  <c:v>3.5099999999999999E-2</c:v>
                </c:pt>
                <c:pt idx="35">
                  <c:v>3.1399999999999997E-2</c:v>
                </c:pt>
                <c:pt idx="36">
                  <c:v>1.9800000000000002E-2</c:v>
                </c:pt>
                <c:pt idx="37">
                  <c:v>2.0799999999999999E-2</c:v>
                </c:pt>
                <c:pt idx="38">
                  <c:v>2.06E-2</c:v>
                </c:pt>
                <c:pt idx="39">
                  <c:v>1.9300000000000001E-2</c:v>
                </c:pt>
                <c:pt idx="40">
                  <c:v>1.6899999999999998E-2</c:v>
                </c:pt>
                <c:pt idx="41">
                  <c:v>1.35E-2</c:v>
                </c:pt>
                <c:pt idx="42">
                  <c:v>9.4000000000000004E-3</c:v>
                </c:pt>
                <c:pt idx="43">
                  <c:v>0.02</c:v>
                </c:pt>
                <c:pt idx="44">
                  <c:v>5.21E-2</c:v>
                </c:pt>
                <c:pt idx="45">
                  <c:v>1.9800000000000002E-2</c:v>
                </c:pt>
                <c:pt idx="46">
                  <c:v>2.69E-2</c:v>
                </c:pt>
                <c:pt idx="47">
                  <c:v>-1.0800000000000001E-2</c:v>
                </c:pt>
                <c:pt idx="48">
                  <c:v>-9.7000000000000003E-3</c:v>
                </c:pt>
                <c:pt idx="49">
                  <c:v>-9.4999999999999998E-3</c:v>
                </c:pt>
                <c:pt idx="50">
                  <c:v>-9.7999999999999997E-3</c:v>
                </c:pt>
                <c:pt idx="51">
                  <c:v>-1.06E-2</c:v>
                </c:pt>
                <c:pt idx="52">
                  <c:v>0.1</c:v>
                </c:pt>
                <c:pt idx="53">
                  <c:v>2.35E-2</c:v>
                </c:pt>
                <c:pt idx="54">
                  <c:v>2.46E-2</c:v>
                </c:pt>
                <c:pt idx="55">
                  <c:v>2.6599999999999999E-2</c:v>
                </c:pt>
                <c:pt idx="56">
                  <c:v>-2.6499999999999999E-2</c:v>
                </c:pt>
                <c:pt idx="57">
                  <c:v>-3.1600000000000003E-2</c:v>
                </c:pt>
                <c:pt idx="58">
                  <c:v>-2.64E-2</c:v>
                </c:pt>
                <c:pt idx="59">
                  <c:v>-2.23E-2</c:v>
                </c:pt>
                <c:pt idx="60">
                  <c:v>-1.9699999999999999E-2</c:v>
                </c:pt>
                <c:pt idx="61">
                  <c:v>-1.4E-2</c:v>
                </c:pt>
                <c:pt idx="62">
                  <c:v>-1.0699999999999999E-2</c:v>
                </c:pt>
                <c:pt idx="63">
                  <c:v>-6.6E-3</c:v>
                </c:pt>
                <c:pt idx="64">
                  <c:v>-1.5E-3</c:v>
                </c:pt>
                <c:pt idx="65">
                  <c:v>4.4000000000000003E-3</c:v>
                </c:pt>
                <c:pt idx="66">
                  <c:v>3.0700000000000002E-2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81-45DA-80A8-FB9FBC33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634523"/>
        <c:axId val="988761516"/>
      </c:lineChart>
      <c:catAx>
        <c:axId val="2118634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8761516"/>
        <c:crosses val="autoZero"/>
        <c:auto val="1"/>
        <c:lblAlgn val="ctr"/>
        <c:lblOffset val="100"/>
        <c:noMultiLvlLbl val="1"/>
      </c:catAx>
      <c:valAx>
        <c:axId val="988761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86345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'Pha Hii'!$C$1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'Pha Hii'!$C$2:$C$67</c:f>
              <c:numCache>
                <c:formatCode>#,##0</c:formatCode>
                <c:ptCount val="66"/>
                <c:pt idx="0">
                  <c:v>2646557.5766727393</c:v>
                </c:pt>
                <c:pt idx="1">
                  <c:v>2596446.1656752075</c:v>
                </c:pt>
                <c:pt idx="2">
                  <c:v>2547533.5220518126</c:v>
                </c:pt>
                <c:pt idx="3">
                  <c:v>2499787.5792874233</c:v>
                </c:pt>
                <c:pt idx="4">
                  <c:v>2452936.4922847841</c:v>
                </c:pt>
                <c:pt idx="5">
                  <c:v>2401073.3088143929</c:v>
                </c:pt>
                <c:pt idx="6">
                  <c:v>2345943.6334288158</c:v>
                </c:pt>
                <c:pt idx="7">
                  <c:v>2290066.0224802964</c:v>
                </c:pt>
                <c:pt idx="8">
                  <c:v>2233121.4261143794</c:v>
                </c:pt>
                <c:pt idx="9">
                  <c:v>2176319.4874908677</c:v>
                </c:pt>
                <c:pt idx="10">
                  <c:v>2120342.4468928953</c:v>
                </c:pt>
                <c:pt idx="11">
                  <c:v>2065201.5651046024</c:v>
                </c:pt>
                <c:pt idx="12">
                  <c:v>2010319.8336460646</c:v>
                </c:pt>
                <c:pt idx="13">
                  <c:v>1955564.0405117359</c:v>
                </c:pt>
                <c:pt idx="14">
                  <c:v>1901559.7437881525</c:v>
                </c:pt>
                <c:pt idx="15">
                  <c:v>1864639.8742774588</c:v>
                </c:pt>
                <c:pt idx="16">
                  <c:v>1835998.3007852093</c:v>
                </c:pt>
                <c:pt idx="17">
                  <c:v>1805308.0637022709</c:v>
                </c:pt>
                <c:pt idx="18">
                  <c:v>1773561.3161433057</c:v>
                </c:pt>
                <c:pt idx="19">
                  <c:v>1740491.9687372972</c:v>
                </c:pt>
                <c:pt idx="20">
                  <c:v>1706197.4009776465</c:v>
                </c:pt>
                <c:pt idx="21">
                  <c:v>1670613.3369016415</c:v>
                </c:pt>
                <c:pt idx="22">
                  <c:v>1634331.184603445</c:v>
                </c:pt>
                <c:pt idx="23">
                  <c:v>1596962.2675429401</c:v>
                </c:pt>
                <c:pt idx="24">
                  <c:v>1558316.0299989658</c:v>
                </c:pt>
                <c:pt idx="25">
                  <c:v>1513368.9715441058</c:v>
                </c:pt>
                <c:pt idx="26">
                  <c:v>1465165.0416730621</c:v>
                </c:pt>
                <c:pt idx="27">
                  <c:v>1414115.4730943558</c:v>
                </c:pt>
                <c:pt idx="28">
                  <c:v>1362477.57307482</c:v>
                </c:pt>
                <c:pt idx="29">
                  <c:v>1311714.2322853759</c:v>
                </c:pt>
                <c:pt idx="30">
                  <c:v>1262842.2376868932</c:v>
                </c:pt>
                <c:pt idx="31">
                  <c:v>1216611.0189661784</c:v>
                </c:pt>
                <c:pt idx="32">
                  <c:v>1173202.5255218693</c:v>
                </c:pt>
                <c:pt idx="33">
                  <c:v>1132434.8701948544</c:v>
                </c:pt>
                <c:pt idx="34">
                  <c:v>1094034.2674088054</c:v>
                </c:pt>
                <c:pt idx="35">
                  <c:v>1060727.42622533</c:v>
                </c:pt>
                <c:pt idx="36">
                  <c:v>1040132.7968477446</c:v>
                </c:pt>
                <c:pt idx="37">
                  <c:v>1018938.8683853298</c:v>
                </c:pt>
                <c:pt idx="38">
                  <c:v>998372.39700698596</c:v>
                </c:pt>
                <c:pt idx="39">
                  <c:v>979468.65202294302</c:v>
                </c:pt>
                <c:pt idx="40">
                  <c:v>963190.72870778164</c:v>
                </c:pt>
                <c:pt idx="41">
                  <c:v>950360.85713643965</c:v>
                </c:pt>
                <c:pt idx="42">
                  <c:v>941510.65696100611</c:v>
                </c:pt>
                <c:pt idx="43">
                  <c:v>923049.66368726082</c:v>
                </c:pt>
                <c:pt idx="44">
                  <c:v>877340.23732274573</c:v>
                </c:pt>
                <c:pt idx="45">
                  <c:v>860306.17505662458</c:v>
                </c:pt>
                <c:pt idx="46">
                  <c:v>837770.15781149536</c:v>
                </c:pt>
                <c:pt idx="47">
                  <c:v>846916.85989839805</c:v>
                </c:pt>
                <c:pt idx="48">
                  <c:v>855212.42037604575</c:v>
                </c:pt>
                <c:pt idx="49">
                  <c:v>863414.86156087404</c:v>
                </c:pt>
                <c:pt idx="50">
                  <c:v>871960.07024931733</c:v>
                </c:pt>
                <c:pt idx="51">
                  <c:v>881301.87007208145</c:v>
                </c:pt>
                <c:pt idx="52">
                  <c:v>801183.51824734674</c:v>
                </c:pt>
                <c:pt idx="53">
                  <c:v>782788.0002416675</c:v>
                </c:pt>
                <c:pt idx="54">
                  <c:v>763993.75389583013</c:v>
                </c:pt>
                <c:pt idx="55">
                  <c:v>744198.0848391098</c:v>
                </c:pt>
                <c:pt idx="56">
                  <c:v>764456.17343514098</c:v>
                </c:pt>
                <c:pt idx="57">
                  <c:v>789401.25303091796</c:v>
                </c:pt>
                <c:pt idx="58">
                  <c:v>810806.54584112356</c:v>
                </c:pt>
                <c:pt idx="59">
                  <c:v>829299.93437774736</c:v>
                </c:pt>
                <c:pt idx="60">
                  <c:v>845965.45381796127</c:v>
                </c:pt>
                <c:pt idx="61">
                  <c:v>857977.13368961588</c:v>
                </c:pt>
                <c:pt idx="62">
                  <c:v>867256.78124897997</c:v>
                </c:pt>
                <c:pt idx="63">
                  <c:v>873018.7047</c:v>
                </c:pt>
                <c:pt idx="64">
                  <c:v>874330.2</c:v>
                </c:pt>
                <c:pt idx="65">
                  <c:v>870500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4-48E7-8F1F-71AA1CE60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614473"/>
        <c:axId val="1201629293"/>
      </c:lineChart>
      <c:catAx>
        <c:axId val="992614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1629293"/>
        <c:crosses val="autoZero"/>
        <c:auto val="1"/>
        <c:lblAlgn val="ctr"/>
        <c:lblOffset val="100"/>
        <c:noMultiLvlLbl val="1"/>
      </c:catAx>
      <c:valAx>
        <c:axId val="1201629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26144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Phuris!$D$1:$D$67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1.4800000000000001E-2</c:v>
                </c:pt>
                <c:pt idx="2">
                  <c:v>1.6400000000000001E-2</c:v>
                </c:pt>
                <c:pt idx="3">
                  <c:v>1.8800000000000001E-2</c:v>
                </c:pt>
                <c:pt idx="4">
                  <c:v>1.9400000000000001E-2</c:v>
                </c:pt>
                <c:pt idx="5">
                  <c:v>1.9599999999999999E-2</c:v>
                </c:pt>
                <c:pt idx="6">
                  <c:v>2.0500000000000001E-2</c:v>
                </c:pt>
                <c:pt idx="7">
                  <c:v>1.7999999999999999E-2</c:v>
                </c:pt>
                <c:pt idx="8">
                  <c:v>1.77E-2</c:v>
                </c:pt>
                <c:pt idx="9">
                  <c:v>1.7299999999999999E-2</c:v>
                </c:pt>
                <c:pt idx="10">
                  <c:v>1.6799999999999999E-2</c:v>
                </c:pt>
                <c:pt idx="11">
                  <c:v>1.8599999999999998E-2</c:v>
                </c:pt>
                <c:pt idx="12">
                  <c:v>1.9400000000000001E-2</c:v>
                </c:pt>
                <c:pt idx="13">
                  <c:v>1.9800000000000002E-2</c:v>
                </c:pt>
                <c:pt idx="14">
                  <c:v>2.0299999999999999E-2</c:v>
                </c:pt>
                <c:pt idx="15">
                  <c:v>2.2100000000000002E-2</c:v>
                </c:pt>
                <c:pt idx="16">
                  <c:v>2.3800000000000002E-2</c:v>
                </c:pt>
                <c:pt idx="17">
                  <c:v>2.5600000000000001E-2</c:v>
                </c:pt>
                <c:pt idx="18">
                  <c:v>2.5100000000000001E-2</c:v>
                </c:pt>
                <c:pt idx="19">
                  <c:v>2.35E-2</c:v>
                </c:pt>
                <c:pt idx="20">
                  <c:v>2.3E-2</c:v>
                </c:pt>
                <c:pt idx="21">
                  <c:v>2.1899999999999999E-2</c:v>
                </c:pt>
                <c:pt idx="22">
                  <c:v>2.18E-2</c:v>
                </c:pt>
                <c:pt idx="23">
                  <c:v>2.4E-2</c:v>
                </c:pt>
                <c:pt idx="24">
                  <c:v>2.3699999999999999E-2</c:v>
                </c:pt>
                <c:pt idx="25">
                  <c:v>2.4E-2</c:v>
                </c:pt>
                <c:pt idx="26">
                  <c:v>2.5600000000000001E-2</c:v>
                </c:pt>
                <c:pt idx="27">
                  <c:v>2.52E-2</c:v>
                </c:pt>
                <c:pt idx="28">
                  <c:v>2.6800000000000001E-2</c:v>
                </c:pt>
                <c:pt idx="29">
                  <c:v>2.63E-2</c:v>
                </c:pt>
                <c:pt idx="30">
                  <c:v>2.5600000000000001E-2</c:v>
                </c:pt>
                <c:pt idx="31">
                  <c:v>2.7300000000000001E-2</c:v>
                </c:pt>
                <c:pt idx="32">
                  <c:v>2.8899999999999999E-2</c:v>
                </c:pt>
                <c:pt idx="33">
                  <c:v>2.9100000000000001E-2</c:v>
                </c:pt>
                <c:pt idx="34">
                  <c:v>2.7699999999999999E-2</c:v>
                </c:pt>
                <c:pt idx="35">
                  <c:v>2.6100000000000002E-2</c:v>
                </c:pt>
                <c:pt idx="36">
                  <c:v>2.6100000000000002E-2</c:v>
                </c:pt>
                <c:pt idx="37">
                  <c:v>2.6700000000000002E-2</c:v>
                </c:pt>
                <c:pt idx="38">
                  <c:v>2.6800000000000001E-2</c:v>
                </c:pt>
                <c:pt idx="39">
                  <c:v>2.6599999999999999E-2</c:v>
                </c:pt>
                <c:pt idx="40">
                  <c:v>2.53E-2</c:v>
                </c:pt>
                <c:pt idx="41">
                  <c:v>2.2700000000000001E-2</c:v>
                </c:pt>
                <c:pt idx="42">
                  <c:v>2.1600000000000001E-2</c:v>
                </c:pt>
                <c:pt idx="43">
                  <c:v>2.2200000000000001E-2</c:v>
                </c:pt>
                <c:pt idx="44">
                  <c:v>2.2800000000000001E-2</c:v>
                </c:pt>
                <c:pt idx="45">
                  <c:v>2.35E-2</c:v>
                </c:pt>
                <c:pt idx="46">
                  <c:v>2.5899999999999999E-2</c:v>
                </c:pt>
                <c:pt idx="47">
                  <c:v>2.8299999999999999E-2</c:v>
                </c:pt>
                <c:pt idx="48">
                  <c:v>2.9000000000000001E-2</c:v>
                </c:pt>
                <c:pt idx="49">
                  <c:v>2.9399999999999999E-2</c:v>
                </c:pt>
                <c:pt idx="50">
                  <c:v>2.9899999999999999E-2</c:v>
                </c:pt>
                <c:pt idx="51">
                  <c:v>3.0599999999999999E-2</c:v>
                </c:pt>
                <c:pt idx="52">
                  <c:v>3.1099999999999999E-2</c:v>
                </c:pt>
                <c:pt idx="53">
                  <c:v>3.15E-2</c:v>
                </c:pt>
                <c:pt idx="54">
                  <c:v>3.1800000000000002E-2</c:v>
                </c:pt>
                <c:pt idx="55">
                  <c:v>3.1800000000000002E-2</c:v>
                </c:pt>
                <c:pt idx="56">
                  <c:v>3.2000000000000001E-2</c:v>
                </c:pt>
                <c:pt idx="57">
                  <c:v>3.2000000000000001E-2</c:v>
                </c:pt>
                <c:pt idx="58">
                  <c:v>3.2000000000000001E-2</c:v>
                </c:pt>
                <c:pt idx="59">
                  <c:v>3.2000000000000001E-2</c:v>
                </c:pt>
                <c:pt idx="60">
                  <c:v>3.2000000000000001E-2</c:v>
                </c:pt>
                <c:pt idx="61">
                  <c:v>3.1E-2</c:v>
                </c:pt>
                <c:pt idx="62">
                  <c:v>3.1E-2</c:v>
                </c:pt>
                <c:pt idx="63">
                  <c:v>3.1E-2</c:v>
                </c:pt>
                <c:pt idx="64">
                  <c:v>0.03</c:v>
                </c:pt>
                <c:pt idx="65">
                  <c:v>0.03</c:v>
                </c:pt>
                <c:pt idx="66">
                  <c:v>2.9000000000000001E-2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97-4569-8515-0BF6D8B8F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294218"/>
        <c:axId val="710218357"/>
      </c:lineChart>
      <c:catAx>
        <c:axId val="1930294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0218357"/>
        <c:crosses val="autoZero"/>
        <c:auto val="1"/>
        <c:lblAlgn val="ctr"/>
        <c:lblOffset val="100"/>
        <c:noMultiLvlLbl val="1"/>
      </c:catAx>
      <c:valAx>
        <c:axId val="710218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02942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Phuris!$C$1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Phuris!$C$2:$C$67</c:f>
              <c:numCache>
                <c:formatCode>#,##0</c:formatCode>
                <c:ptCount val="66"/>
                <c:pt idx="0">
                  <c:v>26782262.780115496</c:v>
                </c:pt>
                <c:pt idx="1">
                  <c:v>26391666.121517047</c:v>
                </c:pt>
                <c:pt idx="2">
                  <c:v>25965826.565837316</c:v>
                </c:pt>
                <c:pt idx="3">
                  <c:v>25486677.037531722</c:v>
                </c:pt>
                <c:pt idx="4">
                  <c:v>25001645.122161783</c:v>
                </c:pt>
                <c:pt idx="5">
                  <c:v>24521032.877757732</c:v>
                </c:pt>
                <c:pt idx="6">
                  <c:v>24028449.659733202</c:v>
                </c:pt>
                <c:pt idx="7">
                  <c:v>23603585.127439294</c:v>
                </c:pt>
                <c:pt idx="8">
                  <c:v>23193067.826903109</c:v>
                </c:pt>
                <c:pt idx="9">
                  <c:v>22798651.161803897</c:v>
                </c:pt>
                <c:pt idx="10">
                  <c:v>22421962.196896046</c:v>
                </c:pt>
                <c:pt idx="11">
                  <c:v>22012529.154620115</c:v>
                </c:pt>
                <c:pt idx="12">
                  <c:v>21593613.061232209</c:v>
                </c:pt>
                <c:pt idx="13">
                  <c:v>21174360.718996085</c:v>
                </c:pt>
                <c:pt idx="14">
                  <c:v>20753073.330389187</c:v>
                </c:pt>
                <c:pt idx="15">
                  <c:v>20304347.256030902</c:v>
                </c:pt>
                <c:pt idx="16">
                  <c:v>19832337.620659214</c:v>
                </c:pt>
                <c:pt idx="17">
                  <c:v>19337302.672249623</c:v>
                </c:pt>
                <c:pt idx="18">
                  <c:v>18863820.770900033</c:v>
                </c:pt>
                <c:pt idx="19">
                  <c:v>18430699.33649246</c:v>
                </c:pt>
                <c:pt idx="20">
                  <c:v>18016323.887089405</c:v>
                </c:pt>
                <c:pt idx="21">
                  <c:v>17630222.024747435</c:v>
                </c:pt>
                <c:pt idx="22">
                  <c:v>17254083.015019998</c:v>
                </c:pt>
                <c:pt idx="23">
                  <c:v>16849690.444355465</c:v>
                </c:pt>
                <c:pt idx="24">
                  <c:v>16459597.972409362</c:v>
                </c:pt>
                <c:pt idx="25">
                  <c:v>16073826.144931016</c:v>
                </c:pt>
                <c:pt idx="26">
                  <c:v>15672607.395603564</c:v>
                </c:pt>
                <c:pt idx="27">
                  <c:v>15287365.777998015</c:v>
                </c:pt>
                <c:pt idx="28">
                  <c:v>14888357.789246218</c:v>
                </c:pt>
                <c:pt idx="29">
                  <c:v>14506828.207391813</c:v>
                </c:pt>
                <c:pt idx="30">
                  <c:v>14144723.291138662</c:v>
                </c:pt>
                <c:pt idx="31">
                  <c:v>13768834.119671626</c:v>
                </c:pt>
                <c:pt idx="32">
                  <c:v>13382091.670397149</c:v>
                </c:pt>
                <c:pt idx="33">
                  <c:v>13003684.452820087</c:v>
                </c:pt>
                <c:pt idx="34">
                  <c:v>12653191.060445739</c:v>
                </c:pt>
                <c:pt idx="35">
                  <c:v>12331343.007938543</c:v>
                </c:pt>
                <c:pt idx="36">
                  <c:v>12017681.520259764</c:v>
                </c:pt>
                <c:pt idx="37">
                  <c:v>11705153.910840329</c:v>
                </c:pt>
                <c:pt idx="38">
                  <c:v>11399643.465952795</c:v>
                </c:pt>
                <c:pt idx="39">
                  <c:v>11104269.886959668</c:v>
                </c:pt>
                <c:pt idx="40">
                  <c:v>10830264.202633051</c:v>
                </c:pt>
                <c:pt idx="41">
                  <c:v>10589874.0614384</c:v>
                </c:pt>
                <c:pt idx="42">
                  <c:v>10365969.128267815</c:v>
                </c:pt>
                <c:pt idx="43">
                  <c:v>10140842.426401697</c:v>
                </c:pt>
                <c:pt idx="44">
                  <c:v>9914785.3210810497</c:v>
                </c:pt>
                <c:pt idx="45">
                  <c:v>9687137.5877684895</c:v>
                </c:pt>
                <c:pt idx="46">
                  <c:v>9442574.8979125544</c:v>
                </c:pt>
                <c:pt idx="47">
                  <c:v>9182704.3644000329</c:v>
                </c:pt>
                <c:pt idx="48">
                  <c:v>8923910.946938809</c:v>
                </c:pt>
                <c:pt idx="49">
                  <c:v>8669041.1374964137</c:v>
                </c:pt>
                <c:pt idx="50">
                  <c:v>8417362.0132987797</c:v>
                </c:pt>
                <c:pt idx="51">
                  <c:v>8167438.3983104788</c:v>
                </c:pt>
                <c:pt idx="52">
                  <c:v>7921092.4239263693</c:v>
                </c:pt>
                <c:pt idx="53">
                  <c:v>7679197.6964870272</c:v>
                </c:pt>
                <c:pt idx="54">
                  <c:v>7442525.389113226</c:v>
                </c:pt>
                <c:pt idx="55">
                  <c:v>7213147.3048199508</c:v>
                </c:pt>
                <c:pt idx="56">
                  <c:v>6989483.8224999523</c:v>
                </c:pt>
                <c:pt idx="57">
                  <c:v>6772755.6419573175</c:v>
                </c:pt>
                <c:pt idx="58">
                  <c:v>6562747.7150749201</c:v>
                </c:pt>
                <c:pt idx="59">
                  <c:v>6359251.6618943019</c:v>
                </c:pt>
                <c:pt idx="60">
                  <c:v>6162065.5638510678</c:v>
                </c:pt>
                <c:pt idx="61">
                  <c:v>5976785.2219699984</c:v>
                </c:pt>
                <c:pt idx="62">
                  <c:v>5797075.8699999992</c:v>
                </c:pt>
                <c:pt idx="63">
                  <c:v>5622770</c:v>
                </c:pt>
                <c:pt idx="64">
                  <c:v>5459000</c:v>
                </c:pt>
                <c:pt idx="65">
                  <c:v>5300000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3-478B-9DC3-EFDAA2A57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09218"/>
        <c:axId val="633060572"/>
      </c:lineChart>
      <c:catAx>
        <c:axId val="137409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3060572"/>
        <c:crosses val="autoZero"/>
        <c:auto val="1"/>
        <c:lblAlgn val="ctr"/>
        <c:lblOffset val="100"/>
        <c:noMultiLvlLbl val="1"/>
      </c:catAx>
      <c:valAx>
        <c:axId val="633060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4092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Praesyu!$D$1:$D$67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7.6E-3</c:v>
                </c:pt>
                <c:pt idx="4">
                  <c:v>8.0000000000000002E-3</c:v>
                </c:pt>
                <c:pt idx="5">
                  <c:v>7.9000000000000008E-3</c:v>
                </c:pt>
                <c:pt idx="6">
                  <c:v>8.5000000000000006E-3</c:v>
                </c:pt>
                <c:pt idx="7">
                  <c:v>8.8000000000000005E-3</c:v>
                </c:pt>
                <c:pt idx="8">
                  <c:v>9.4999999999999998E-3</c:v>
                </c:pt>
                <c:pt idx="9">
                  <c:v>9.4999999999999998E-3</c:v>
                </c:pt>
                <c:pt idx="10">
                  <c:v>9.5999999999999992E-3</c:v>
                </c:pt>
                <c:pt idx="11">
                  <c:v>9.1999999999999998E-3</c:v>
                </c:pt>
                <c:pt idx="12">
                  <c:v>9.2999999999999992E-3</c:v>
                </c:pt>
                <c:pt idx="13">
                  <c:v>1.1599999999999999E-2</c:v>
                </c:pt>
                <c:pt idx="14">
                  <c:v>1.23E-2</c:v>
                </c:pt>
                <c:pt idx="15">
                  <c:v>1.49E-2</c:v>
                </c:pt>
                <c:pt idx="16">
                  <c:v>1.41E-2</c:v>
                </c:pt>
                <c:pt idx="17">
                  <c:v>1.1650000000000001E-2</c:v>
                </c:pt>
                <c:pt idx="18">
                  <c:v>1.77E-2</c:v>
                </c:pt>
                <c:pt idx="19">
                  <c:v>1.7000000000000001E-2</c:v>
                </c:pt>
                <c:pt idx="20">
                  <c:v>1.66E-2</c:v>
                </c:pt>
                <c:pt idx="21">
                  <c:v>1.6900000000000002E-2</c:v>
                </c:pt>
                <c:pt idx="22">
                  <c:v>1.7299999999999999E-2</c:v>
                </c:pt>
                <c:pt idx="23">
                  <c:v>1.8200000000000001E-2</c:v>
                </c:pt>
                <c:pt idx="24">
                  <c:v>1.89E-2</c:v>
                </c:pt>
                <c:pt idx="25">
                  <c:v>1.84E-2</c:v>
                </c:pt>
                <c:pt idx="26">
                  <c:v>1.6299999999999999E-2</c:v>
                </c:pt>
                <c:pt idx="27">
                  <c:v>1.44E-2</c:v>
                </c:pt>
                <c:pt idx="28">
                  <c:v>1.4100000000000001E-2</c:v>
                </c:pt>
                <c:pt idx="29">
                  <c:v>1.3899999999999999E-2</c:v>
                </c:pt>
                <c:pt idx="30">
                  <c:v>1.4200000000000001E-2</c:v>
                </c:pt>
                <c:pt idx="31">
                  <c:v>1.89E-2</c:v>
                </c:pt>
                <c:pt idx="32">
                  <c:v>1.37E-2</c:v>
                </c:pt>
                <c:pt idx="33">
                  <c:v>1.4100000000000001E-2</c:v>
                </c:pt>
                <c:pt idx="34">
                  <c:v>1.4499999999999999E-2</c:v>
                </c:pt>
                <c:pt idx="35">
                  <c:v>1.4800000000000001E-2</c:v>
                </c:pt>
                <c:pt idx="36">
                  <c:v>1.4599999999999998E-2</c:v>
                </c:pt>
                <c:pt idx="37">
                  <c:v>1.6E-2</c:v>
                </c:pt>
                <c:pt idx="38">
                  <c:v>1.5599999999999999E-2</c:v>
                </c:pt>
                <c:pt idx="39">
                  <c:v>1.5099999999999999E-2</c:v>
                </c:pt>
                <c:pt idx="40">
                  <c:v>1.4499999999999999E-2</c:v>
                </c:pt>
                <c:pt idx="41">
                  <c:v>1.9900000000000001E-2</c:v>
                </c:pt>
                <c:pt idx="42">
                  <c:v>1.4100000000000001E-2</c:v>
                </c:pt>
                <c:pt idx="43">
                  <c:v>1.4499999999999999E-2</c:v>
                </c:pt>
                <c:pt idx="44">
                  <c:v>1.5699999999999999E-2</c:v>
                </c:pt>
                <c:pt idx="45">
                  <c:v>1.7600000000000001E-2</c:v>
                </c:pt>
                <c:pt idx="46">
                  <c:v>1.67E-2</c:v>
                </c:pt>
                <c:pt idx="47">
                  <c:v>1.4800000000000001E-2</c:v>
                </c:pt>
                <c:pt idx="48">
                  <c:v>1.4999999999999999E-2</c:v>
                </c:pt>
                <c:pt idx="49">
                  <c:v>2.0900000000000002E-2</c:v>
                </c:pt>
                <c:pt idx="50">
                  <c:v>1.6500000000000001E-2</c:v>
                </c:pt>
                <c:pt idx="51">
                  <c:v>1.7500000000000002E-2</c:v>
                </c:pt>
                <c:pt idx="52">
                  <c:v>1.89E-2</c:v>
                </c:pt>
                <c:pt idx="53">
                  <c:v>1.9400000000000001E-2</c:v>
                </c:pt>
                <c:pt idx="54">
                  <c:v>2.0400000000000001E-2</c:v>
                </c:pt>
                <c:pt idx="55">
                  <c:v>2.1600000000000001E-2</c:v>
                </c:pt>
                <c:pt idx="56">
                  <c:v>2.2000000000000002E-2</c:v>
                </c:pt>
                <c:pt idx="57">
                  <c:v>2.2000000000000002E-2</c:v>
                </c:pt>
                <c:pt idx="58">
                  <c:v>2.2000000000000002E-2</c:v>
                </c:pt>
                <c:pt idx="59">
                  <c:v>2.3E-2</c:v>
                </c:pt>
                <c:pt idx="60">
                  <c:v>2.3E-2</c:v>
                </c:pt>
                <c:pt idx="61">
                  <c:v>2.3E-2</c:v>
                </c:pt>
                <c:pt idx="62">
                  <c:v>2.3E-2</c:v>
                </c:pt>
                <c:pt idx="63">
                  <c:v>2.3E-2</c:v>
                </c:pt>
                <c:pt idx="64">
                  <c:v>2.3E-2</c:v>
                </c:pt>
                <c:pt idx="65">
                  <c:v>2.2000000000000002E-2</c:v>
                </c:pt>
                <c:pt idx="66">
                  <c:v>2.2000000000000002E-2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E2-4A59-A773-4D92B39F6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641920"/>
        <c:axId val="969409271"/>
      </c:lineChart>
      <c:catAx>
        <c:axId val="205564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9409271"/>
        <c:crosses val="autoZero"/>
        <c:auto val="1"/>
        <c:lblAlgn val="ctr"/>
        <c:lblOffset val="100"/>
        <c:noMultiLvlLbl val="1"/>
      </c:catAx>
      <c:valAx>
        <c:axId val="969409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56419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Praesyu!$C$1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Praesyu!$C$2:$C$67</c:f>
              <c:numCache>
                <c:formatCode>#,##0</c:formatCode>
                <c:ptCount val="66"/>
                <c:pt idx="0">
                  <c:v>39228163.544304334</c:v>
                </c:pt>
                <c:pt idx="1">
                  <c:v>38916828.91300033</c:v>
                </c:pt>
                <c:pt idx="2">
                  <c:v>38607965.191468582</c:v>
                </c:pt>
                <c:pt idx="3">
                  <c:v>38316757.831945792</c:v>
                </c:pt>
                <c:pt idx="4">
                  <c:v>38012656.579311304</c:v>
                </c:pt>
                <c:pt idx="5">
                  <c:v>37714710.367408775</c:v>
                </c:pt>
                <c:pt idx="6">
                  <c:v>37396837.25077717</c:v>
                </c:pt>
                <c:pt idx="7">
                  <c:v>37070615.831460319</c:v>
                </c:pt>
                <c:pt idx="8">
                  <c:v>36721759.11982201</c:v>
                </c:pt>
                <c:pt idx="9">
                  <c:v>36376185.358912341</c:v>
                </c:pt>
                <c:pt idx="10">
                  <c:v>36030294.531410798</c:v>
                </c:pt>
                <c:pt idx="11">
                  <c:v>35701837.625258416</c:v>
                </c:pt>
                <c:pt idx="12">
                  <c:v>35372869.934864178</c:v>
                </c:pt>
                <c:pt idx="13">
                  <c:v>34967249.836757787</c:v>
                </c:pt>
                <c:pt idx="14">
                  <c:v>34542378.580221072</c:v>
                </c:pt>
                <c:pt idx="15">
                  <c:v>34035253.305962235</c:v>
                </c:pt>
                <c:pt idx="16">
                  <c:v>33562028.701274268</c:v>
                </c:pt>
                <c:pt idx="17">
                  <c:v>33175533.733281538</c:v>
                </c:pt>
                <c:pt idx="18">
                  <c:v>32598539.582668308</c:v>
                </c:pt>
                <c:pt idx="19">
                  <c:v>32053627.908228427</c:v>
                </c:pt>
                <c:pt idx="20">
                  <c:v>31530226.154070854</c:v>
                </c:pt>
                <c:pt idx="21">
                  <c:v>31006221.018852253</c:v>
                </c:pt>
                <c:pt idx="22">
                  <c:v>30478935.435812689</c:v>
                </c:pt>
                <c:pt idx="23">
                  <c:v>29934134.19349115</c:v>
                </c:pt>
                <c:pt idx="24">
                  <c:v>29378873.484631613</c:v>
                </c:pt>
                <c:pt idx="25">
                  <c:v>28848069.014760029</c:v>
                </c:pt>
                <c:pt idx="26">
                  <c:v>28385387.203345496</c:v>
                </c:pt>
                <c:pt idx="27">
                  <c:v>27982440.06638949</c:v>
                </c:pt>
                <c:pt idx="28">
                  <c:v>27593373.50003894</c:v>
                </c:pt>
                <c:pt idx="29">
                  <c:v>27215083.834736109</c:v>
                </c:pt>
                <c:pt idx="30">
                  <c:v>26834040.460201252</c:v>
                </c:pt>
                <c:pt idx="31">
                  <c:v>26336284.679753907</c:v>
                </c:pt>
                <c:pt idx="32">
                  <c:v>25980353.832252052</c:v>
                </c:pt>
                <c:pt idx="33">
                  <c:v>25619124.181295782</c:v>
                </c:pt>
                <c:pt idx="34">
                  <c:v>25252956.314732168</c:v>
                </c:pt>
                <c:pt idx="35">
                  <c:v>24884663.297922909</c:v>
                </c:pt>
                <c:pt idx="36">
                  <c:v>24526575.298563879</c:v>
                </c:pt>
                <c:pt idx="37">
                  <c:v>24140330.018271536</c:v>
                </c:pt>
                <c:pt idx="38">
                  <c:v>23769525.42169312</c:v>
                </c:pt>
                <c:pt idx="39">
                  <c:v>23415944.657366883</c:v>
                </c:pt>
                <c:pt idx="40">
                  <c:v>23081266.296073813</c:v>
                </c:pt>
                <c:pt idx="41">
                  <c:v>22630911.163911965</c:v>
                </c:pt>
                <c:pt idx="42">
                  <c:v>22316252.010563027</c:v>
                </c:pt>
                <c:pt idx="43">
                  <c:v>21997291.286902934</c:v>
                </c:pt>
                <c:pt idx="44">
                  <c:v>21657272.114702109</c:v>
                </c:pt>
                <c:pt idx="45">
                  <c:v>21282696.65359877</c:v>
                </c:pt>
                <c:pt idx="46">
                  <c:v>20933113.655551068</c:v>
                </c:pt>
                <c:pt idx="47">
                  <c:v>20627821.891556039</c:v>
                </c:pt>
                <c:pt idx="48">
                  <c:v>20322977.23306014</c:v>
                </c:pt>
                <c:pt idx="49">
                  <c:v>19906922.551729005</c:v>
                </c:pt>
                <c:pt idx="50">
                  <c:v>19583790.016457457</c:v>
                </c:pt>
                <c:pt idx="51">
                  <c:v>19246968.075142462</c:v>
                </c:pt>
                <c:pt idx="52">
                  <c:v>18889948.056867663</c:v>
                </c:pt>
                <c:pt idx="53">
                  <c:v>18530457.187431492</c:v>
                </c:pt>
                <c:pt idx="54">
                  <c:v>18159993.32362945</c:v>
                </c:pt>
                <c:pt idx="55">
                  <c:v>17776031.05288709</c:v>
                </c:pt>
                <c:pt idx="56">
                  <c:v>17393376.764077388</c:v>
                </c:pt>
                <c:pt idx="57">
                  <c:v>17018959.651739128</c:v>
                </c:pt>
                <c:pt idx="58">
                  <c:v>16652602.398961963</c:v>
                </c:pt>
                <c:pt idx="59">
                  <c:v>16278203.713550307</c:v>
                </c:pt>
                <c:pt idx="60">
                  <c:v>15912222.59389082</c:v>
                </c:pt>
                <c:pt idx="61">
                  <c:v>15554469.788749581</c:v>
                </c:pt>
                <c:pt idx="62">
                  <c:v>15204760.301807998</c:v>
                </c:pt>
                <c:pt idx="63">
                  <c:v>14862913.295999998</c:v>
                </c:pt>
                <c:pt idx="64">
                  <c:v>14528752</c:v>
                </c:pt>
                <c:pt idx="65">
                  <c:v>14216000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2-421D-9197-46240824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772889"/>
        <c:axId val="1254821635"/>
      </c:lineChart>
      <c:catAx>
        <c:axId val="737772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4821635"/>
        <c:crosses val="autoZero"/>
        <c:auto val="1"/>
        <c:lblAlgn val="ctr"/>
        <c:lblOffset val="100"/>
        <c:noMultiLvlLbl val="1"/>
      </c:catAx>
      <c:valAx>
        <c:axId val="1254821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7728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Prstreula!$D$1:$D$67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3.2000000000000002E-3</c:v>
                </c:pt>
                <c:pt idx="2">
                  <c:v>3.5999999999999999E-3</c:v>
                </c:pt>
                <c:pt idx="3">
                  <c:v>4.0000000000000001E-3</c:v>
                </c:pt>
                <c:pt idx="4">
                  <c:v>5.4000000000000003E-3</c:v>
                </c:pt>
                <c:pt idx="5">
                  <c:v>7.7999999999999996E-3</c:v>
                </c:pt>
                <c:pt idx="6">
                  <c:v>5.7999999999999996E-3</c:v>
                </c:pt>
                <c:pt idx="7">
                  <c:v>1.1999999999999999E-3</c:v>
                </c:pt>
                <c:pt idx="8">
                  <c:v>4.1000000000000003E-3</c:v>
                </c:pt>
                <c:pt idx="9">
                  <c:v>4.0000000000000001E-3</c:v>
                </c:pt>
                <c:pt idx="10">
                  <c:v>2.7000000000000001E-3</c:v>
                </c:pt>
                <c:pt idx="11">
                  <c:v>2.2000000000000001E-3</c:v>
                </c:pt>
                <c:pt idx="12">
                  <c:v>5.0000000000000001E-3</c:v>
                </c:pt>
                <c:pt idx="13">
                  <c:v>5.0000000000000001E-3</c:v>
                </c:pt>
                <c:pt idx="14">
                  <c:v>4.7999999999999996E-3</c:v>
                </c:pt>
                <c:pt idx="15">
                  <c:v>4.4000000000000003E-3</c:v>
                </c:pt>
                <c:pt idx="16">
                  <c:v>3.8E-3</c:v>
                </c:pt>
                <c:pt idx="17">
                  <c:v>3.3999999999999998E-3</c:v>
                </c:pt>
                <c:pt idx="18">
                  <c:v>3.3999999999999998E-3</c:v>
                </c:pt>
                <c:pt idx="19">
                  <c:v>3.8E-3</c:v>
                </c:pt>
                <c:pt idx="20">
                  <c:v>4.4000000000000003E-3</c:v>
                </c:pt>
                <c:pt idx="21">
                  <c:v>5.3E-3</c:v>
                </c:pt>
                <c:pt idx="22">
                  <c:v>6.1000000000000004E-3</c:v>
                </c:pt>
                <c:pt idx="23">
                  <c:v>6.8999999999999999E-3</c:v>
                </c:pt>
                <c:pt idx="24">
                  <c:v>7.4999999999999997E-3</c:v>
                </c:pt>
                <c:pt idx="25">
                  <c:v>7.9000000000000008E-3</c:v>
                </c:pt>
                <c:pt idx="26">
                  <c:v>8.5000000000000006E-3</c:v>
                </c:pt>
                <c:pt idx="27">
                  <c:v>9.2999999999999992E-3</c:v>
                </c:pt>
                <c:pt idx="28">
                  <c:v>1.04E-2</c:v>
                </c:pt>
                <c:pt idx="29">
                  <c:v>1.18E-2</c:v>
                </c:pt>
                <c:pt idx="30">
                  <c:v>1.32E-2</c:v>
                </c:pt>
                <c:pt idx="31">
                  <c:v>1.2200000000000001E-2</c:v>
                </c:pt>
                <c:pt idx="32">
                  <c:v>1.0699999999999999E-2</c:v>
                </c:pt>
                <c:pt idx="33">
                  <c:v>1.09E-2</c:v>
                </c:pt>
                <c:pt idx="34">
                  <c:v>1.12E-2</c:v>
                </c:pt>
                <c:pt idx="35">
                  <c:v>1.1900000000000001E-2</c:v>
                </c:pt>
                <c:pt idx="36">
                  <c:v>1.2699999999999999E-2</c:v>
                </c:pt>
                <c:pt idx="37">
                  <c:v>1.2999999999999999E-2</c:v>
                </c:pt>
                <c:pt idx="38">
                  <c:v>1.2699999999999999E-2</c:v>
                </c:pt>
                <c:pt idx="39">
                  <c:v>1.23E-2</c:v>
                </c:pt>
                <c:pt idx="40">
                  <c:v>1.21E-2</c:v>
                </c:pt>
                <c:pt idx="41">
                  <c:v>1.21E-2</c:v>
                </c:pt>
                <c:pt idx="42">
                  <c:v>1.2500000000000001E-2</c:v>
                </c:pt>
                <c:pt idx="43">
                  <c:v>1.2699999999999999E-2</c:v>
                </c:pt>
                <c:pt idx="44">
                  <c:v>1.2200000000000001E-2</c:v>
                </c:pt>
                <c:pt idx="45">
                  <c:v>1.11E-2</c:v>
                </c:pt>
                <c:pt idx="46">
                  <c:v>1.09E-2</c:v>
                </c:pt>
                <c:pt idx="47">
                  <c:v>1.2E-2</c:v>
                </c:pt>
                <c:pt idx="48">
                  <c:v>1.3100000000000001E-2</c:v>
                </c:pt>
                <c:pt idx="49">
                  <c:v>1.4200000000000001E-2</c:v>
                </c:pt>
                <c:pt idx="50">
                  <c:v>1.55E-2</c:v>
                </c:pt>
                <c:pt idx="51">
                  <c:v>1.6799999999999999E-2</c:v>
                </c:pt>
                <c:pt idx="52">
                  <c:v>1.7899999999999999E-2</c:v>
                </c:pt>
                <c:pt idx="53">
                  <c:v>1.8700000000000001E-2</c:v>
                </c:pt>
                <c:pt idx="54">
                  <c:v>1.9599999999999999E-2</c:v>
                </c:pt>
                <c:pt idx="55">
                  <c:v>2.1299999999999999E-2</c:v>
                </c:pt>
                <c:pt idx="56">
                  <c:v>2.1999999999999999E-2</c:v>
                </c:pt>
                <c:pt idx="57">
                  <c:v>2.4E-2</c:v>
                </c:pt>
                <c:pt idx="58">
                  <c:v>2.5999999999999999E-2</c:v>
                </c:pt>
                <c:pt idx="59">
                  <c:v>2.8000000000000001E-2</c:v>
                </c:pt>
                <c:pt idx="60">
                  <c:v>2.8000000000000001E-2</c:v>
                </c:pt>
                <c:pt idx="61">
                  <c:v>2.8000000000000001E-2</c:v>
                </c:pt>
                <c:pt idx="62">
                  <c:v>2.8000000000000001E-2</c:v>
                </c:pt>
                <c:pt idx="63">
                  <c:v>2.8000000000000001E-2</c:v>
                </c:pt>
                <c:pt idx="64">
                  <c:v>2.7E-2</c:v>
                </c:pt>
                <c:pt idx="65">
                  <c:v>2.5999999999999999E-2</c:v>
                </c:pt>
                <c:pt idx="66">
                  <c:v>2.5000000000000001E-2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B1-4C9F-8424-B4959ED85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796089"/>
        <c:axId val="1144105523"/>
      </c:lineChart>
      <c:catAx>
        <c:axId val="1351796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4105523"/>
        <c:crosses val="autoZero"/>
        <c:auto val="1"/>
        <c:lblAlgn val="ctr"/>
        <c:lblOffset val="100"/>
        <c:noMultiLvlLbl val="1"/>
      </c:catAx>
      <c:valAx>
        <c:axId val="1144105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17960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Prstreula!$C$1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Prstreula!$C$2:$C$67</c:f>
              <c:numCache>
                <c:formatCode>#,##0</c:formatCode>
                <c:ptCount val="66"/>
                <c:pt idx="0">
                  <c:v>6835350.6596222483</c:v>
                </c:pt>
                <c:pt idx="1">
                  <c:v>6813547.308235893</c:v>
                </c:pt>
                <c:pt idx="2">
                  <c:v>6789106.5247468045</c:v>
                </c:pt>
                <c:pt idx="3">
                  <c:v>6762058.2915804824</c:v>
                </c:pt>
                <c:pt idx="4">
                  <c:v>6725739.2993639167</c:v>
                </c:pt>
                <c:pt idx="5">
                  <c:v>6673684.5597974965</c:v>
                </c:pt>
                <c:pt idx="6">
                  <c:v>6635200.3974920427</c:v>
                </c:pt>
                <c:pt idx="7">
                  <c:v>6627247.7002517404</c:v>
                </c:pt>
                <c:pt idx="8">
                  <c:v>6600186.9338230658</c:v>
                </c:pt>
                <c:pt idx="9">
                  <c:v>6573891.3683496667</c:v>
                </c:pt>
                <c:pt idx="10">
                  <c:v>6556189.6562777171</c:v>
                </c:pt>
                <c:pt idx="11">
                  <c:v>6541797.701334781</c:v>
                </c:pt>
                <c:pt idx="12">
                  <c:v>6509251.444114211</c:v>
                </c:pt>
                <c:pt idx="13">
                  <c:v>6476867.1085713552</c:v>
                </c:pt>
                <c:pt idx="14">
                  <c:v>6445926.6606004732</c:v>
                </c:pt>
                <c:pt idx="15">
                  <c:v>6417688.8297495749</c:v>
                </c:pt>
                <c:pt idx="16">
                  <c:v>6393393.9328049161</c:v>
                </c:pt>
                <c:pt idx="17">
                  <c:v>6371730.0506327646</c:v>
                </c:pt>
                <c:pt idx="18">
                  <c:v>6350139.5760741122</c:v>
                </c:pt>
                <c:pt idx="19">
                  <c:v>6326100.3945747279</c:v>
                </c:pt>
                <c:pt idx="20">
                  <c:v>6298387.4896203987</c:v>
                </c:pt>
                <c:pt idx="21">
                  <c:v>6265182.0248884894</c:v>
                </c:pt>
                <c:pt idx="22">
                  <c:v>6227196.1285046116</c:v>
                </c:pt>
                <c:pt idx="23">
                  <c:v>6184522.9203541679</c:v>
                </c:pt>
                <c:pt idx="24">
                  <c:v>6138484.288192722</c:v>
                </c:pt>
                <c:pt idx="25">
                  <c:v>6090370.3623303128</c:v>
                </c:pt>
                <c:pt idx="26">
                  <c:v>6039038.5347846439</c:v>
                </c:pt>
                <c:pt idx="27">
                  <c:v>5983392.9800699921</c:v>
                </c:pt>
                <c:pt idx="28">
                  <c:v>5921806.1956353839</c:v>
                </c:pt>
                <c:pt idx="29">
                  <c:v>5852743.818576185</c:v>
                </c:pt>
                <c:pt idx="30">
                  <c:v>5776494.0965023534</c:v>
                </c:pt>
                <c:pt idx="31">
                  <c:v>5706870.2790973652</c:v>
                </c:pt>
                <c:pt idx="32">
                  <c:v>5646453.2295412738</c:v>
                </c:pt>
                <c:pt idx="33">
                  <c:v>5585570.5109716831</c:v>
                </c:pt>
                <c:pt idx="34">
                  <c:v>5523705.0148058571</c:v>
                </c:pt>
                <c:pt idx="35">
                  <c:v>5458745.9381419672</c:v>
                </c:pt>
                <c:pt idx="36">
                  <c:v>5390289.2644830327</c:v>
                </c:pt>
                <c:pt idx="37">
                  <c:v>5321114.7724412968</c:v>
                </c:pt>
                <c:pt idx="38">
                  <c:v>5254384.0944418851</c:v>
                </c:pt>
                <c:pt idx="39">
                  <c:v>5190540.4469444687</c:v>
                </c:pt>
                <c:pt idx="40">
                  <c:v>5128485.7691379003</c:v>
                </c:pt>
                <c:pt idx="41">
                  <c:v>5067172.9761267668</c:v>
                </c:pt>
                <c:pt idx="42">
                  <c:v>5004615.2850634735</c:v>
                </c:pt>
                <c:pt idx="43">
                  <c:v>4941853.742533301</c:v>
                </c:pt>
                <c:pt idx="44">
                  <c:v>4882289.8068892518</c:v>
                </c:pt>
                <c:pt idx="45">
                  <c:v>4828691.3330919305</c:v>
                </c:pt>
                <c:pt idx="46">
                  <c:v>4776626.1085091811</c:v>
                </c:pt>
                <c:pt idx="47">
                  <c:v>4719986.2732304158</c:v>
                </c:pt>
                <c:pt idx="48">
                  <c:v>4658953.9761429429</c:v>
                </c:pt>
                <c:pt idx="49">
                  <c:v>4593723.1080092117</c:v>
                </c:pt>
                <c:pt idx="50">
                  <c:v>4523607.1964640189</c:v>
                </c:pt>
                <c:pt idx="51">
                  <c:v>4448866.2435720097</c:v>
                </c:pt>
                <c:pt idx="52">
                  <c:v>4370631.9319893997</c:v>
                </c:pt>
                <c:pt idx="53">
                  <c:v>4290401.4253356243</c:v>
                </c:pt>
                <c:pt idx="54">
                  <c:v>4207926.0742797414</c:v>
                </c:pt>
                <c:pt idx="55">
                  <c:v>4120166.5272493302</c:v>
                </c:pt>
                <c:pt idx="56">
                  <c:v>4031474.0971128475</c:v>
                </c:pt>
                <c:pt idx="57">
                  <c:v>3936986.422961765</c:v>
                </c:pt>
                <c:pt idx="58">
                  <c:v>3837218.7358301803</c:v>
                </c:pt>
                <c:pt idx="59">
                  <c:v>3732703.0504184631</c:v>
                </c:pt>
                <c:pt idx="60">
                  <c:v>3631034.0957378047</c:v>
                </c:pt>
                <c:pt idx="61">
                  <c:v>3532134.3343752963</c:v>
                </c:pt>
                <c:pt idx="62">
                  <c:v>3435928.3408320001</c:v>
                </c:pt>
                <c:pt idx="63">
                  <c:v>3342342.7439999999</c:v>
                </c:pt>
                <c:pt idx="64">
                  <c:v>3254472</c:v>
                </c:pt>
                <c:pt idx="65">
                  <c:v>3172000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4-44DF-B0E7-D814E3F5C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216027"/>
        <c:axId val="686429593"/>
      </c:lineChart>
      <c:catAx>
        <c:axId val="1965216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6429593"/>
        <c:crosses val="autoZero"/>
        <c:auto val="1"/>
        <c:lblAlgn val="ctr"/>
        <c:lblOffset val="100"/>
        <c:noMultiLvlLbl val="1"/>
      </c:catAx>
      <c:valAx>
        <c:axId val="686429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52160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'Pruim Fijan'!$D$1:$D$67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1.2999999999999999E-3</c:v>
                </c:pt>
                <c:pt idx="2">
                  <c:v>-4.1999999999999997E-3</c:v>
                </c:pt>
                <c:pt idx="3">
                  <c:v>6.7999999999999996E-3</c:v>
                </c:pt>
                <c:pt idx="4">
                  <c:v>0.01</c:v>
                </c:pt>
                <c:pt idx="5">
                  <c:v>1.5900000000000001E-2</c:v>
                </c:pt>
                <c:pt idx="6">
                  <c:v>-8.0000000000000002E-3</c:v>
                </c:pt>
                <c:pt idx="7">
                  <c:v>-6.6E-3</c:v>
                </c:pt>
                <c:pt idx="8">
                  <c:v>2.1299999999999999E-2</c:v>
                </c:pt>
                <c:pt idx="9">
                  <c:v>1.9300000000000001E-2</c:v>
                </c:pt>
                <c:pt idx="10">
                  <c:v>2.0500000000000001E-2</c:v>
                </c:pt>
                <c:pt idx="11">
                  <c:v>2.2599999999999999E-2</c:v>
                </c:pt>
                <c:pt idx="12">
                  <c:v>2.1600000000000001E-2</c:v>
                </c:pt>
                <c:pt idx="13">
                  <c:v>2.3900000000000001E-2</c:v>
                </c:pt>
                <c:pt idx="14">
                  <c:v>2.1899999999999999E-2</c:v>
                </c:pt>
                <c:pt idx="15">
                  <c:v>2.2200000000000001E-2</c:v>
                </c:pt>
                <c:pt idx="16">
                  <c:v>2.75E-2</c:v>
                </c:pt>
                <c:pt idx="17">
                  <c:v>2.7400000000000001E-2</c:v>
                </c:pt>
                <c:pt idx="18">
                  <c:v>2.7099999999999999E-2</c:v>
                </c:pt>
                <c:pt idx="19">
                  <c:v>2.75E-2</c:v>
                </c:pt>
                <c:pt idx="20">
                  <c:v>2.5899999999999999E-2</c:v>
                </c:pt>
                <c:pt idx="21">
                  <c:v>2.7300000000000001E-2</c:v>
                </c:pt>
                <c:pt idx="22">
                  <c:v>3.1199999999999999E-2</c:v>
                </c:pt>
                <c:pt idx="23">
                  <c:v>3.1899999999999998E-2</c:v>
                </c:pt>
                <c:pt idx="24">
                  <c:v>3.1800000000000002E-2</c:v>
                </c:pt>
                <c:pt idx="25">
                  <c:v>3.1300000000000001E-2</c:v>
                </c:pt>
                <c:pt idx="26">
                  <c:v>3.1099999999999999E-2</c:v>
                </c:pt>
                <c:pt idx="27">
                  <c:v>2.5499999999999998E-2</c:v>
                </c:pt>
                <c:pt idx="28">
                  <c:v>1.66E-2</c:v>
                </c:pt>
                <c:pt idx="29">
                  <c:v>1.32E-2</c:v>
                </c:pt>
                <c:pt idx="30">
                  <c:v>1.2699999999999999E-2</c:v>
                </c:pt>
                <c:pt idx="31">
                  <c:v>1.2500000000000001E-2</c:v>
                </c:pt>
                <c:pt idx="32">
                  <c:v>1.2200000000000001E-2</c:v>
                </c:pt>
                <c:pt idx="33">
                  <c:v>1.1900000000000001E-2</c:v>
                </c:pt>
                <c:pt idx="34">
                  <c:v>1.1599999999999999E-2</c:v>
                </c:pt>
                <c:pt idx="35">
                  <c:v>1.1299999999999999E-2</c:v>
                </c:pt>
                <c:pt idx="36">
                  <c:v>1.0999999999999999E-2</c:v>
                </c:pt>
                <c:pt idx="37">
                  <c:v>1.0699999999999999E-2</c:v>
                </c:pt>
                <c:pt idx="38">
                  <c:v>1.0500000000000001E-2</c:v>
                </c:pt>
                <c:pt idx="39">
                  <c:v>1.03E-2</c:v>
                </c:pt>
                <c:pt idx="40">
                  <c:v>1.49E-2</c:v>
                </c:pt>
                <c:pt idx="41">
                  <c:v>1.95E-2</c:v>
                </c:pt>
                <c:pt idx="42">
                  <c:v>1.9300000000000001E-2</c:v>
                </c:pt>
                <c:pt idx="43">
                  <c:v>1.9199999999999998E-2</c:v>
                </c:pt>
                <c:pt idx="44">
                  <c:v>1.9599999999999999E-2</c:v>
                </c:pt>
                <c:pt idx="45">
                  <c:v>2.07E-2</c:v>
                </c:pt>
                <c:pt idx="46">
                  <c:v>2.2200000000000001E-2</c:v>
                </c:pt>
                <c:pt idx="47">
                  <c:v>2.29E-2</c:v>
                </c:pt>
                <c:pt idx="48">
                  <c:v>2.2499999999999999E-2</c:v>
                </c:pt>
                <c:pt idx="49">
                  <c:v>2.18E-2</c:v>
                </c:pt>
                <c:pt idx="50">
                  <c:v>2.12E-2</c:v>
                </c:pt>
                <c:pt idx="51">
                  <c:v>2.06E-2</c:v>
                </c:pt>
                <c:pt idx="52">
                  <c:v>2.01E-2</c:v>
                </c:pt>
                <c:pt idx="53">
                  <c:v>1.9599999999999999E-2</c:v>
                </c:pt>
                <c:pt idx="54">
                  <c:v>1.9099999999999999E-2</c:v>
                </c:pt>
                <c:pt idx="55">
                  <c:v>1.8800000000000001E-2</c:v>
                </c:pt>
                <c:pt idx="56">
                  <c:v>1.7999999999999999E-2</c:v>
                </c:pt>
                <c:pt idx="57">
                  <c:v>1.7999999999999999E-2</c:v>
                </c:pt>
                <c:pt idx="58">
                  <c:v>1.7999999999999999E-2</c:v>
                </c:pt>
                <c:pt idx="59">
                  <c:v>1.7000000000000001E-2</c:v>
                </c:pt>
                <c:pt idx="60">
                  <c:v>1.7000000000000001E-2</c:v>
                </c:pt>
                <c:pt idx="61">
                  <c:v>1.7000000000000001E-2</c:v>
                </c:pt>
                <c:pt idx="62">
                  <c:v>1.6E-2</c:v>
                </c:pt>
                <c:pt idx="63">
                  <c:v>1.6E-2</c:v>
                </c:pt>
                <c:pt idx="64">
                  <c:v>1.4999999999999999E-2</c:v>
                </c:pt>
                <c:pt idx="65">
                  <c:v>1.4999999999999999E-2</c:v>
                </c:pt>
                <c:pt idx="66">
                  <c:v>1.4999999999999999E-2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6A-47C5-BE43-A95460CC8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267511"/>
        <c:axId val="425665786"/>
      </c:lineChart>
      <c:catAx>
        <c:axId val="253267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5665786"/>
        <c:crosses val="autoZero"/>
        <c:auto val="1"/>
        <c:lblAlgn val="ctr"/>
        <c:lblOffset val="100"/>
        <c:noMultiLvlLbl val="1"/>
      </c:catAx>
      <c:valAx>
        <c:axId val="42566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32675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'Pruim Fijan'!$C$1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'Pruim Fijan'!$C$2:$C$67</c:f>
              <c:numCache>
                <c:formatCode>#,##0</c:formatCode>
                <c:ptCount val="66"/>
                <c:pt idx="0">
                  <c:v>3307276.8290600143</c:v>
                </c:pt>
                <c:pt idx="1">
                  <c:v>3302982.9512234237</c:v>
                </c:pt>
                <c:pt idx="2">
                  <c:v>3316913.9899813454</c:v>
                </c:pt>
                <c:pt idx="3">
                  <c:v>3294511.3130525881</c:v>
                </c:pt>
                <c:pt idx="4">
                  <c:v>3261892.3891609781</c:v>
                </c:pt>
                <c:pt idx="5">
                  <c:v>3210840.0326419706</c:v>
                </c:pt>
                <c:pt idx="6">
                  <c:v>3236733.9038729542</c:v>
                </c:pt>
                <c:pt idx="7">
                  <c:v>3258238.27649784</c:v>
                </c:pt>
                <c:pt idx="8">
                  <c:v>3190285.2017015954</c:v>
                </c:pt>
                <c:pt idx="9">
                  <c:v>3129878.5457682675</c:v>
                </c:pt>
                <c:pt idx="10">
                  <c:v>3067004.9444079055</c:v>
                </c:pt>
                <c:pt idx="11">
                  <c:v>2999222.5155563327</c:v>
                </c:pt>
                <c:pt idx="12">
                  <c:v>2935809.0402861517</c:v>
                </c:pt>
                <c:pt idx="13">
                  <c:v>2867281.0238169269</c:v>
                </c:pt>
                <c:pt idx="14">
                  <c:v>2805833.2750924029</c:v>
                </c:pt>
                <c:pt idx="15">
                  <c:v>2744896.5712115075</c:v>
                </c:pt>
                <c:pt idx="16">
                  <c:v>2671432.1860939246</c:v>
                </c:pt>
                <c:pt idx="17">
                  <c:v>2600187.0606325911</c:v>
                </c:pt>
                <c:pt idx="18">
                  <c:v>2531581.2098457711</c:v>
                </c:pt>
                <c:pt idx="19">
                  <c:v>2463825.9949837187</c:v>
                </c:pt>
                <c:pt idx="20">
                  <c:v>2401623.9350655219</c:v>
                </c:pt>
                <c:pt idx="21">
                  <c:v>2337801.9420476216</c:v>
                </c:pt>
                <c:pt idx="22">
                  <c:v>2267069.3774705408</c:v>
                </c:pt>
                <c:pt idx="23">
                  <c:v>2196985.5387833519</c:v>
                </c:pt>
                <c:pt idx="24">
                  <c:v>2129274.6063029189</c:v>
                </c:pt>
                <c:pt idx="25">
                  <c:v>2064651.0290923286</c:v>
                </c:pt>
                <c:pt idx="26">
                  <c:v>2002377.1012436512</c:v>
                </c:pt>
                <c:pt idx="27">
                  <c:v>1952586.1543087773</c:v>
                </c:pt>
                <c:pt idx="28">
                  <c:v>1920702.4929262025</c:v>
                </c:pt>
                <c:pt idx="29">
                  <c:v>1895679.5232197023</c:v>
                </c:pt>
                <c:pt idx="30">
                  <c:v>1871906.313044043</c:v>
                </c:pt>
                <c:pt idx="31">
                  <c:v>1848796.3585620178</c:v>
                </c:pt>
                <c:pt idx="32">
                  <c:v>1826512.9011677711</c:v>
                </c:pt>
                <c:pt idx="33">
                  <c:v>1805033.0083681897</c:v>
                </c:pt>
                <c:pt idx="34">
                  <c:v>1784334.7255517889</c:v>
                </c:pt>
                <c:pt idx="35">
                  <c:v>1764397.0390109648</c:v>
                </c:pt>
                <c:pt idx="36">
                  <c:v>1745199.8407625766</c:v>
                </c:pt>
                <c:pt idx="37">
                  <c:v>1726723.8950851655</c:v>
                </c:pt>
                <c:pt idx="38">
                  <c:v>1708781.6873678036</c:v>
                </c:pt>
                <c:pt idx="39">
                  <c:v>1691360.6724416546</c:v>
                </c:pt>
                <c:pt idx="40">
                  <c:v>1666529.3846109516</c:v>
                </c:pt>
                <c:pt idx="41">
                  <c:v>1634653.6386571373</c:v>
                </c:pt>
                <c:pt idx="42">
                  <c:v>1603702.1864584882</c:v>
                </c:pt>
                <c:pt idx="43">
                  <c:v>1573491.1562583281</c:v>
                </c:pt>
                <c:pt idx="44">
                  <c:v>1543243.5820501451</c:v>
                </c:pt>
                <c:pt idx="45">
                  <c:v>1511946.2937691244</c:v>
                </c:pt>
                <c:pt idx="46">
                  <c:v>1479110.0506448096</c:v>
                </c:pt>
                <c:pt idx="47">
                  <c:v>1445996.7256279301</c:v>
                </c:pt>
                <c:pt idx="48">
                  <c:v>1414177.7267754818</c:v>
                </c:pt>
                <c:pt idx="49">
                  <c:v>1384006.3875273848</c:v>
                </c:pt>
                <c:pt idx="50">
                  <c:v>1355274.5667130677</c:v>
                </c:pt>
                <c:pt idx="51">
                  <c:v>1327919.4265266194</c:v>
                </c:pt>
                <c:pt idx="52">
                  <c:v>1301754.1677547488</c:v>
                </c:pt>
                <c:pt idx="53">
                  <c:v>1276730.2547614248</c:v>
                </c:pt>
                <c:pt idx="54">
                  <c:v>1252801.7414987979</c:v>
                </c:pt>
                <c:pt idx="55">
                  <c:v>1229683.6881613643</c:v>
                </c:pt>
                <c:pt idx="56">
                  <c:v>1207940.7545789434</c:v>
                </c:pt>
                <c:pt idx="57">
                  <c:v>1186582.2736531859</c:v>
                </c:pt>
                <c:pt idx="58">
                  <c:v>1165601.4475964499</c:v>
                </c:pt>
                <c:pt idx="59">
                  <c:v>1146117.4509306294</c:v>
                </c:pt>
                <c:pt idx="60">
                  <c:v>1126959.1454578461</c:v>
                </c:pt>
                <c:pt idx="61">
                  <c:v>1108121.0869791999</c:v>
                </c:pt>
                <c:pt idx="62">
                  <c:v>1090670.3611999999</c:v>
                </c:pt>
                <c:pt idx="63">
                  <c:v>1073494.45</c:v>
                </c:pt>
                <c:pt idx="64">
                  <c:v>1057630</c:v>
                </c:pt>
                <c:pt idx="65">
                  <c:v>1042000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D-4784-8DF1-EA11452CD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519357"/>
        <c:axId val="620810671"/>
      </c:lineChart>
      <c:catAx>
        <c:axId val="96251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0810671"/>
        <c:crosses val="autoZero"/>
        <c:auto val="1"/>
        <c:lblAlgn val="ctr"/>
        <c:lblOffset val="100"/>
        <c:noMultiLvlLbl val="1"/>
      </c:catAx>
      <c:valAx>
        <c:axId val="620810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25193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'Prystr Hii'!$D$1:$D$67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8.5000000000000006E-3</c:v>
                </c:pt>
                <c:pt idx="2">
                  <c:v>7.0000000000000001E-3</c:v>
                </c:pt>
                <c:pt idx="3">
                  <c:v>4.0000000000000001E-3</c:v>
                </c:pt>
                <c:pt idx="4">
                  <c:v>1.0999999999999999E-2</c:v>
                </c:pt>
                <c:pt idx="5">
                  <c:v>6.7000000000000002E-3</c:v>
                </c:pt>
                <c:pt idx="6">
                  <c:v>7.3000000000000001E-3</c:v>
                </c:pt>
                <c:pt idx="7">
                  <c:v>2.2000000000000001E-3</c:v>
                </c:pt>
                <c:pt idx="8">
                  <c:v>6.0000000000000001E-3</c:v>
                </c:pt>
                <c:pt idx="9">
                  <c:v>8.6E-3</c:v>
                </c:pt>
                <c:pt idx="10">
                  <c:v>6.4000000000000003E-3</c:v>
                </c:pt>
                <c:pt idx="11">
                  <c:v>4.4000000000000003E-3</c:v>
                </c:pt>
                <c:pt idx="12">
                  <c:v>7.7999999999999996E-3</c:v>
                </c:pt>
                <c:pt idx="13">
                  <c:v>-2E-3</c:v>
                </c:pt>
                <c:pt idx="14">
                  <c:v>4.4000000000000003E-3</c:v>
                </c:pt>
                <c:pt idx="15">
                  <c:v>7.4000000000000003E-3</c:v>
                </c:pt>
                <c:pt idx="16">
                  <c:v>8.8000000000000005E-3</c:v>
                </c:pt>
                <c:pt idx="17">
                  <c:v>9.5999999999999992E-3</c:v>
                </c:pt>
                <c:pt idx="18">
                  <c:v>8.3000000000000001E-3</c:v>
                </c:pt>
                <c:pt idx="19">
                  <c:v>8.3000000000000001E-3</c:v>
                </c:pt>
                <c:pt idx="20">
                  <c:v>4.4400000000000002E-2</c:v>
                </c:pt>
                <c:pt idx="21">
                  <c:v>1.9800000000000002E-2</c:v>
                </c:pt>
                <c:pt idx="22">
                  <c:v>2.2499999999999999E-2</c:v>
                </c:pt>
                <c:pt idx="23">
                  <c:v>1.72E-2</c:v>
                </c:pt>
                <c:pt idx="24">
                  <c:v>8.3999999999999995E-3</c:v>
                </c:pt>
                <c:pt idx="25">
                  <c:v>8.3000000000000001E-3</c:v>
                </c:pt>
                <c:pt idx="26">
                  <c:v>3.2000000000000002E-3</c:v>
                </c:pt>
                <c:pt idx="27">
                  <c:v>1.04E-2</c:v>
                </c:pt>
                <c:pt idx="28">
                  <c:v>8.3999999999999995E-3</c:v>
                </c:pt>
                <c:pt idx="29">
                  <c:v>1.01E-2</c:v>
                </c:pt>
                <c:pt idx="30">
                  <c:v>1.2500000000000001E-2</c:v>
                </c:pt>
                <c:pt idx="31">
                  <c:v>1.0699999999999999E-2</c:v>
                </c:pt>
                <c:pt idx="32">
                  <c:v>9.7999999999999997E-3</c:v>
                </c:pt>
                <c:pt idx="33">
                  <c:v>1.52E-2</c:v>
                </c:pt>
                <c:pt idx="34">
                  <c:v>1.55E-2</c:v>
                </c:pt>
                <c:pt idx="35">
                  <c:v>2.35E-2</c:v>
                </c:pt>
                <c:pt idx="36">
                  <c:v>2.6700000000000002E-2</c:v>
                </c:pt>
                <c:pt idx="37">
                  <c:v>5.4699999999999999E-2</c:v>
                </c:pt>
                <c:pt idx="38">
                  <c:v>1.8100000000000002E-2</c:v>
                </c:pt>
                <c:pt idx="39">
                  <c:v>1.44E-2</c:v>
                </c:pt>
                <c:pt idx="40">
                  <c:v>1.26E-2</c:v>
                </c:pt>
                <c:pt idx="41">
                  <c:v>1.9E-2</c:v>
                </c:pt>
                <c:pt idx="42">
                  <c:v>3.1600000000000003E-2</c:v>
                </c:pt>
                <c:pt idx="43">
                  <c:v>2.8199999999999999E-2</c:v>
                </c:pt>
                <c:pt idx="44">
                  <c:v>1.9199999999999998E-2</c:v>
                </c:pt>
                <c:pt idx="45">
                  <c:v>2.1600000000000001E-2</c:v>
                </c:pt>
                <c:pt idx="46">
                  <c:v>2.4299999999999999E-2</c:v>
                </c:pt>
                <c:pt idx="47">
                  <c:v>1.6E-2</c:v>
                </c:pt>
                <c:pt idx="48">
                  <c:v>2.12E-2</c:v>
                </c:pt>
                <c:pt idx="49">
                  <c:v>2.53E-2</c:v>
                </c:pt>
                <c:pt idx="50">
                  <c:v>8.8999999999999999E-3</c:v>
                </c:pt>
                <c:pt idx="51">
                  <c:v>2.63E-2</c:v>
                </c:pt>
                <c:pt idx="52">
                  <c:v>2.4199999999999999E-2</c:v>
                </c:pt>
                <c:pt idx="53">
                  <c:v>3.44E-2</c:v>
                </c:pt>
                <c:pt idx="54">
                  <c:v>4.24E-2</c:v>
                </c:pt>
                <c:pt idx="55">
                  <c:v>2.3400000000000001E-2</c:v>
                </c:pt>
                <c:pt idx="56">
                  <c:v>2.4E-2</c:v>
                </c:pt>
                <c:pt idx="57">
                  <c:v>2.5000000000000001E-2</c:v>
                </c:pt>
                <c:pt idx="58">
                  <c:v>2.5000000000000001E-2</c:v>
                </c:pt>
                <c:pt idx="59">
                  <c:v>2.5000000000000001E-2</c:v>
                </c:pt>
                <c:pt idx="60">
                  <c:v>2.5000000000000001E-2</c:v>
                </c:pt>
                <c:pt idx="61">
                  <c:v>2.7E-2</c:v>
                </c:pt>
                <c:pt idx="62">
                  <c:v>2.8000000000000001E-2</c:v>
                </c:pt>
                <c:pt idx="63">
                  <c:v>2.8000000000000001E-2</c:v>
                </c:pt>
                <c:pt idx="64">
                  <c:v>0.03</c:v>
                </c:pt>
                <c:pt idx="65">
                  <c:v>3.5000000000000003E-2</c:v>
                </c:pt>
                <c:pt idx="66">
                  <c:v>0.04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BC-4043-BA1D-8F7F37BAB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272212"/>
        <c:axId val="1466474237"/>
      </c:lineChart>
      <c:catAx>
        <c:axId val="1836272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6474237"/>
        <c:crosses val="autoZero"/>
        <c:auto val="1"/>
        <c:lblAlgn val="ctr"/>
        <c:lblOffset val="100"/>
        <c:noMultiLvlLbl val="1"/>
      </c:catAx>
      <c:valAx>
        <c:axId val="1466474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62722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'Prystr Hii'!$C$1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'Prystr Hii'!$C$2:$C$67</c:f>
              <c:numCache>
                <c:formatCode>#,##0</c:formatCode>
                <c:ptCount val="66"/>
                <c:pt idx="0">
                  <c:v>1640021.0724828092</c:v>
                </c:pt>
                <c:pt idx="1">
                  <c:v>1626198.3862001083</c:v>
                </c:pt>
                <c:pt idx="2">
                  <c:v>1614894.1273089459</c:v>
                </c:pt>
                <c:pt idx="3">
                  <c:v>1608460.2861642886</c:v>
                </c:pt>
                <c:pt idx="4">
                  <c:v>1590959.729143708</c:v>
                </c:pt>
                <c:pt idx="5">
                  <c:v>1580371.2418234907</c:v>
                </c:pt>
                <c:pt idx="6">
                  <c:v>1568918.139405828</c:v>
                </c:pt>
                <c:pt idx="7">
                  <c:v>1565474.0963937617</c:v>
                </c:pt>
                <c:pt idx="8">
                  <c:v>1556137.2727572185</c:v>
                </c:pt>
                <c:pt idx="9">
                  <c:v>1542868.6027733677</c:v>
                </c:pt>
                <c:pt idx="10">
                  <c:v>1533057.0377318836</c:v>
                </c:pt>
                <c:pt idx="11">
                  <c:v>1526341.1367302705</c:v>
                </c:pt>
                <c:pt idx="12">
                  <c:v>1514527.819736327</c:v>
                </c:pt>
                <c:pt idx="13">
                  <c:v>1517562.9456275823</c:v>
                </c:pt>
                <c:pt idx="14">
                  <c:v>1510914.9199796717</c:v>
                </c:pt>
                <c:pt idx="15">
                  <c:v>1499816.279511288</c:v>
                </c:pt>
                <c:pt idx="16">
                  <c:v>1486733.0288573436</c:v>
                </c:pt>
                <c:pt idx="17">
                  <c:v>1472596.1062374639</c:v>
                </c:pt>
                <c:pt idx="18">
                  <c:v>1460474.1706213071</c:v>
                </c:pt>
                <c:pt idx="19">
                  <c:v>1448452.0188647299</c:v>
                </c:pt>
                <c:pt idx="20">
                  <c:v>1386874.778690856</c:v>
                </c:pt>
                <c:pt idx="21">
                  <c:v>1359947.8120129986</c:v>
                </c:pt>
                <c:pt idx="22">
                  <c:v>1330022.3100371626</c:v>
                </c:pt>
                <c:pt idx="23">
                  <c:v>1307532.7467923344</c:v>
                </c:pt>
                <c:pt idx="24">
                  <c:v>1296640.9627056073</c:v>
                </c:pt>
                <c:pt idx="25">
                  <c:v>1285967.433011611</c:v>
                </c:pt>
                <c:pt idx="26">
                  <c:v>1281865.4635283202</c:v>
                </c:pt>
                <c:pt idx="27">
                  <c:v>1268671.2821935078</c:v>
                </c:pt>
                <c:pt idx="28">
                  <c:v>1258103.2151859459</c:v>
                </c:pt>
                <c:pt idx="29">
                  <c:v>1245523.4285575149</c:v>
                </c:pt>
                <c:pt idx="30">
                  <c:v>1230146.5961061877</c:v>
                </c:pt>
                <c:pt idx="31">
                  <c:v>1217123.3759831679</c:v>
                </c:pt>
                <c:pt idx="32">
                  <c:v>1205311.3249981857</c:v>
                </c:pt>
                <c:pt idx="33">
                  <c:v>1187264.898540372</c:v>
                </c:pt>
                <c:pt idx="34">
                  <c:v>1169143.1792618139</c:v>
                </c:pt>
                <c:pt idx="35">
                  <c:v>1142299.149254337</c:v>
                </c:pt>
                <c:pt idx="36">
                  <c:v>1112592.918334798</c:v>
                </c:pt>
                <c:pt idx="37">
                  <c:v>1054890.4127569906</c:v>
                </c:pt>
                <c:pt idx="38">
                  <c:v>1036136.3449140465</c:v>
                </c:pt>
                <c:pt idx="39">
                  <c:v>1021427.784812743</c:v>
                </c:pt>
                <c:pt idx="40">
                  <c:v>1008717.9387840638</c:v>
                </c:pt>
                <c:pt idx="41">
                  <c:v>989909.65533274179</c:v>
                </c:pt>
                <c:pt idx="42">
                  <c:v>959586.71513449179</c:v>
                </c:pt>
                <c:pt idx="43">
                  <c:v>933268.5422432326</c:v>
                </c:pt>
                <c:pt idx="44">
                  <c:v>915687.34521510254</c:v>
                </c:pt>
                <c:pt idx="45">
                  <c:v>896326.68873835402</c:v>
                </c:pt>
                <c:pt idx="46">
                  <c:v>875062.66595563211</c:v>
                </c:pt>
                <c:pt idx="47">
                  <c:v>861282.15153113392</c:v>
                </c:pt>
                <c:pt idx="48">
                  <c:v>843402.02852637472</c:v>
                </c:pt>
                <c:pt idx="49">
                  <c:v>822590.4891508579</c:v>
                </c:pt>
                <c:pt idx="50">
                  <c:v>815334.01640485472</c:v>
                </c:pt>
                <c:pt idx="51">
                  <c:v>794440.23814172728</c:v>
                </c:pt>
                <c:pt idx="52">
                  <c:v>775669.04719949944</c:v>
                </c:pt>
                <c:pt idx="53">
                  <c:v>749873.40216502268</c:v>
                </c:pt>
                <c:pt idx="54">
                  <c:v>719372.02817058971</c:v>
                </c:pt>
                <c:pt idx="55">
                  <c:v>702923.61556633736</c:v>
                </c:pt>
                <c:pt idx="56">
                  <c:v>686448.84332650132</c:v>
                </c:pt>
                <c:pt idx="57">
                  <c:v>669706.1886112208</c:v>
                </c:pt>
                <c:pt idx="58">
                  <c:v>653371.89132802037</c:v>
                </c:pt>
                <c:pt idx="59">
                  <c:v>637435.99153953209</c:v>
                </c:pt>
                <c:pt idx="60">
                  <c:v>621888.7722336899</c:v>
                </c:pt>
                <c:pt idx="61">
                  <c:v>605539.21346999996</c:v>
                </c:pt>
                <c:pt idx="62">
                  <c:v>589045.92749999999</c:v>
                </c:pt>
                <c:pt idx="63">
                  <c:v>573001.875</c:v>
                </c:pt>
                <c:pt idx="64">
                  <c:v>556312.5</c:v>
                </c:pt>
                <c:pt idx="65">
                  <c:v>537500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2-44CF-A374-6479E59F8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586846"/>
        <c:axId val="1408409578"/>
      </c:lineChart>
      <c:catAx>
        <c:axId val="895586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409578"/>
        <c:crosses val="autoZero"/>
        <c:auto val="1"/>
        <c:lblAlgn val="ctr"/>
        <c:lblOffset val="100"/>
        <c:noMultiLvlLbl val="1"/>
      </c:catAx>
      <c:valAx>
        <c:axId val="1408409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55868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Quidic!$D$1:$D$67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8.8999999999999999E-3</c:v>
                </c:pt>
                <c:pt idx="2">
                  <c:v>9.1000000000000004E-3</c:v>
                </c:pt>
                <c:pt idx="3">
                  <c:v>9.4000000000000004E-3</c:v>
                </c:pt>
                <c:pt idx="4">
                  <c:v>9.5999999999999992E-3</c:v>
                </c:pt>
                <c:pt idx="5">
                  <c:v>9.1000000000000004E-3</c:v>
                </c:pt>
                <c:pt idx="6">
                  <c:v>8.8000000000000005E-3</c:v>
                </c:pt>
                <c:pt idx="7">
                  <c:v>9.2999999999999992E-3</c:v>
                </c:pt>
                <c:pt idx="8">
                  <c:v>0.01</c:v>
                </c:pt>
                <c:pt idx="9">
                  <c:v>1.0800000000000001E-2</c:v>
                </c:pt>
                <c:pt idx="10">
                  <c:v>1.1599999999999999E-2</c:v>
                </c:pt>
                <c:pt idx="11">
                  <c:v>1.26E-2</c:v>
                </c:pt>
                <c:pt idx="12">
                  <c:v>1.3599999999999999E-2</c:v>
                </c:pt>
                <c:pt idx="13">
                  <c:v>1.46E-2</c:v>
                </c:pt>
                <c:pt idx="14">
                  <c:v>1.54E-2</c:v>
                </c:pt>
                <c:pt idx="15">
                  <c:v>1.67E-2</c:v>
                </c:pt>
                <c:pt idx="16">
                  <c:v>1.83E-2</c:v>
                </c:pt>
                <c:pt idx="17">
                  <c:v>1.9E-2</c:v>
                </c:pt>
                <c:pt idx="18">
                  <c:v>1.89E-2</c:v>
                </c:pt>
                <c:pt idx="19">
                  <c:v>1.8499999999999999E-2</c:v>
                </c:pt>
                <c:pt idx="20">
                  <c:v>1.83E-2</c:v>
                </c:pt>
                <c:pt idx="21">
                  <c:v>1.8599999999999998E-2</c:v>
                </c:pt>
                <c:pt idx="22">
                  <c:v>1.8499999999999999E-2</c:v>
                </c:pt>
                <c:pt idx="23">
                  <c:v>1.8599999999999998E-2</c:v>
                </c:pt>
                <c:pt idx="24">
                  <c:v>1.8800000000000001E-2</c:v>
                </c:pt>
                <c:pt idx="25">
                  <c:v>1.9099999999999999E-2</c:v>
                </c:pt>
                <c:pt idx="26">
                  <c:v>1.9900000000000001E-2</c:v>
                </c:pt>
                <c:pt idx="27">
                  <c:v>2.0500000000000001E-2</c:v>
                </c:pt>
                <c:pt idx="28">
                  <c:v>2.1299999999999999E-2</c:v>
                </c:pt>
                <c:pt idx="29">
                  <c:v>2.24E-2</c:v>
                </c:pt>
                <c:pt idx="30">
                  <c:v>2.35E-2</c:v>
                </c:pt>
                <c:pt idx="31">
                  <c:v>2.46E-2</c:v>
                </c:pt>
                <c:pt idx="32">
                  <c:v>2.5700000000000001E-2</c:v>
                </c:pt>
                <c:pt idx="33">
                  <c:v>2.6800000000000001E-2</c:v>
                </c:pt>
                <c:pt idx="34">
                  <c:v>2.7400000000000001E-2</c:v>
                </c:pt>
                <c:pt idx="35">
                  <c:v>2.5600000000000001E-2</c:v>
                </c:pt>
                <c:pt idx="36">
                  <c:v>2.3900000000000001E-2</c:v>
                </c:pt>
                <c:pt idx="37">
                  <c:v>2.41E-2</c:v>
                </c:pt>
                <c:pt idx="38">
                  <c:v>2.4400000000000002E-2</c:v>
                </c:pt>
                <c:pt idx="39">
                  <c:v>2.4899999999999999E-2</c:v>
                </c:pt>
                <c:pt idx="40">
                  <c:v>2.5399999999999999E-2</c:v>
                </c:pt>
                <c:pt idx="41">
                  <c:v>2.6200000000000001E-2</c:v>
                </c:pt>
                <c:pt idx="42">
                  <c:v>2.8299999999999999E-2</c:v>
                </c:pt>
                <c:pt idx="43">
                  <c:v>2.86E-2</c:v>
                </c:pt>
                <c:pt idx="44">
                  <c:v>1.9199999999999998E-2</c:v>
                </c:pt>
                <c:pt idx="45">
                  <c:v>1.7500000000000002E-2</c:v>
                </c:pt>
                <c:pt idx="46">
                  <c:v>2.5899999999999999E-2</c:v>
                </c:pt>
                <c:pt idx="47">
                  <c:v>2.8400000000000002E-2</c:v>
                </c:pt>
                <c:pt idx="48">
                  <c:v>2.9399999999999999E-2</c:v>
                </c:pt>
                <c:pt idx="49">
                  <c:v>2.9399999999999999E-2</c:v>
                </c:pt>
                <c:pt idx="50">
                  <c:v>2.9100000000000001E-2</c:v>
                </c:pt>
                <c:pt idx="51">
                  <c:v>2.92E-2</c:v>
                </c:pt>
                <c:pt idx="52">
                  <c:v>2.92E-2</c:v>
                </c:pt>
                <c:pt idx="53">
                  <c:v>2.9100000000000001E-2</c:v>
                </c:pt>
                <c:pt idx="54">
                  <c:v>2.9000000000000001E-2</c:v>
                </c:pt>
                <c:pt idx="55">
                  <c:v>2.8199999999999999E-2</c:v>
                </c:pt>
                <c:pt idx="56">
                  <c:v>2.8000000000000001E-2</c:v>
                </c:pt>
                <c:pt idx="57">
                  <c:v>2.8000000000000001E-2</c:v>
                </c:pt>
                <c:pt idx="58">
                  <c:v>2.7E-2</c:v>
                </c:pt>
                <c:pt idx="59">
                  <c:v>2.7E-2</c:v>
                </c:pt>
                <c:pt idx="60">
                  <c:v>2.7E-2</c:v>
                </c:pt>
                <c:pt idx="61">
                  <c:v>2.7E-2</c:v>
                </c:pt>
                <c:pt idx="62">
                  <c:v>2.5999999999999999E-2</c:v>
                </c:pt>
                <c:pt idx="63">
                  <c:v>2.5999999999999999E-2</c:v>
                </c:pt>
                <c:pt idx="64">
                  <c:v>2.5000000000000001E-2</c:v>
                </c:pt>
                <c:pt idx="65">
                  <c:v>2.5000000000000001E-2</c:v>
                </c:pt>
                <c:pt idx="66">
                  <c:v>2.4E-2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A4-4346-9F6C-A1296DC1F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700656"/>
        <c:axId val="673134704"/>
      </c:lineChart>
      <c:catAx>
        <c:axId val="122770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3134704"/>
        <c:crosses val="autoZero"/>
        <c:auto val="1"/>
        <c:lblAlgn val="ctr"/>
        <c:lblOffset val="100"/>
        <c:noMultiLvlLbl val="1"/>
      </c:catAx>
      <c:valAx>
        <c:axId val="673134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77006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Quidic!$C$1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Quidic!$C$2:$C$67</c:f>
              <c:numCache>
                <c:formatCode>#,##0</c:formatCode>
                <c:ptCount val="66"/>
                <c:pt idx="0">
                  <c:v>143974128.2677395</c:v>
                </c:pt>
                <c:pt idx="1">
                  <c:v>142704062.11491677</c:v>
                </c:pt>
                <c:pt idx="2">
                  <c:v>141417165.90517962</c:v>
                </c:pt>
                <c:pt idx="3">
                  <c:v>140100223.80144602</c:v>
                </c:pt>
                <c:pt idx="4">
                  <c:v>138768050.51648772</c:v>
                </c:pt>
                <c:pt idx="5">
                  <c:v>137516649.01049224</c:v>
                </c:pt>
                <c:pt idx="6">
                  <c:v>136317058.89224052</c:v>
                </c:pt>
                <c:pt idx="7">
                  <c:v>135060991.66971219</c:v>
                </c:pt>
                <c:pt idx="8">
                  <c:v>133723754.12842789</c:v>
                </c:pt>
                <c:pt idx="9">
                  <c:v>132294968.4689631</c:v>
                </c:pt>
                <c:pt idx="10">
                  <c:v>130777944.31491014</c:v>
                </c:pt>
                <c:pt idx="11">
                  <c:v>129150646.17312872</c:v>
                </c:pt>
                <c:pt idx="12">
                  <c:v>127417764.57490994</c:v>
                </c:pt>
                <c:pt idx="13">
                  <c:v>125584234.74759506</c:v>
                </c:pt>
                <c:pt idx="14">
                  <c:v>123679569.37915604</c:v>
                </c:pt>
                <c:pt idx="15">
                  <c:v>121648046.99435039</c:v>
                </c:pt>
                <c:pt idx="16">
                  <c:v>119461894.32814533</c:v>
                </c:pt>
                <c:pt idx="17">
                  <c:v>117234439.96873929</c:v>
                </c:pt>
                <c:pt idx="18">
                  <c:v>115059809.56790587</c:v>
                </c:pt>
                <c:pt idx="19">
                  <c:v>112969867.02788991</c:v>
                </c:pt>
                <c:pt idx="20">
                  <c:v>110939671.04771669</c:v>
                </c:pt>
                <c:pt idx="21">
                  <c:v>108913873.00973561</c:v>
                </c:pt>
                <c:pt idx="22">
                  <c:v>106935565.05619599</c:v>
                </c:pt>
                <c:pt idx="23">
                  <c:v>104982883.42450029</c:v>
                </c:pt>
                <c:pt idx="24">
                  <c:v>103045625.66205369</c:v>
                </c:pt>
                <c:pt idx="25">
                  <c:v>101114341.73491679</c:v>
                </c:pt>
                <c:pt idx="26">
                  <c:v>99141427.331029311</c:v>
                </c:pt>
                <c:pt idx="27">
                  <c:v>97149855.297431961</c:v>
                </c:pt>
                <c:pt idx="28">
                  <c:v>95123720.060150743</c:v>
                </c:pt>
                <c:pt idx="29">
                  <c:v>93039632.296704561</c:v>
                </c:pt>
                <c:pt idx="30">
                  <c:v>90903402.341675192</c:v>
                </c:pt>
                <c:pt idx="31">
                  <c:v>88720868.965132922</c:v>
                </c:pt>
                <c:pt idx="32">
                  <c:v>86497873.613271832</c:v>
                </c:pt>
                <c:pt idx="33">
                  <c:v>84240235.30704309</c:v>
                </c:pt>
                <c:pt idx="34">
                  <c:v>81993610.382560909</c:v>
                </c:pt>
                <c:pt idx="35">
                  <c:v>79946968.001716956</c:v>
                </c:pt>
                <c:pt idx="36">
                  <c:v>78080836.020819366</c:v>
                </c:pt>
                <c:pt idx="37">
                  <c:v>76243370.784903198</c:v>
                </c:pt>
                <c:pt idx="38">
                  <c:v>74427343.601037875</c:v>
                </c:pt>
                <c:pt idx="39">
                  <c:v>72619127.330508232</c:v>
                </c:pt>
                <c:pt idx="40">
                  <c:v>70820291.915845737</c:v>
                </c:pt>
                <c:pt idx="41">
                  <c:v>69012172.983673498</c:v>
                </c:pt>
                <c:pt idx="42">
                  <c:v>67112878.521514639</c:v>
                </c:pt>
                <c:pt idx="43">
                  <c:v>65246819.484264672</c:v>
                </c:pt>
                <c:pt idx="44">
                  <c:v>64017680.027732208</c:v>
                </c:pt>
                <c:pt idx="45">
                  <c:v>62916638.847894058</c:v>
                </c:pt>
                <c:pt idx="46">
                  <c:v>61328237.496728778</c:v>
                </c:pt>
                <c:pt idx="47">
                  <c:v>59634614.446449608</c:v>
                </c:pt>
                <c:pt idx="48">
                  <c:v>57931430.392898388</c:v>
                </c:pt>
                <c:pt idx="49">
                  <c:v>56276889.831842221</c:v>
                </c:pt>
                <c:pt idx="50">
                  <c:v>54685540.60037142</c:v>
                </c:pt>
                <c:pt idx="51">
                  <c:v>53134027.011631779</c:v>
                </c:pt>
                <c:pt idx="52">
                  <c:v>51626532.269366287</c:v>
                </c:pt>
                <c:pt idx="53">
                  <c:v>50166681.828166641</c:v>
                </c:pt>
                <c:pt idx="54">
                  <c:v>48752849.201328129</c:v>
                </c:pt>
                <c:pt idx="55">
                  <c:v>47415725.735584639</c:v>
                </c:pt>
                <c:pt idx="56">
                  <c:v>46124246.824498676</c:v>
                </c:pt>
                <c:pt idx="57">
                  <c:v>44867944.38180805</c:v>
                </c:pt>
                <c:pt idx="58">
                  <c:v>43688358.696989343</c:v>
                </c:pt>
                <c:pt idx="59">
                  <c:v>42539784.515082128</c:v>
                </c:pt>
                <c:pt idx="60">
                  <c:v>41421406.538541511</c:v>
                </c:pt>
                <c:pt idx="61">
                  <c:v>40332430.904130004</c:v>
                </c:pt>
                <c:pt idx="62">
                  <c:v>39310361.505000003</c:v>
                </c:pt>
                <c:pt idx="63">
                  <c:v>38314192.5</c:v>
                </c:pt>
                <c:pt idx="64">
                  <c:v>37379700</c:v>
                </c:pt>
                <c:pt idx="65">
                  <c:v>36468000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4-484A-9072-395BCAAB3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295153"/>
        <c:axId val="1423131401"/>
      </c:lineChart>
      <c:catAx>
        <c:axId val="1911295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3131401"/>
        <c:crosses val="autoZero"/>
        <c:auto val="1"/>
        <c:lblAlgn val="ctr"/>
        <c:lblOffset val="100"/>
        <c:noMultiLvlLbl val="1"/>
      </c:catAx>
      <c:valAx>
        <c:axId val="1423131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12951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'Raledria'!$D$1:$D$67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1.44E-2</c:v>
                </c:pt>
                <c:pt idx="2">
                  <c:v>1.49E-2</c:v>
                </c:pt>
                <c:pt idx="3">
                  <c:v>1.72E-2</c:v>
                </c:pt>
                <c:pt idx="4">
                  <c:v>1.7500000000000002E-2</c:v>
                </c:pt>
                <c:pt idx="5">
                  <c:v>1.3899999999999999E-2</c:v>
                </c:pt>
                <c:pt idx="6">
                  <c:v>1.5599999999999999E-2</c:v>
                </c:pt>
                <c:pt idx="7">
                  <c:v>2.06E-2</c:v>
                </c:pt>
                <c:pt idx="8">
                  <c:v>0.02</c:v>
                </c:pt>
                <c:pt idx="9">
                  <c:v>1.8200000000000001E-2</c:v>
                </c:pt>
                <c:pt idx="10">
                  <c:v>1.35E-2</c:v>
                </c:pt>
                <c:pt idx="11">
                  <c:v>1.2200000000000001E-2</c:v>
                </c:pt>
                <c:pt idx="12">
                  <c:v>1.0699999999999999E-2</c:v>
                </c:pt>
                <c:pt idx="13">
                  <c:v>1.15E-2</c:v>
                </c:pt>
                <c:pt idx="14">
                  <c:v>1.14E-2</c:v>
                </c:pt>
                <c:pt idx="15">
                  <c:v>1.2800000000000001E-2</c:v>
                </c:pt>
                <c:pt idx="16">
                  <c:v>1.14E-2</c:v>
                </c:pt>
                <c:pt idx="17">
                  <c:v>1.09E-2</c:v>
                </c:pt>
                <c:pt idx="18">
                  <c:v>0.01</c:v>
                </c:pt>
                <c:pt idx="19">
                  <c:v>1.0800000000000001E-2</c:v>
                </c:pt>
                <c:pt idx="20">
                  <c:v>1.21E-2</c:v>
                </c:pt>
                <c:pt idx="21">
                  <c:v>1.11E-2</c:v>
                </c:pt>
                <c:pt idx="22">
                  <c:v>9.5999999999999992E-3</c:v>
                </c:pt>
                <c:pt idx="23">
                  <c:v>8.8999999999999999E-3</c:v>
                </c:pt>
                <c:pt idx="24">
                  <c:v>1.12E-2</c:v>
                </c:pt>
                <c:pt idx="25">
                  <c:v>1.2699999999999999E-2</c:v>
                </c:pt>
                <c:pt idx="26">
                  <c:v>1.4800000000000001E-2</c:v>
                </c:pt>
                <c:pt idx="27">
                  <c:v>1.6899999999999998E-2</c:v>
                </c:pt>
                <c:pt idx="28">
                  <c:v>1.6400000000000001E-2</c:v>
                </c:pt>
                <c:pt idx="29">
                  <c:v>1.52E-2</c:v>
                </c:pt>
                <c:pt idx="30">
                  <c:v>1.4500000000000001E-2</c:v>
                </c:pt>
                <c:pt idx="31">
                  <c:v>1.3299999999999999E-2</c:v>
                </c:pt>
                <c:pt idx="32">
                  <c:v>1.2E-2</c:v>
                </c:pt>
                <c:pt idx="33">
                  <c:v>1.37E-2</c:v>
                </c:pt>
                <c:pt idx="34">
                  <c:v>1.7299999999999999E-2</c:v>
                </c:pt>
                <c:pt idx="35">
                  <c:v>1.5599999999999999E-2</c:v>
                </c:pt>
                <c:pt idx="36">
                  <c:v>1.2200000000000001E-2</c:v>
                </c:pt>
                <c:pt idx="37">
                  <c:v>1.0800000000000001E-2</c:v>
                </c:pt>
                <c:pt idx="38">
                  <c:v>1.1599999999999999E-2</c:v>
                </c:pt>
                <c:pt idx="39">
                  <c:v>1.1299999999999999E-2</c:v>
                </c:pt>
                <c:pt idx="40">
                  <c:v>0.01</c:v>
                </c:pt>
                <c:pt idx="41">
                  <c:v>1.23E-2</c:v>
                </c:pt>
                <c:pt idx="42">
                  <c:v>2.53E-2</c:v>
                </c:pt>
                <c:pt idx="43">
                  <c:v>1.5299999999999999E-2</c:v>
                </c:pt>
                <c:pt idx="44">
                  <c:v>1.84E-2</c:v>
                </c:pt>
                <c:pt idx="45">
                  <c:v>3.3799999999999997E-2</c:v>
                </c:pt>
                <c:pt idx="46">
                  <c:v>1.9699999999999999E-2</c:v>
                </c:pt>
                <c:pt idx="47">
                  <c:v>2.0899999999999998E-2</c:v>
                </c:pt>
                <c:pt idx="48">
                  <c:v>1.7600000000000001E-2</c:v>
                </c:pt>
                <c:pt idx="49">
                  <c:v>1.26E-2</c:v>
                </c:pt>
                <c:pt idx="50">
                  <c:v>2.2800000000000001E-2</c:v>
                </c:pt>
                <c:pt idx="51">
                  <c:v>1.9599999999999999E-2</c:v>
                </c:pt>
                <c:pt idx="52">
                  <c:v>1.9599999999999999E-2</c:v>
                </c:pt>
                <c:pt idx="53">
                  <c:v>1.9199999999999998E-2</c:v>
                </c:pt>
                <c:pt idx="54">
                  <c:v>2.4400000000000002E-2</c:v>
                </c:pt>
                <c:pt idx="55">
                  <c:v>1.9900000000000001E-2</c:v>
                </c:pt>
                <c:pt idx="56">
                  <c:v>0.02</c:v>
                </c:pt>
                <c:pt idx="57">
                  <c:v>2.1000000000000001E-2</c:v>
                </c:pt>
                <c:pt idx="58">
                  <c:v>2.1000000000000001E-2</c:v>
                </c:pt>
                <c:pt idx="59">
                  <c:v>2.1000000000000001E-2</c:v>
                </c:pt>
                <c:pt idx="60">
                  <c:v>2.1000000000000001E-2</c:v>
                </c:pt>
                <c:pt idx="61">
                  <c:v>2.1999999999999999E-2</c:v>
                </c:pt>
                <c:pt idx="62">
                  <c:v>2.1999999999999999E-2</c:v>
                </c:pt>
                <c:pt idx="63">
                  <c:v>2.1999999999999999E-2</c:v>
                </c:pt>
                <c:pt idx="64">
                  <c:v>2.3E-2</c:v>
                </c:pt>
                <c:pt idx="65">
                  <c:v>2.4E-2</c:v>
                </c:pt>
                <c:pt idx="66">
                  <c:v>2.5000000000000001E-2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DA-4B41-991D-CCC8AE90B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654391"/>
        <c:axId val="761378756"/>
      </c:lineChart>
      <c:catAx>
        <c:axId val="868654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1378756"/>
        <c:crosses val="autoZero"/>
        <c:auto val="1"/>
        <c:lblAlgn val="ctr"/>
        <c:lblOffset val="100"/>
        <c:noMultiLvlLbl val="1"/>
      </c:catAx>
      <c:valAx>
        <c:axId val="761378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86543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'Raledria'!$C$1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'Raledria'!$C$2:$C$67</c:f>
              <c:numCache>
                <c:formatCode>#,##0</c:formatCode>
                <c:ptCount val="66"/>
                <c:pt idx="0">
                  <c:v>301117757.75661606</c:v>
                </c:pt>
                <c:pt idx="1">
                  <c:v>296843215.45407736</c:v>
                </c:pt>
                <c:pt idx="2">
                  <c:v>292485186.17999548</c:v>
                </c:pt>
                <c:pt idx="3">
                  <c:v>287539506.66535139</c:v>
                </c:pt>
                <c:pt idx="4">
                  <c:v>282594109.74481708</c:v>
                </c:pt>
                <c:pt idx="5">
                  <c:v>278719903.09184051</c:v>
                </c:pt>
                <c:pt idx="6">
                  <c:v>274438659.99590439</c:v>
                </c:pt>
                <c:pt idx="7">
                  <c:v>268899333.72124672</c:v>
                </c:pt>
                <c:pt idx="8">
                  <c:v>263626797.76592815</c:v>
                </c:pt>
                <c:pt idx="9">
                  <c:v>258914552.90309188</c:v>
                </c:pt>
                <c:pt idx="10">
                  <c:v>255465765.07458496</c:v>
                </c:pt>
                <c:pt idx="11">
                  <c:v>252386647.96935877</c:v>
                </c:pt>
                <c:pt idx="12">
                  <c:v>249714700.67216662</c:v>
                </c:pt>
                <c:pt idx="13">
                  <c:v>246875630.91662541</c:v>
                </c:pt>
                <c:pt idx="14">
                  <c:v>244092971.04669309</c:v>
                </c:pt>
                <c:pt idx="15">
                  <c:v>241008067.77912036</c:v>
                </c:pt>
                <c:pt idx="16">
                  <c:v>238291544.17551941</c:v>
                </c:pt>
                <c:pt idx="17">
                  <c:v>235722172.49532044</c:v>
                </c:pt>
                <c:pt idx="18">
                  <c:v>233388289.59932718</c:v>
                </c:pt>
                <c:pt idx="19">
                  <c:v>230894627.62102017</c:v>
                </c:pt>
                <c:pt idx="20">
                  <c:v>228134203.75557768</c:v>
                </c:pt>
                <c:pt idx="21">
                  <c:v>225629713.93094417</c:v>
                </c:pt>
                <c:pt idx="22">
                  <c:v>223484264.9870683</c:v>
                </c:pt>
                <c:pt idx="23">
                  <c:v>221512801.05765519</c:v>
                </c:pt>
                <c:pt idx="24">
                  <c:v>219059336.48897859</c:v>
                </c:pt>
                <c:pt idx="25">
                  <c:v>216312171.90577525</c:v>
                </c:pt>
                <c:pt idx="26">
                  <c:v>213157441.76761457</c:v>
                </c:pt>
                <c:pt idx="27">
                  <c:v>209614949.12736216</c:v>
                </c:pt>
                <c:pt idx="28">
                  <c:v>206232732.31735751</c:v>
                </c:pt>
                <c:pt idx="29">
                  <c:v>203144929.39062005</c:v>
                </c:pt>
                <c:pt idx="30">
                  <c:v>200241428.67483497</c:v>
                </c:pt>
                <c:pt idx="31">
                  <c:v>197613173.46771434</c:v>
                </c:pt>
                <c:pt idx="32">
                  <c:v>195269934.25663471</c:v>
                </c:pt>
                <c:pt idx="33">
                  <c:v>192630891.04925984</c:v>
                </c:pt>
                <c:pt idx="34">
                  <c:v>189355048.70663503</c:v>
                </c:pt>
                <c:pt idx="35">
                  <c:v>186446483.5630514</c:v>
                </c:pt>
                <c:pt idx="36">
                  <c:v>184199252.68035111</c:v>
                </c:pt>
                <c:pt idx="37">
                  <c:v>182231156.19346175</c:v>
                </c:pt>
                <c:pt idx="38">
                  <c:v>180141514.62382537</c:v>
                </c:pt>
                <c:pt idx="39">
                  <c:v>178128660.75726822</c:v>
                </c:pt>
                <c:pt idx="40">
                  <c:v>176365010.65076062</c:v>
                </c:pt>
                <c:pt idx="41">
                  <c:v>174222079.0781</c:v>
                </c:pt>
                <c:pt idx="42">
                  <c:v>169923026.50746122</c:v>
                </c:pt>
                <c:pt idx="43">
                  <c:v>167362382.06191391</c:v>
                </c:pt>
                <c:pt idx="44">
                  <c:v>164338552.69237423</c:v>
                </c:pt>
                <c:pt idx="45">
                  <c:v>158965518.1779592</c:v>
                </c:pt>
                <c:pt idx="46">
                  <c:v>155894398.52697775</c:v>
                </c:pt>
                <c:pt idx="47">
                  <c:v>152702907.75490034</c:v>
                </c:pt>
                <c:pt idx="48">
                  <c:v>150061819.72769293</c:v>
                </c:pt>
                <c:pt idx="49">
                  <c:v>148194568.16876647</c:v>
                </c:pt>
                <c:pt idx="50">
                  <c:v>144891052.17908338</c:v>
                </c:pt>
                <c:pt idx="51">
                  <c:v>142105778.91240034</c:v>
                </c:pt>
                <c:pt idx="52">
                  <c:v>139374047.57983556</c:v>
                </c:pt>
                <c:pt idx="53">
                  <c:v>136748476.82479939</c:v>
                </c:pt>
                <c:pt idx="54">
                  <c:v>133491289.36431022</c:v>
                </c:pt>
                <c:pt idx="55">
                  <c:v>130886645.12629691</c:v>
                </c:pt>
                <c:pt idx="56">
                  <c:v>128320240.31989893</c:v>
                </c:pt>
                <c:pt idx="57">
                  <c:v>125680940.56797154</c:v>
                </c:pt>
                <c:pt idx="58">
                  <c:v>123095926.11946283</c:v>
                </c:pt>
                <c:pt idx="59">
                  <c:v>120564080.43042395</c:v>
                </c:pt>
                <c:pt idx="60">
                  <c:v>118084309.92206068</c:v>
                </c:pt>
                <c:pt idx="61">
                  <c:v>115542377.61454079</c:v>
                </c:pt>
                <c:pt idx="62">
                  <c:v>113055164.00639999</c:v>
                </c:pt>
                <c:pt idx="63">
                  <c:v>110621491.19999999</c:v>
                </c:pt>
                <c:pt idx="64">
                  <c:v>108134400</c:v>
                </c:pt>
                <c:pt idx="65">
                  <c:v>105600000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F-4324-91CD-ADD41D5B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137080"/>
        <c:axId val="551091402"/>
      </c:lineChart>
      <c:catAx>
        <c:axId val="1446137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1091402"/>
        <c:crosses val="autoZero"/>
        <c:auto val="1"/>
        <c:lblAlgn val="ctr"/>
        <c:lblOffset val="100"/>
        <c:noMultiLvlLbl val="1"/>
      </c:catAx>
      <c:valAx>
        <c:axId val="551091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61370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'Reerica'!$D$1:$D$67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2.52E-2</c:v>
                </c:pt>
                <c:pt idx="2">
                  <c:v>2.53E-2</c:v>
                </c:pt>
                <c:pt idx="3">
                  <c:v>2.5700000000000001E-2</c:v>
                </c:pt>
                <c:pt idx="4">
                  <c:v>2.63E-2</c:v>
                </c:pt>
                <c:pt idx="5">
                  <c:v>2.69E-2</c:v>
                </c:pt>
                <c:pt idx="6">
                  <c:v>2.7199999999999998E-2</c:v>
                </c:pt>
                <c:pt idx="7">
                  <c:v>2.8299999999999999E-2</c:v>
                </c:pt>
                <c:pt idx="8">
                  <c:v>2.87E-2</c:v>
                </c:pt>
                <c:pt idx="9">
                  <c:v>2.9100000000000001E-2</c:v>
                </c:pt>
                <c:pt idx="10">
                  <c:v>2.8000000000000001E-2</c:v>
                </c:pt>
                <c:pt idx="11">
                  <c:v>2.5700000000000001E-2</c:v>
                </c:pt>
                <c:pt idx="12">
                  <c:v>2.5700000000000001E-2</c:v>
                </c:pt>
                <c:pt idx="13">
                  <c:v>2.53E-2</c:v>
                </c:pt>
                <c:pt idx="14">
                  <c:v>2.5399999999999999E-2</c:v>
                </c:pt>
                <c:pt idx="15">
                  <c:v>2.64E-2</c:v>
                </c:pt>
                <c:pt idx="16">
                  <c:v>2.76E-2</c:v>
                </c:pt>
                <c:pt idx="17">
                  <c:v>2.8299999999999999E-2</c:v>
                </c:pt>
                <c:pt idx="18">
                  <c:v>2.8400000000000002E-2</c:v>
                </c:pt>
                <c:pt idx="19">
                  <c:v>3.1600000000000003E-2</c:v>
                </c:pt>
                <c:pt idx="20">
                  <c:v>3.7199999999999997E-2</c:v>
                </c:pt>
                <c:pt idx="21">
                  <c:v>4.3499999999999997E-2</c:v>
                </c:pt>
                <c:pt idx="22">
                  <c:v>3.7000000000000002E-3</c:v>
                </c:pt>
                <c:pt idx="23">
                  <c:v>-6.1999999999999998E-3</c:v>
                </c:pt>
                <c:pt idx="24">
                  <c:v>2.8299999999999999E-2</c:v>
                </c:pt>
                <c:pt idx="25">
                  <c:v>2.8799999999999999E-2</c:v>
                </c:pt>
                <c:pt idx="26">
                  <c:v>2.93E-2</c:v>
                </c:pt>
                <c:pt idx="27">
                  <c:v>2.9700000000000001E-2</c:v>
                </c:pt>
                <c:pt idx="28">
                  <c:v>3.0200000000000001E-2</c:v>
                </c:pt>
                <c:pt idx="29">
                  <c:v>3.04E-2</c:v>
                </c:pt>
                <c:pt idx="30">
                  <c:v>3.0599999999999999E-2</c:v>
                </c:pt>
                <c:pt idx="31">
                  <c:v>3.2000000000000001E-2</c:v>
                </c:pt>
                <c:pt idx="32">
                  <c:v>3.3500000000000002E-2</c:v>
                </c:pt>
                <c:pt idx="33">
                  <c:v>3.4000000000000002E-2</c:v>
                </c:pt>
                <c:pt idx="34">
                  <c:v>3.3300000000000003E-2</c:v>
                </c:pt>
                <c:pt idx="35">
                  <c:v>3.1099999999999999E-2</c:v>
                </c:pt>
                <c:pt idx="36">
                  <c:v>2.81E-2</c:v>
                </c:pt>
                <c:pt idx="37">
                  <c:v>2.5600000000000001E-2</c:v>
                </c:pt>
                <c:pt idx="38">
                  <c:v>2.4199999999999999E-2</c:v>
                </c:pt>
                <c:pt idx="39">
                  <c:v>2.4E-2</c:v>
                </c:pt>
                <c:pt idx="40">
                  <c:v>2.4199999999999999E-2</c:v>
                </c:pt>
                <c:pt idx="41">
                  <c:v>2.47E-2</c:v>
                </c:pt>
                <c:pt idx="42">
                  <c:v>2.5399999999999999E-2</c:v>
                </c:pt>
                <c:pt idx="43">
                  <c:v>2.64E-2</c:v>
                </c:pt>
                <c:pt idx="44">
                  <c:v>2.8500000000000001E-2</c:v>
                </c:pt>
                <c:pt idx="45">
                  <c:v>3.2099999999999997E-2</c:v>
                </c:pt>
                <c:pt idx="46">
                  <c:v>3.6299999999999999E-2</c:v>
                </c:pt>
                <c:pt idx="47">
                  <c:v>3.9899999999999998E-2</c:v>
                </c:pt>
                <c:pt idx="48">
                  <c:v>4.1399999999999999E-2</c:v>
                </c:pt>
                <c:pt idx="49">
                  <c:v>3.95E-2</c:v>
                </c:pt>
                <c:pt idx="50">
                  <c:v>3.4299999999999997E-2</c:v>
                </c:pt>
                <c:pt idx="51">
                  <c:v>2.75E-2</c:v>
                </c:pt>
                <c:pt idx="52">
                  <c:v>2.1499999999999998E-2</c:v>
                </c:pt>
                <c:pt idx="53">
                  <c:v>1.84E-2</c:v>
                </c:pt>
                <c:pt idx="54">
                  <c:v>1.7600000000000001E-2</c:v>
                </c:pt>
                <c:pt idx="55">
                  <c:v>1.7500000000000002E-2</c:v>
                </c:pt>
                <c:pt idx="56">
                  <c:v>1.7999999999999999E-2</c:v>
                </c:pt>
                <c:pt idx="57">
                  <c:v>1.9E-2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1.9E-2</c:v>
                </c:pt>
                <c:pt idx="65">
                  <c:v>1.9E-2</c:v>
                </c:pt>
                <c:pt idx="66">
                  <c:v>1.7999999999999999E-2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9F-4E56-9841-97463082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347619"/>
        <c:axId val="1164300601"/>
      </c:lineChart>
      <c:catAx>
        <c:axId val="1544347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4300601"/>
        <c:crosses val="autoZero"/>
        <c:auto val="1"/>
        <c:lblAlgn val="ctr"/>
        <c:lblOffset val="100"/>
        <c:noMultiLvlLbl val="1"/>
      </c:catAx>
      <c:valAx>
        <c:axId val="1164300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3476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'Reerica'!$C$1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'Reerica'!$C$2:$C$67</c:f>
              <c:numCache>
                <c:formatCode>#,##0</c:formatCode>
                <c:ptCount val="66"/>
                <c:pt idx="0">
                  <c:v>8871997.5144445822</c:v>
                </c:pt>
                <c:pt idx="1">
                  <c:v>8653918.7616509777</c:v>
                </c:pt>
                <c:pt idx="2">
                  <c:v>8440377.2180346996</c:v>
                </c:pt>
                <c:pt idx="3">
                  <c:v>8228894.6261428278</c:v>
                </c:pt>
                <c:pt idx="4">
                  <c:v>8018020.6822009431</c:v>
                </c:pt>
                <c:pt idx="5">
                  <c:v>7807985.8624997018</c:v>
                </c:pt>
                <c:pt idx="6">
                  <c:v>7601232.3427761905</c:v>
                </c:pt>
                <c:pt idx="7">
                  <c:v>7392037.6765303807</c:v>
                </c:pt>
                <c:pt idx="8">
                  <c:v>7185805.0709928852</c:v>
                </c:pt>
                <c:pt idx="9">
                  <c:v>6982611.0883226953</c:v>
                </c:pt>
                <c:pt idx="10">
                  <c:v>6792423.2376679918</c:v>
                </c:pt>
                <c:pt idx="11">
                  <c:v>6622231.878393284</c:v>
                </c:pt>
                <c:pt idx="12">
                  <c:v>6456304.8439049274</c:v>
                </c:pt>
                <c:pt idx="13">
                  <c:v>6296990.9723055949</c:v>
                </c:pt>
                <c:pt idx="14">
                  <c:v>6141009.3351917248</c:v>
                </c:pt>
                <c:pt idx="15">
                  <c:v>5983056.6398984073</c:v>
                </c:pt>
                <c:pt idx="16">
                  <c:v>5822359.5172230508</c:v>
                </c:pt>
                <c:pt idx="17">
                  <c:v>5662121.4793572407</c:v>
                </c:pt>
                <c:pt idx="18">
                  <c:v>5505757.9534784527</c:v>
                </c:pt>
                <c:pt idx="19">
                  <c:v>5337105.4221388642</c:v>
                </c:pt>
                <c:pt idx="20">
                  <c:v>5145685.906420039</c:v>
                </c:pt>
                <c:pt idx="21">
                  <c:v>4931179.5940776607</c:v>
                </c:pt>
                <c:pt idx="22">
                  <c:v>4913001.4885699516</c:v>
                </c:pt>
                <c:pt idx="23">
                  <c:v>4943652.131787031</c:v>
                </c:pt>
                <c:pt idx="24">
                  <c:v>4807597.1329252468</c:v>
                </c:pt>
                <c:pt idx="25">
                  <c:v>4673014.3204949917</c:v>
                </c:pt>
                <c:pt idx="26">
                  <c:v>4539992.5390993794</c:v>
                </c:pt>
                <c:pt idx="27">
                  <c:v>4409043.9342520917</c:v>
                </c:pt>
                <c:pt idx="28">
                  <c:v>4279794.150895061</c:v>
                </c:pt>
                <c:pt idx="29">
                  <c:v>4153526.9321574741</c:v>
                </c:pt>
                <c:pt idx="30">
                  <c:v>4030202.7286604643</c:v>
                </c:pt>
                <c:pt idx="31">
                  <c:v>3905235.2021903722</c:v>
                </c:pt>
                <c:pt idx="32">
                  <c:v>3778650.413343369</c:v>
                </c:pt>
                <c:pt idx="33">
                  <c:v>3654400.7865990028</c:v>
                </c:pt>
                <c:pt idx="34">
                  <c:v>3536630.9751272644</c:v>
                </c:pt>
                <c:pt idx="35">
                  <c:v>3429959.2426799191</c:v>
                </c:pt>
                <c:pt idx="36">
                  <c:v>3336211.6940763728</c:v>
                </c:pt>
                <c:pt idx="37">
                  <c:v>3252936.5191852306</c:v>
                </c:pt>
                <c:pt idx="38">
                  <c:v>3176075.4922722424</c:v>
                </c:pt>
                <c:pt idx="39">
                  <c:v>3101636.2229221119</c:v>
                </c:pt>
                <c:pt idx="40">
                  <c:v>3028350.149308838</c:v>
                </c:pt>
                <c:pt idx="41">
                  <c:v>2955352.9318911275</c:v>
                </c:pt>
                <c:pt idx="42">
                  <c:v>2882146.4130009045</c:v>
                </c:pt>
                <c:pt idx="43">
                  <c:v>2808014.8217078182</c:v>
                </c:pt>
                <c:pt idx="44">
                  <c:v>2730204.0074942326</c:v>
                </c:pt>
                <c:pt idx="45">
                  <c:v>2645290.1923207371</c:v>
                </c:pt>
                <c:pt idx="46">
                  <c:v>2552629.7330123875</c:v>
                </c:pt>
                <c:pt idx="47">
                  <c:v>2454687.6940209516</c:v>
                </c:pt>
                <c:pt idx="48">
                  <c:v>2357103.6047829376</c:v>
                </c:pt>
                <c:pt idx="49">
                  <c:v>2267535.9353371211</c:v>
                </c:pt>
                <c:pt idx="50">
                  <c:v>2192338.7173326127</c:v>
                </c:pt>
                <c:pt idx="51">
                  <c:v>2133662.9852385526</c:v>
                </c:pt>
                <c:pt idx="52">
                  <c:v>2088754.7579427827</c:v>
                </c:pt>
                <c:pt idx="53">
                  <c:v>2051016.06239472</c:v>
                </c:pt>
                <c:pt idx="54">
                  <c:v>2015542.5141457547</c:v>
                </c:pt>
                <c:pt idx="55">
                  <c:v>1980877.1637796115</c:v>
                </c:pt>
                <c:pt idx="56">
                  <c:v>1945851.8308247656</c:v>
                </c:pt>
                <c:pt idx="57">
                  <c:v>1909570.0008093875</c:v>
                </c:pt>
                <c:pt idx="58">
                  <c:v>1872127.4517739094</c:v>
                </c:pt>
                <c:pt idx="59">
                  <c:v>1835419.0703665777</c:v>
                </c:pt>
                <c:pt idx="60">
                  <c:v>1799430.4611437037</c:v>
                </c:pt>
                <c:pt idx="61">
                  <c:v>1764147.5109251996</c:v>
                </c:pt>
                <c:pt idx="62">
                  <c:v>1729556.3832599996</c:v>
                </c:pt>
                <c:pt idx="63">
                  <c:v>1695643.5129999996</c:v>
                </c:pt>
                <c:pt idx="64">
                  <c:v>1664026.9999999998</c:v>
                </c:pt>
                <c:pt idx="65">
                  <c:v>1633000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5-42BB-8FDB-4E417F7A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12148"/>
        <c:axId val="963639825"/>
      </c:lineChart>
      <c:catAx>
        <c:axId val="762712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3639825"/>
        <c:crosses val="autoZero"/>
        <c:auto val="1"/>
        <c:lblAlgn val="ctr"/>
        <c:lblOffset val="100"/>
        <c:noMultiLvlLbl val="1"/>
      </c:catAx>
      <c:valAx>
        <c:axId val="963639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27121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'Rethern'!$D$1:$D$67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4.5999999999999999E-3</c:v>
                </c:pt>
                <c:pt idx="2">
                  <c:v>4.4000000000000003E-3</c:v>
                </c:pt>
                <c:pt idx="3">
                  <c:v>3.8999999999999998E-3</c:v>
                </c:pt>
                <c:pt idx="4">
                  <c:v>3.3E-3</c:v>
                </c:pt>
                <c:pt idx="5">
                  <c:v>2.8999999999999998E-3</c:v>
                </c:pt>
                <c:pt idx="6">
                  <c:v>1.9E-3</c:v>
                </c:pt>
                <c:pt idx="7">
                  <c:v>1.6000000000000001E-3</c:v>
                </c:pt>
                <c:pt idx="8">
                  <c:v>2.0999999999999999E-3</c:v>
                </c:pt>
                <c:pt idx="9">
                  <c:v>5.0000000000000001E-3</c:v>
                </c:pt>
                <c:pt idx="10">
                  <c:v>9.1999999999999998E-3</c:v>
                </c:pt>
                <c:pt idx="11">
                  <c:v>1.4200000000000001E-2</c:v>
                </c:pt>
                <c:pt idx="12">
                  <c:v>1.8700000000000001E-2</c:v>
                </c:pt>
                <c:pt idx="13">
                  <c:v>2.07E-2</c:v>
                </c:pt>
                <c:pt idx="14">
                  <c:v>1.84E-2</c:v>
                </c:pt>
                <c:pt idx="15">
                  <c:v>1.29E-2</c:v>
                </c:pt>
                <c:pt idx="16">
                  <c:v>6.6E-3</c:v>
                </c:pt>
                <c:pt idx="17">
                  <c:v>1.1999999999999999E-3</c:v>
                </c:pt>
                <c:pt idx="18">
                  <c:v>-1.9E-3</c:v>
                </c:pt>
                <c:pt idx="19">
                  <c:v>-1.4E-3</c:v>
                </c:pt>
                <c:pt idx="20">
                  <c:v>1.4E-3</c:v>
                </c:pt>
                <c:pt idx="21">
                  <c:v>4.7999999999999996E-3</c:v>
                </c:pt>
                <c:pt idx="22">
                  <c:v>7.7000000000000002E-3</c:v>
                </c:pt>
                <c:pt idx="23">
                  <c:v>1.18E-2</c:v>
                </c:pt>
                <c:pt idx="24">
                  <c:v>1.72E-2</c:v>
                </c:pt>
                <c:pt idx="25">
                  <c:v>2.3800000000000002E-2</c:v>
                </c:pt>
                <c:pt idx="26">
                  <c:v>3.09E-2</c:v>
                </c:pt>
                <c:pt idx="27">
                  <c:v>3.8600000000000002E-2</c:v>
                </c:pt>
                <c:pt idx="28">
                  <c:v>4.4600000000000001E-2</c:v>
                </c:pt>
                <c:pt idx="29">
                  <c:v>4.7500000000000001E-2</c:v>
                </c:pt>
                <c:pt idx="30">
                  <c:v>4.7899999999999998E-2</c:v>
                </c:pt>
                <c:pt idx="31">
                  <c:v>4.7199999999999999E-2</c:v>
                </c:pt>
                <c:pt idx="32">
                  <c:v>4.7100000000000003E-2</c:v>
                </c:pt>
                <c:pt idx="33">
                  <c:v>4.5499999999999999E-2</c:v>
                </c:pt>
                <c:pt idx="34">
                  <c:v>4.4400000000000002E-2</c:v>
                </c:pt>
                <c:pt idx="35">
                  <c:v>4.19E-2</c:v>
                </c:pt>
                <c:pt idx="36">
                  <c:v>3.8600000000000002E-2</c:v>
                </c:pt>
                <c:pt idx="37">
                  <c:v>3.5200000000000002E-2</c:v>
                </c:pt>
                <c:pt idx="38">
                  <c:v>3.3000000000000002E-2</c:v>
                </c:pt>
                <c:pt idx="39">
                  <c:v>3.4500000000000003E-2</c:v>
                </c:pt>
                <c:pt idx="40">
                  <c:v>3.7199999999999997E-2</c:v>
                </c:pt>
                <c:pt idx="41">
                  <c:v>4.19E-2</c:v>
                </c:pt>
                <c:pt idx="42">
                  <c:v>4.5499999999999999E-2</c:v>
                </c:pt>
                <c:pt idx="43">
                  <c:v>4.8300000000000003E-2</c:v>
                </c:pt>
                <c:pt idx="44">
                  <c:v>4.7199999999999999E-2</c:v>
                </c:pt>
                <c:pt idx="45">
                  <c:v>4.3700000000000003E-2</c:v>
                </c:pt>
                <c:pt idx="46">
                  <c:v>3.8800000000000001E-2</c:v>
                </c:pt>
                <c:pt idx="47">
                  <c:v>3.3700000000000001E-2</c:v>
                </c:pt>
                <c:pt idx="48">
                  <c:v>3.1199999999999999E-2</c:v>
                </c:pt>
                <c:pt idx="49">
                  <c:v>3.0300000000000001E-2</c:v>
                </c:pt>
                <c:pt idx="50">
                  <c:v>3.1399999999999997E-2</c:v>
                </c:pt>
                <c:pt idx="51">
                  <c:v>3.3700000000000001E-2</c:v>
                </c:pt>
                <c:pt idx="52">
                  <c:v>3.6499999999999998E-2</c:v>
                </c:pt>
                <c:pt idx="53">
                  <c:v>3.56E-2</c:v>
                </c:pt>
                <c:pt idx="54">
                  <c:v>3.2099999999999997E-2</c:v>
                </c:pt>
                <c:pt idx="55">
                  <c:v>2.5700000000000001E-2</c:v>
                </c:pt>
                <c:pt idx="56">
                  <c:v>1.7999999999999999E-2</c:v>
                </c:pt>
                <c:pt idx="57">
                  <c:v>1.4999999999999999E-2</c:v>
                </c:pt>
                <c:pt idx="58">
                  <c:v>1.2E-2</c:v>
                </c:pt>
                <c:pt idx="59">
                  <c:v>0.01</c:v>
                </c:pt>
                <c:pt idx="60">
                  <c:v>8.9999999999999993E-3</c:v>
                </c:pt>
                <c:pt idx="61">
                  <c:v>8.0000000000000002E-3</c:v>
                </c:pt>
                <c:pt idx="62">
                  <c:v>7.0000000000000001E-3</c:v>
                </c:pt>
                <c:pt idx="63">
                  <c:v>5.7999999999999996E-3</c:v>
                </c:pt>
                <c:pt idx="64">
                  <c:v>8.5000000000000006E-3</c:v>
                </c:pt>
                <c:pt idx="65">
                  <c:v>7.3000000000000001E-3</c:v>
                </c:pt>
                <c:pt idx="66">
                  <c:v>1.0500000000000001E-2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8E-4C38-A02F-652C7E8B6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993878"/>
        <c:axId val="382865025"/>
      </c:lineChart>
      <c:catAx>
        <c:axId val="580993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2865025"/>
        <c:crosses val="autoZero"/>
        <c:auto val="1"/>
        <c:lblAlgn val="ctr"/>
        <c:lblOffset val="100"/>
        <c:noMultiLvlLbl val="1"/>
      </c:catAx>
      <c:valAx>
        <c:axId val="382865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09938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'Rethern'!$C$1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'Rethern'!$C$2:$C$67</c:f>
              <c:numCache>
                <c:formatCode>#,##0</c:formatCode>
                <c:ptCount val="66"/>
                <c:pt idx="0">
                  <c:v>82727.340634671142</c:v>
                </c:pt>
                <c:pt idx="1">
                  <c:v>82348.53736280225</c:v>
                </c:pt>
                <c:pt idx="2">
                  <c:v>81987.791082041265</c:v>
                </c:pt>
                <c:pt idx="3">
                  <c:v>81669.280886583583</c:v>
                </c:pt>
                <c:pt idx="4">
                  <c:v>81400.658712831239</c:v>
                </c:pt>
                <c:pt idx="5">
                  <c:v>81165.279402563814</c:v>
                </c:pt>
                <c:pt idx="6">
                  <c:v>81011.35782270068</c:v>
                </c:pt>
                <c:pt idx="7">
                  <c:v>80881.946707967931</c:v>
                </c:pt>
                <c:pt idx="8">
                  <c:v>80712.45056178818</c:v>
                </c:pt>
                <c:pt idx="9">
                  <c:v>80310.896081381288</c:v>
                </c:pt>
                <c:pt idx="10">
                  <c:v>79578.771384642576</c:v>
                </c:pt>
                <c:pt idx="11">
                  <c:v>78464.574427768268</c:v>
                </c:pt>
                <c:pt idx="12">
                  <c:v>77024.221485980437</c:v>
                </c:pt>
                <c:pt idx="13">
                  <c:v>75462.154879965165</c:v>
                </c:pt>
                <c:pt idx="14">
                  <c:v>74098.738098944581</c:v>
                </c:pt>
                <c:pt idx="15">
                  <c:v>73155.038107359651</c:v>
                </c:pt>
                <c:pt idx="16">
                  <c:v>72675.380595429815</c:v>
                </c:pt>
                <c:pt idx="17">
                  <c:v>72588.274665830817</c:v>
                </c:pt>
                <c:pt idx="18">
                  <c:v>72726.45493019819</c:v>
                </c:pt>
                <c:pt idx="19">
                  <c:v>72828.414710793295</c:v>
                </c:pt>
                <c:pt idx="20">
                  <c:v>72726.597474329232</c:v>
                </c:pt>
                <c:pt idx="21">
                  <c:v>72379.177422700275</c:v>
                </c:pt>
                <c:pt idx="22">
                  <c:v>71826.116326982505</c:v>
                </c:pt>
                <c:pt idx="23">
                  <c:v>70988.452586462241</c:v>
                </c:pt>
                <c:pt idx="24">
                  <c:v>69788.097312684069</c:v>
                </c:pt>
                <c:pt idx="25">
                  <c:v>68165.752405434716</c:v>
                </c:pt>
                <c:pt idx="26">
                  <c:v>66122.565142530526</c:v>
                </c:pt>
                <c:pt idx="27">
                  <c:v>63665.092569353488</c:v>
                </c:pt>
                <c:pt idx="28">
                  <c:v>60946.862501774354</c:v>
                </c:pt>
                <c:pt idx="29">
                  <c:v>58183.162292863337</c:v>
                </c:pt>
                <c:pt idx="30">
                  <c:v>55523.582682377455</c:v>
                </c:pt>
                <c:pt idx="31">
                  <c:v>53020.991866288634</c:v>
                </c:pt>
                <c:pt idx="32">
                  <c:v>50636.034634981028</c:v>
                </c:pt>
                <c:pt idx="33">
                  <c:v>48432.362156844596</c:v>
                </c:pt>
                <c:pt idx="34">
                  <c:v>46373.383911187855</c:v>
                </c:pt>
                <c:pt idx="35">
                  <c:v>44508.478655521503</c:v>
                </c:pt>
                <c:pt idx="36">
                  <c:v>42854.302576084636</c:v>
                </c:pt>
                <c:pt idx="37">
                  <c:v>41397.123817701548</c:v>
                </c:pt>
                <c:pt idx="38">
                  <c:v>40074.660036497145</c:v>
                </c:pt>
                <c:pt idx="39">
                  <c:v>38738.192398740597</c:v>
                </c:pt>
                <c:pt idx="40">
                  <c:v>37348.816427632664</c:v>
                </c:pt>
                <c:pt idx="41">
                  <c:v>35846.834079693508</c:v>
                </c:pt>
                <c:pt idx="42">
                  <c:v>34286.785346430901</c:v>
                </c:pt>
                <c:pt idx="43">
                  <c:v>32707.035530316607</c:v>
                </c:pt>
                <c:pt idx="44">
                  <c:v>31232.845235214485</c:v>
                </c:pt>
                <c:pt idx="45">
                  <c:v>29925.117596258009</c:v>
                </c:pt>
                <c:pt idx="46">
                  <c:v>28807.390831977293</c:v>
                </c:pt>
                <c:pt idx="47">
                  <c:v>27868.231432695455</c:v>
                </c:pt>
                <c:pt idx="48">
                  <c:v>27025.049876547186</c:v>
                </c:pt>
                <c:pt idx="49">
                  <c:v>26230.27261627408</c:v>
                </c:pt>
                <c:pt idx="50">
                  <c:v>25431.716711531975</c:v>
                </c:pt>
                <c:pt idx="51">
                  <c:v>24602.608795135893</c:v>
                </c:pt>
                <c:pt idx="52">
                  <c:v>23736.236174757254</c:v>
                </c:pt>
                <c:pt idx="53">
                  <c:v>22920.274405906963</c:v>
                </c:pt>
                <c:pt idx="54">
                  <c:v>22207.416341349639</c:v>
                </c:pt>
                <c:pt idx="55">
                  <c:v>21650.986001120833</c:v>
                </c:pt>
                <c:pt idx="56">
                  <c:v>21268.159136660935</c:v>
                </c:pt>
                <c:pt idx="57">
                  <c:v>20953.851366168412</c:v>
                </c:pt>
                <c:pt idx="58">
                  <c:v>20705.386725462857</c:v>
                </c:pt>
                <c:pt idx="59">
                  <c:v>20500.382896497878</c:v>
                </c:pt>
                <c:pt idx="60">
                  <c:v>20317.525169968168</c:v>
                </c:pt>
                <c:pt idx="61">
                  <c:v>20156.274970206516</c:v>
                </c:pt>
                <c:pt idx="62">
                  <c:v>20016.161837345102</c:v>
                </c:pt>
                <c:pt idx="63">
                  <c:v>19900.737559500001</c:v>
                </c:pt>
                <c:pt idx="64">
                  <c:v>19733.007000000001</c:v>
                </c:pt>
                <c:pt idx="65">
                  <c:v>19590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0-49FA-863B-8F733E067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268789"/>
        <c:axId val="815518351"/>
      </c:lineChart>
      <c:catAx>
        <c:axId val="1884268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518351"/>
        <c:crosses val="autoZero"/>
        <c:auto val="1"/>
        <c:lblAlgn val="ctr"/>
        <c:lblOffset val="100"/>
        <c:noMultiLvlLbl val="1"/>
      </c:catAx>
      <c:valAx>
        <c:axId val="815518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42687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'Rijan bu'!$D$1:$D$67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2.8899999999999999E-2</c:v>
                </c:pt>
                <c:pt idx="2">
                  <c:v>2.4199999999999999E-2</c:v>
                </c:pt>
                <c:pt idx="3">
                  <c:v>1.9900000000000001E-2</c:v>
                </c:pt>
                <c:pt idx="4">
                  <c:v>2.0899999999999998E-2</c:v>
                </c:pt>
                <c:pt idx="5">
                  <c:v>2.1700000000000001E-2</c:v>
                </c:pt>
                <c:pt idx="6">
                  <c:v>2.1999999999999999E-2</c:v>
                </c:pt>
                <c:pt idx="7">
                  <c:v>2.2200000000000001E-2</c:v>
                </c:pt>
                <c:pt idx="8">
                  <c:v>2.2700000000000001E-2</c:v>
                </c:pt>
                <c:pt idx="9">
                  <c:v>2.3300000000000001E-2</c:v>
                </c:pt>
                <c:pt idx="10">
                  <c:v>2.3599999999999999E-2</c:v>
                </c:pt>
                <c:pt idx="11">
                  <c:v>2.3900000000000001E-2</c:v>
                </c:pt>
                <c:pt idx="12">
                  <c:v>2.4199999999999999E-2</c:v>
                </c:pt>
                <c:pt idx="13">
                  <c:v>2.4899999999999999E-2</c:v>
                </c:pt>
                <c:pt idx="14">
                  <c:v>2.58E-2</c:v>
                </c:pt>
                <c:pt idx="15">
                  <c:v>2.6800000000000001E-2</c:v>
                </c:pt>
                <c:pt idx="16">
                  <c:v>2.7699999999999999E-2</c:v>
                </c:pt>
                <c:pt idx="17">
                  <c:v>3.2599999999999997E-2</c:v>
                </c:pt>
                <c:pt idx="18">
                  <c:v>3.7699999999999997E-2</c:v>
                </c:pt>
                <c:pt idx="19">
                  <c:v>3.8399999999999997E-2</c:v>
                </c:pt>
                <c:pt idx="20">
                  <c:v>3.8699999999999998E-2</c:v>
                </c:pt>
                <c:pt idx="21">
                  <c:v>3.9E-2</c:v>
                </c:pt>
                <c:pt idx="22">
                  <c:v>3.9300000000000002E-2</c:v>
                </c:pt>
                <c:pt idx="23">
                  <c:v>3.9800000000000002E-2</c:v>
                </c:pt>
                <c:pt idx="24">
                  <c:v>3.9899999999999998E-2</c:v>
                </c:pt>
                <c:pt idx="25">
                  <c:v>3.9699999999999999E-2</c:v>
                </c:pt>
                <c:pt idx="26">
                  <c:v>3.9300000000000002E-2</c:v>
                </c:pt>
                <c:pt idx="27">
                  <c:v>3.8699999999999998E-2</c:v>
                </c:pt>
                <c:pt idx="28">
                  <c:v>3.8300000000000001E-2</c:v>
                </c:pt>
                <c:pt idx="29">
                  <c:v>3.8600000000000002E-2</c:v>
                </c:pt>
                <c:pt idx="30">
                  <c:v>3.9100000000000003E-2</c:v>
                </c:pt>
                <c:pt idx="31">
                  <c:v>3.9600000000000003E-2</c:v>
                </c:pt>
                <c:pt idx="32">
                  <c:v>3.9899999999999998E-2</c:v>
                </c:pt>
                <c:pt idx="33">
                  <c:v>4.0099999999999997E-2</c:v>
                </c:pt>
                <c:pt idx="34">
                  <c:v>4.02E-2</c:v>
                </c:pt>
                <c:pt idx="35">
                  <c:v>0.04</c:v>
                </c:pt>
                <c:pt idx="36">
                  <c:v>3.95E-2</c:v>
                </c:pt>
                <c:pt idx="37">
                  <c:v>3.8600000000000002E-2</c:v>
                </c:pt>
                <c:pt idx="38">
                  <c:v>3.7699999999999997E-2</c:v>
                </c:pt>
                <c:pt idx="39">
                  <c:v>3.6700000000000003E-2</c:v>
                </c:pt>
                <c:pt idx="40">
                  <c:v>4.07E-2</c:v>
                </c:pt>
                <c:pt idx="41">
                  <c:v>4.5600000000000002E-2</c:v>
                </c:pt>
                <c:pt idx="42">
                  <c:v>4.5699999999999998E-2</c:v>
                </c:pt>
                <c:pt idx="43">
                  <c:v>4.5499999999999999E-2</c:v>
                </c:pt>
                <c:pt idx="44">
                  <c:v>4.48E-2</c:v>
                </c:pt>
                <c:pt idx="45">
                  <c:v>4.3299999999999998E-2</c:v>
                </c:pt>
                <c:pt idx="46">
                  <c:v>4.1399999999999999E-2</c:v>
                </c:pt>
                <c:pt idx="47">
                  <c:v>3.9699999999999999E-2</c:v>
                </c:pt>
                <c:pt idx="48">
                  <c:v>3.8899999999999997E-2</c:v>
                </c:pt>
                <c:pt idx="49">
                  <c:v>3.8699999999999998E-2</c:v>
                </c:pt>
                <c:pt idx="50">
                  <c:v>3.8699999999999998E-2</c:v>
                </c:pt>
                <c:pt idx="51">
                  <c:v>3.8699999999999998E-2</c:v>
                </c:pt>
                <c:pt idx="52">
                  <c:v>3.8600000000000002E-2</c:v>
                </c:pt>
                <c:pt idx="53">
                  <c:v>3.85E-2</c:v>
                </c:pt>
                <c:pt idx="54">
                  <c:v>3.78E-2</c:v>
                </c:pt>
                <c:pt idx="55">
                  <c:v>3.6499999999999998E-2</c:v>
                </c:pt>
                <c:pt idx="56">
                  <c:v>3.5999999999999997E-2</c:v>
                </c:pt>
                <c:pt idx="57">
                  <c:v>3.5000000000000003E-2</c:v>
                </c:pt>
                <c:pt idx="58">
                  <c:v>3.4000000000000002E-2</c:v>
                </c:pt>
                <c:pt idx="59">
                  <c:v>3.3000000000000002E-2</c:v>
                </c:pt>
                <c:pt idx="60">
                  <c:v>3.2000000000000001E-2</c:v>
                </c:pt>
                <c:pt idx="61">
                  <c:v>3.1E-2</c:v>
                </c:pt>
                <c:pt idx="62">
                  <c:v>0.03</c:v>
                </c:pt>
                <c:pt idx="63">
                  <c:v>2.8000000000000001E-2</c:v>
                </c:pt>
                <c:pt idx="64">
                  <c:v>2.7E-2</c:v>
                </c:pt>
                <c:pt idx="65">
                  <c:v>2.5999999999999999E-2</c:v>
                </c:pt>
                <c:pt idx="66">
                  <c:v>2.5000000000000001E-2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E9-4E4B-B16E-1DBF8CFE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886347"/>
        <c:axId val="923905955"/>
      </c:lineChart>
      <c:catAx>
        <c:axId val="1174886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3905955"/>
        <c:crosses val="autoZero"/>
        <c:auto val="1"/>
        <c:lblAlgn val="ctr"/>
        <c:lblOffset val="100"/>
        <c:noMultiLvlLbl val="1"/>
      </c:catAx>
      <c:valAx>
        <c:axId val="923905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48863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'Rijan bu'!$C$1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'Rijan bu'!$C$2:$C$67</c:f>
              <c:numCache>
                <c:formatCode>#,##0</c:formatCode>
                <c:ptCount val="66"/>
                <c:pt idx="0">
                  <c:v>3625515.5776931201</c:v>
                </c:pt>
                <c:pt idx="1">
                  <c:v>3523681.1912655463</c:v>
                </c:pt>
                <c:pt idx="2">
                  <c:v>3440422.9557367177</c:v>
                </c:pt>
                <c:pt idx="3">
                  <c:v>3373294.3972318047</c:v>
                </c:pt>
                <c:pt idx="4">
                  <c:v>3304235.8675989863</c:v>
                </c:pt>
                <c:pt idx="5">
                  <c:v>3234056.834294789</c:v>
                </c:pt>
                <c:pt idx="6">
                  <c:v>3164439.1724997936</c:v>
                </c:pt>
                <c:pt idx="7">
                  <c:v>3095714.3147131614</c:v>
                </c:pt>
                <c:pt idx="8">
                  <c:v>3027001.3833119795</c:v>
                </c:pt>
                <c:pt idx="9">
                  <c:v>2958078.1621342511</c:v>
                </c:pt>
                <c:pt idx="10">
                  <c:v>2889877.0634371345</c:v>
                </c:pt>
                <c:pt idx="11">
                  <c:v>2822421.1968328296</c:v>
                </c:pt>
                <c:pt idx="12">
                  <c:v>2755732.4710338116</c:v>
                </c:pt>
                <c:pt idx="13">
                  <c:v>2688781.8041114369</c:v>
                </c:pt>
                <c:pt idx="14">
                  <c:v>2621155.979831777</c:v>
                </c:pt>
                <c:pt idx="15">
                  <c:v>2552742.4813320776</c:v>
                </c:pt>
                <c:pt idx="16">
                  <c:v>2483937.4149382869</c:v>
                </c:pt>
                <c:pt idx="17">
                  <c:v>2405517.5430353349</c:v>
                </c:pt>
                <c:pt idx="18">
                  <c:v>2318124.2584902523</c:v>
                </c:pt>
                <c:pt idx="19">
                  <c:v>2232400.0948480857</c:v>
                </c:pt>
                <c:pt idx="20">
                  <c:v>2149225.084093661</c:v>
                </c:pt>
                <c:pt idx="21">
                  <c:v>2068551.5727561705</c:v>
                </c:pt>
                <c:pt idx="22">
                  <c:v>1990331.543111874</c:v>
                </c:pt>
                <c:pt idx="23">
                  <c:v>1914148.4353836065</c:v>
                </c:pt>
                <c:pt idx="24">
                  <c:v>1840704.3325162097</c:v>
                </c:pt>
                <c:pt idx="25">
                  <c:v>1770418.7097395496</c:v>
                </c:pt>
                <c:pt idx="26">
                  <c:v>1703472.2503026554</c:v>
                </c:pt>
                <c:pt idx="27">
                  <c:v>1640004.091944407</c:v>
                </c:pt>
                <c:pt idx="28">
                  <c:v>1579508.9010347752</c:v>
                </c:pt>
                <c:pt idx="29">
                  <c:v>1520805.7972605191</c:v>
                </c:pt>
                <c:pt idx="30">
                  <c:v>1463579.826061514</c:v>
                </c:pt>
                <c:pt idx="31">
                  <c:v>1407829.7672773316</c:v>
                </c:pt>
                <c:pt idx="32">
                  <c:v>1353812.6428284752</c:v>
                </c:pt>
                <c:pt idx="33">
                  <c:v>1301617.7702417797</c:v>
                </c:pt>
                <c:pt idx="34">
                  <c:v>1251314.9108265524</c:v>
                </c:pt>
                <c:pt idx="35">
                  <c:v>1203187.4142563003</c:v>
                </c:pt>
                <c:pt idx="36">
                  <c:v>1157467.4499820108</c:v>
                </c:pt>
                <c:pt idx="37">
                  <c:v>1114449.6918756121</c:v>
                </c:pt>
                <c:pt idx="38">
                  <c:v>1073961.3490176469</c:v>
                </c:pt>
                <c:pt idx="39">
                  <c:v>1035942.2677897626</c:v>
                </c:pt>
                <c:pt idx="40">
                  <c:v>995428.3345726555</c:v>
                </c:pt>
                <c:pt idx="41">
                  <c:v>952016.38731126185</c:v>
                </c:pt>
                <c:pt idx="42">
                  <c:v>910410.6218908499</c:v>
                </c:pt>
                <c:pt idx="43">
                  <c:v>870789.69095251057</c:v>
                </c:pt>
                <c:pt idx="44">
                  <c:v>833451.08245837537</c:v>
                </c:pt>
                <c:pt idx="45">
                  <c:v>798860.4260120535</c:v>
                </c:pt>
                <c:pt idx="46">
                  <c:v>767102.38718269009</c:v>
                </c:pt>
                <c:pt idx="47">
                  <c:v>737811.27939087246</c:v>
                </c:pt>
                <c:pt idx="48">
                  <c:v>710185.07978715224</c:v>
                </c:pt>
                <c:pt idx="49">
                  <c:v>683724.92518258619</c:v>
                </c:pt>
                <c:pt idx="50">
                  <c:v>658250.62595801114</c:v>
                </c:pt>
                <c:pt idx="51">
                  <c:v>633725.45100415056</c:v>
                </c:pt>
                <c:pt idx="52">
                  <c:v>610172.78163311246</c:v>
                </c:pt>
                <c:pt idx="53">
                  <c:v>587552.02853453299</c:v>
                </c:pt>
                <c:pt idx="54">
                  <c:v>566151.50176771334</c:v>
                </c:pt>
                <c:pt idx="55">
                  <c:v>546214.66644255992</c:v>
                </c:pt>
                <c:pt idx="56">
                  <c:v>527234.23401791498</c:v>
                </c:pt>
                <c:pt idx="57">
                  <c:v>509405.05702214007</c:v>
                </c:pt>
                <c:pt idx="58">
                  <c:v>492654.79402528051</c:v>
                </c:pt>
                <c:pt idx="59">
                  <c:v>476916.54794315639</c:v>
                </c:pt>
                <c:pt idx="60">
                  <c:v>462128.43792941509</c:v>
                </c:pt>
                <c:pt idx="61">
                  <c:v>448233.20846693998</c:v>
                </c:pt>
                <c:pt idx="62">
                  <c:v>435177.87229799997</c:v>
                </c:pt>
                <c:pt idx="63">
                  <c:v>423324.77849999996</c:v>
                </c:pt>
                <c:pt idx="64">
                  <c:v>412195.5</c:v>
                </c:pt>
                <c:pt idx="65">
                  <c:v>401750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F-470E-A4E9-41FCF5046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848326"/>
        <c:axId val="77468925"/>
      </c:lineChart>
      <c:catAx>
        <c:axId val="1517848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468925"/>
        <c:crosses val="autoZero"/>
        <c:auto val="1"/>
        <c:lblAlgn val="ctr"/>
        <c:lblOffset val="100"/>
        <c:noMultiLvlLbl val="1"/>
      </c:catAx>
      <c:valAx>
        <c:axId val="77468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78483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'Rinew'!$D$1:$D$67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1.95E-2</c:v>
                </c:pt>
                <c:pt idx="2">
                  <c:v>2.12E-2</c:v>
                </c:pt>
                <c:pt idx="3">
                  <c:v>2.41E-2</c:v>
                </c:pt>
                <c:pt idx="4">
                  <c:v>1.66E-2</c:v>
                </c:pt>
                <c:pt idx="5">
                  <c:v>5.4999999999999997E-3</c:v>
                </c:pt>
                <c:pt idx="6">
                  <c:v>2.7000000000000001E-3</c:v>
                </c:pt>
                <c:pt idx="7">
                  <c:v>6.9999999999999999E-4</c:v>
                </c:pt>
                <c:pt idx="8">
                  <c:v>-1.1000000000000001E-3</c:v>
                </c:pt>
                <c:pt idx="9">
                  <c:v>-1.4E-3</c:v>
                </c:pt>
                <c:pt idx="10">
                  <c:v>-1.5E-3</c:v>
                </c:pt>
                <c:pt idx="11">
                  <c:v>-1.1000000000000001E-3</c:v>
                </c:pt>
                <c:pt idx="12">
                  <c:v>1E-4</c:v>
                </c:pt>
                <c:pt idx="13">
                  <c:v>-2.3E-3</c:v>
                </c:pt>
                <c:pt idx="14">
                  <c:v>-4.7000000000000002E-3</c:v>
                </c:pt>
                <c:pt idx="15">
                  <c:v>-3.7000000000000002E-3</c:v>
                </c:pt>
                <c:pt idx="16">
                  <c:v>-1.9E-3</c:v>
                </c:pt>
                <c:pt idx="17">
                  <c:v>-1.1000000000000001E-3</c:v>
                </c:pt>
                <c:pt idx="18">
                  <c:v>1E-4</c:v>
                </c:pt>
                <c:pt idx="19">
                  <c:v>1.4E-3</c:v>
                </c:pt>
                <c:pt idx="20">
                  <c:v>1.8E-3</c:v>
                </c:pt>
                <c:pt idx="21">
                  <c:v>2.8E-3</c:v>
                </c:pt>
                <c:pt idx="22">
                  <c:v>3.5000000000000001E-3</c:v>
                </c:pt>
                <c:pt idx="23">
                  <c:v>8.0999999999999996E-3</c:v>
                </c:pt>
                <c:pt idx="24">
                  <c:v>1.72E-2</c:v>
                </c:pt>
                <c:pt idx="25">
                  <c:v>2.3400000000000001E-2</c:v>
                </c:pt>
                <c:pt idx="26">
                  <c:v>2.4400000000000002E-2</c:v>
                </c:pt>
                <c:pt idx="27">
                  <c:v>2.4299999999999999E-2</c:v>
                </c:pt>
                <c:pt idx="28">
                  <c:v>2.4199999999999999E-2</c:v>
                </c:pt>
                <c:pt idx="29">
                  <c:v>2.3099999999999999E-2</c:v>
                </c:pt>
                <c:pt idx="30">
                  <c:v>2.2100000000000002E-2</c:v>
                </c:pt>
                <c:pt idx="31">
                  <c:v>2.06E-2</c:v>
                </c:pt>
                <c:pt idx="32">
                  <c:v>1.9400000000000001E-2</c:v>
                </c:pt>
                <c:pt idx="33">
                  <c:v>2.1700000000000001E-2</c:v>
                </c:pt>
                <c:pt idx="34">
                  <c:v>2.53E-2</c:v>
                </c:pt>
                <c:pt idx="35">
                  <c:v>2.4500000000000001E-2</c:v>
                </c:pt>
                <c:pt idx="36">
                  <c:v>2.3900000000000001E-2</c:v>
                </c:pt>
                <c:pt idx="37">
                  <c:v>2.3E-2</c:v>
                </c:pt>
                <c:pt idx="38">
                  <c:v>1.8700000000000001E-2</c:v>
                </c:pt>
                <c:pt idx="39">
                  <c:v>1.3899999999999999E-2</c:v>
                </c:pt>
                <c:pt idx="40">
                  <c:v>1.0999999999999999E-2</c:v>
                </c:pt>
                <c:pt idx="41">
                  <c:v>9.1999999999999998E-3</c:v>
                </c:pt>
                <c:pt idx="42">
                  <c:v>8.3000000000000001E-3</c:v>
                </c:pt>
                <c:pt idx="43">
                  <c:v>7.9000000000000008E-3</c:v>
                </c:pt>
                <c:pt idx="44">
                  <c:v>7.4000000000000003E-3</c:v>
                </c:pt>
                <c:pt idx="45">
                  <c:v>7.7000000000000002E-3</c:v>
                </c:pt>
                <c:pt idx="46">
                  <c:v>1.9400000000000001E-2</c:v>
                </c:pt>
                <c:pt idx="47">
                  <c:v>3.9199999999999999E-2</c:v>
                </c:pt>
                <c:pt idx="48">
                  <c:v>3.1E-2</c:v>
                </c:pt>
                <c:pt idx="49">
                  <c:v>1.5100000000000001E-2</c:v>
                </c:pt>
                <c:pt idx="50">
                  <c:v>3.5499999999999997E-2</c:v>
                </c:pt>
                <c:pt idx="51">
                  <c:v>5.5899999999999998E-2</c:v>
                </c:pt>
                <c:pt idx="52">
                  <c:v>5.3800000000000001E-2</c:v>
                </c:pt>
                <c:pt idx="53">
                  <c:v>4.8399999999999999E-2</c:v>
                </c:pt>
                <c:pt idx="54">
                  <c:v>4.2000000000000003E-2</c:v>
                </c:pt>
                <c:pt idx="55">
                  <c:v>3.56E-2</c:v>
                </c:pt>
                <c:pt idx="56">
                  <c:v>3.44E-2</c:v>
                </c:pt>
                <c:pt idx="57">
                  <c:v>3.6499999999999998E-2</c:v>
                </c:pt>
                <c:pt idx="58">
                  <c:v>3.3399999999999999E-2</c:v>
                </c:pt>
                <c:pt idx="59">
                  <c:v>3.4099999999999998E-2</c:v>
                </c:pt>
                <c:pt idx="60">
                  <c:v>3.5000000000000003E-2</c:v>
                </c:pt>
                <c:pt idx="61">
                  <c:v>2.7799999999999998E-2</c:v>
                </c:pt>
                <c:pt idx="62">
                  <c:v>2.3E-2</c:v>
                </c:pt>
                <c:pt idx="63">
                  <c:v>2.4400000000000002E-2</c:v>
                </c:pt>
                <c:pt idx="64">
                  <c:v>2.76E-2</c:v>
                </c:pt>
                <c:pt idx="65">
                  <c:v>3.0200000000000001E-2</c:v>
                </c:pt>
                <c:pt idx="66">
                  <c:v>3.0200000000000001E-2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22-4775-961A-4F226029B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681125"/>
        <c:axId val="633730197"/>
      </c:lineChart>
      <c:catAx>
        <c:axId val="576681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3730197"/>
        <c:crosses val="autoZero"/>
        <c:auto val="1"/>
        <c:lblAlgn val="ctr"/>
        <c:lblOffset val="100"/>
        <c:noMultiLvlLbl val="1"/>
      </c:catAx>
      <c:valAx>
        <c:axId val="633730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66811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'Rinew'!$C$1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'Rinew'!$C$2:$C$67</c:f>
              <c:numCache>
                <c:formatCode>#,##0</c:formatCode>
                <c:ptCount val="66"/>
                <c:pt idx="0">
                  <c:v>233718.10206313126</c:v>
                </c:pt>
                <c:pt idx="1">
                  <c:v>229247.77053764713</c:v>
                </c:pt>
                <c:pt idx="2">
                  <c:v>224488.61196401008</c:v>
                </c:pt>
                <c:pt idx="3">
                  <c:v>219205.75330925698</c:v>
                </c:pt>
                <c:pt idx="4">
                  <c:v>215626.35580292839</c:v>
                </c:pt>
                <c:pt idx="5">
                  <c:v>214446.89786467268</c:v>
                </c:pt>
                <c:pt idx="6">
                  <c:v>213869.45034873113</c:v>
                </c:pt>
                <c:pt idx="7">
                  <c:v>213719.84645621179</c:v>
                </c:pt>
                <c:pt idx="8">
                  <c:v>213955.19717310221</c:v>
                </c:pt>
                <c:pt idx="9">
                  <c:v>214255.15438924715</c:v>
                </c:pt>
                <c:pt idx="10">
                  <c:v>214577.01991912583</c:v>
                </c:pt>
                <c:pt idx="11">
                  <c:v>214813.31456514748</c:v>
                </c:pt>
                <c:pt idx="12">
                  <c:v>214791.83538160933</c:v>
                </c:pt>
                <c:pt idx="13">
                  <c:v>215286.99547119308</c:v>
                </c:pt>
                <c:pt idx="14">
                  <c:v>216303.62249692864</c:v>
                </c:pt>
                <c:pt idx="15">
                  <c:v>217106.91809387598</c:v>
                </c:pt>
                <c:pt idx="16">
                  <c:v>217520.20648619975</c:v>
                </c:pt>
                <c:pt idx="17">
                  <c:v>217759.74220262264</c:v>
                </c:pt>
                <c:pt idx="18">
                  <c:v>217737.96840578207</c:v>
                </c:pt>
                <c:pt idx="19">
                  <c:v>217433.56141979434</c:v>
                </c:pt>
                <c:pt idx="20">
                  <c:v>217042.8842281836</c:v>
                </c:pt>
                <c:pt idx="21">
                  <c:v>216436.86101733509</c:v>
                </c:pt>
                <c:pt idx="22">
                  <c:v>215681.97410795724</c:v>
                </c:pt>
                <c:pt idx="23">
                  <c:v>213948.98731074025</c:v>
                </c:pt>
                <c:pt idx="24">
                  <c:v>210331.28913757397</c:v>
                </c:pt>
                <c:pt idx="25">
                  <c:v>205522.07263784829</c:v>
                </c:pt>
                <c:pt idx="26">
                  <c:v>200626.77922476406</c:v>
                </c:pt>
                <c:pt idx="27">
                  <c:v>195867.20611614181</c:v>
                </c:pt>
                <c:pt idx="28">
                  <c:v>191239.21706321207</c:v>
                </c:pt>
                <c:pt idx="29">
                  <c:v>186921.33424221686</c:v>
                </c:pt>
                <c:pt idx="30">
                  <c:v>182879.69302633486</c:v>
                </c:pt>
                <c:pt idx="31">
                  <c:v>179188.41174440022</c:v>
                </c:pt>
                <c:pt idx="32">
                  <c:v>175778.31248224466</c:v>
                </c:pt>
                <c:pt idx="33">
                  <c:v>172044.93734192487</c:v>
                </c:pt>
                <c:pt idx="34">
                  <c:v>167799.6072777966</c:v>
                </c:pt>
                <c:pt idx="35">
                  <c:v>163786.82994416458</c:v>
                </c:pt>
                <c:pt idx="36">
                  <c:v>159963.69757218924</c:v>
                </c:pt>
                <c:pt idx="37">
                  <c:v>156367.25080370405</c:v>
                </c:pt>
                <c:pt idx="38">
                  <c:v>153496.85953048401</c:v>
                </c:pt>
                <c:pt idx="39">
                  <c:v>151392.50372865569</c:v>
                </c:pt>
                <c:pt idx="40">
                  <c:v>149745.30536959021</c:v>
                </c:pt>
                <c:pt idx="41">
                  <c:v>148380.20746094946</c:v>
                </c:pt>
                <c:pt idx="42">
                  <c:v>147158.78950803279</c:v>
                </c:pt>
                <c:pt idx="43">
                  <c:v>146005.3472646421</c:v>
                </c:pt>
                <c:pt idx="44">
                  <c:v>144932.84421743307</c:v>
                </c:pt>
                <c:pt idx="45">
                  <c:v>143825.38872425628</c:v>
                </c:pt>
                <c:pt idx="46">
                  <c:v>141088.27616662378</c:v>
                </c:pt>
                <c:pt idx="47">
                  <c:v>135766.2395752731</c:v>
                </c:pt>
                <c:pt idx="48">
                  <c:v>131684.03450559953</c:v>
                </c:pt>
                <c:pt idx="49">
                  <c:v>129725.18422381987</c:v>
                </c:pt>
                <c:pt idx="50">
                  <c:v>125277.82155849335</c:v>
                </c:pt>
                <c:pt idx="51">
                  <c:v>118645.5360910061</c:v>
                </c:pt>
                <c:pt idx="52">
                  <c:v>112588.28628867536</c:v>
                </c:pt>
                <c:pt idx="53">
                  <c:v>107390.58211434125</c:v>
                </c:pt>
                <c:pt idx="54">
                  <c:v>103061.97899648872</c:v>
                </c:pt>
                <c:pt idx="55">
                  <c:v>99519.099069610573</c:v>
                </c:pt>
                <c:pt idx="56">
                  <c:v>96209.492526692353</c:v>
                </c:pt>
                <c:pt idx="57">
                  <c:v>92821.507502838736</c:v>
                </c:pt>
                <c:pt idx="58">
                  <c:v>89821.470391754134</c:v>
                </c:pt>
                <c:pt idx="59">
                  <c:v>86859.559415679469</c:v>
                </c:pt>
                <c:pt idx="60">
                  <c:v>83922.279628675824</c:v>
                </c:pt>
                <c:pt idx="61">
                  <c:v>81652.344452885605</c:v>
                </c:pt>
                <c:pt idx="62">
                  <c:v>79816.563492556801</c:v>
                </c:pt>
                <c:pt idx="63">
                  <c:v>77915.427072000006</c:v>
                </c:pt>
                <c:pt idx="64">
                  <c:v>75822.720000000001</c:v>
                </c:pt>
                <c:pt idx="65">
                  <c:v>73600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2-4994-8487-B1E66389C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053241"/>
        <c:axId val="1944632955"/>
      </c:lineChart>
      <c:catAx>
        <c:axId val="1599053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4632955"/>
        <c:crosses val="autoZero"/>
        <c:auto val="1"/>
        <c:lblAlgn val="ctr"/>
        <c:lblOffset val="100"/>
        <c:noMultiLvlLbl val="1"/>
      </c:catAx>
      <c:valAx>
        <c:axId val="1944632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90532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'Rkmepuia'!$D$1:$D$67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2.2700000000000001E-2</c:v>
                </c:pt>
                <c:pt idx="2">
                  <c:v>3.39E-2</c:v>
                </c:pt>
                <c:pt idx="3">
                  <c:v>3.5900000000000001E-2</c:v>
                </c:pt>
                <c:pt idx="4">
                  <c:v>3.5700000000000003E-2</c:v>
                </c:pt>
                <c:pt idx="5">
                  <c:v>3.5799999999999998E-2</c:v>
                </c:pt>
                <c:pt idx="6">
                  <c:v>3.5999999999999997E-2</c:v>
                </c:pt>
                <c:pt idx="7">
                  <c:v>4.6800000000000001E-2</c:v>
                </c:pt>
                <c:pt idx="8">
                  <c:v>5.0700000000000002E-2</c:v>
                </c:pt>
                <c:pt idx="9">
                  <c:v>4.1300000000000003E-2</c:v>
                </c:pt>
                <c:pt idx="10">
                  <c:v>3.6999999999999998E-2</c:v>
                </c:pt>
                <c:pt idx="11">
                  <c:v>3.5999999999999997E-2</c:v>
                </c:pt>
                <c:pt idx="12">
                  <c:v>3.7100000000000001E-2</c:v>
                </c:pt>
                <c:pt idx="13">
                  <c:v>3.73E-2</c:v>
                </c:pt>
                <c:pt idx="14">
                  <c:v>3.1600000000000003E-2</c:v>
                </c:pt>
                <c:pt idx="15">
                  <c:v>2.8199999999999999E-2</c:v>
                </c:pt>
                <c:pt idx="16">
                  <c:v>2.5100000000000001E-2</c:v>
                </c:pt>
                <c:pt idx="17">
                  <c:v>2.0799999999999999E-2</c:v>
                </c:pt>
                <c:pt idx="18">
                  <c:v>2.4E-2</c:v>
                </c:pt>
                <c:pt idx="19">
                  <c:v>1.9099999999999999E-2</c:v>
                </c:pt>
                <c:pt idx="20">
                  <c:v>-1E-4</c:v>
                </c:pt>
                <c:pt idx="21">
                  <c:v>6.9999999999999999E-4</c:v>
                </c:pt>
                <c:pt idx="22">
                  <c:v>5.9900000000000002E-2</c:v>
                </c:pt>
                <c:pt idx="23">
                  <c:v>6.4999999999999997E-3</c:v>
                </c:pt>
                <c:pt idx="24">
                  <c:v>-3.15E-2</c:v>
                </c:pt>
                <c:pt idx="25">
                  <c:v>2.6700000000000002E-2</c:v>
                </c:pt>
                <c:pt idx="26">
                  <c:v>2.07E-2</c:v>
                </c:pt>
                <c:pt idx="27">
                  <c:v>2.0899999999999998E-2</c:v>
                </c:pt>
                <c:pt idx="28">
                  <c:v>1.9599999999999999E-2</c:v>
                </c:pt>
                <c:pt idx="29">
                  <c:v>2.2200000000000001E-2</c:v>
                </c:pt>
                <c:pt idx="30">
                  <c:v>2.2800000000000001E-2</c:v>
                </c:pt>
                <c:pt idx="31">
                  <c:v>1.8800000000000001E-2</c:v>
                </c:pt>
                <c:pt idx="32">
                  <c:v>2.1600000000000001E-2</c:v>
                </c:pt>
                <c:pt idx="33">
                  <c:v>2.4199999999999999E-2</c:v>
                </c:pt>
                <c:pt idx="34">
                  <c:v>2.6800000000000001E-2</c:v>
                </c:pt>
                <c:pt idx="35">
                  <c:v>2.5000000000000001E-2</c:v>
                </c:pt>
                <c:pt idx="36">
                  <c:v>4.07E-2</c:v>
                </c:pt>
                <c:pt idx="37">
                  <c:v>4.2000000000000003E-2</c:v>
                </c:pt>
                <c:pt idx="38">
                  <c:v>2.4899999999999999E-2</c:v>
                </c:pt>
                <c:pt idx="39">
                  <c:v>2.8899999999999999E-2</c:v>
                </c:pt>
                <c:pt idx="40">
                  <c:v>2.5700000000000001E-2</c:v>
                </c:pt>
                <c:pt idx="41">
                  <c:v>2.24E-2</c:v>
                </c:pt>
                <c:pt idx="42">
                  <c:v>2.4799999999999999E-2</c:v>
                </c:pt>
                <c:pt idx="43">
                  <c:v>2.5000000000000001E-2</c:v>
                </c:pt>
                <c:pt idx="44">
                  <c:v>-1.4E-3</c:v>
                </c:pt>
                <c:pt idx="45">
                  <c:v>0</c:v>
                </c:pt>
                <c:pt idx="46">
                  <c:v>2.4299999999999999E-2</c:v>
                </c:pt>
                <c:pt idx="47">
                  <c:v>2.1700000000000001E-2</c:v>
                </c:pt>
                <c:pt idx="48">
                  <c:v>2.1700000000000001E-2</c:v>
                </c:pt>
                <c:pt idx="49">
                  <c:v>2.3900000000000001E-2</c:v>
                </c:pt>
                <c:pt idx="50">
                  <c:v>2.5399999999999999E-2</c:v>
                </c:pt>
                <c:pt idx="51">
                  <c:v>2.41E-2</c:v>
                </c:pt>
                <c:pt idx="52">
                  <c:v>2.7699999999999999E-2</c:v>
                </c:pt>
                <c:pt idx="53">
                  <c:v>2.8500000000000001E-2</c:v>
                </c:pt>
                <c:pt idx="54">
                  <c:v>2.1100000000000001E-2</c:v>
                </c:pt>
                <c:pt idx="55">
                  <c:v>2.5399999999999999E-2</c:v>
                </c:pt>
                <c:pt idx="56">
                  <c:v>2.53E-2</c:v>
                </c:pt>
                <c:pt idx="57">
                  <c:v>2.5399999999999999E-2</c:v>
                </c:pt>
                <c:pt idx="58">
                  <c:v>2.5399999999999999E-2</c:v>
                </c:pt>
                <c:pt idx="59">
                  <c:v>2.5399999999999999E-2</c:v>
                </c:pt>
                <c:pt idx="60">
                  <c:v>2.5399999999999999E-2</c:v>
                </c:pt>
                <c:pt idx="61">
                  <c:v>2.5000000000000001E-2</c:v>
                </c:pt>
                <c:pt idx="62">
                  <c:v>2.4899999999999999E-2</c:v>
                </c:pt>
                <c:pt idx="63">
                  <c:v>2.4500000000000001E-2</c:v>
                </c:pt>
                <c:pt idx="64">
                  <c:v>2.3900000000000001E-2</c:v>
                </c:pt>
                <c:pt idx="65">
                  <c:v>2.35E-2</c:v>
                </c:pt>
                <c:pt idx="66">
                  <c:v>2.3E-2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8B-4F1D-9C6B-9A99E6CCD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683497"/>
        <c:axId val="1480415295"/>
      </c:lineChart>
      <c:catAx>
        <c:axId val="1523683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0415295"/>
        <c:crosses val="autoZero"/>
        <c:auto val="1"/>
        <c:lblAlgn val="ctr"/>
        <c:lblOffset val="100"/>
        <c:noMultiLvlLbl val="1"/>
      </c:catAx>
      <c:valAx>
        <c:axId val="1480415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368349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'Rkmepuia'!$C$1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'Rkmepuia'!$C$2:$C$67</c:f>
              <c:numCache>
                <c:formatCode>#,##0</c:formatCode>
                <c:ptCount val="66"/>
                <c:pt idx="0">
                  <c:v>324055.76512182388</c:v>
                </c:pt>
                <c:pt idx="1">
                  <c:v>316862.97557624319</c:v>
                </c:pt>
                <c:pt idx="2">
                  <c:v>306473.52314173826</c:v>
                </c:pt>
                <c:pt idx="3">
                  <c:v>295852.42121994233</c:v>
                </c:pt>
                <c:pt idx="4">
                  <c:v>285654.55365447747</c:v>
                </c:pt>
                <c:pt idx="5">
                  <c:v>275781.57332928892</c:v>
                </c:pt>
                <c:pt idx="6">
                  <c:v>266198.42985452595</c:v>
                </c:pt>
                <c:pt idx="7">
                  <c:v>254297.31548961214</c:v>
                </c:pt>
                <c:pt idx="8">
                  <c:v>242026.56846827082</c:v>
                </c:pt>
                <c:pt idx="9">
                  <c:v>232427.32014623145</c:v>
                </c:pt>
                <c:pt idx="10">
                  <c:v>224134.34922490979</c:v>
                </c:pt>
                <c:pt idx="11">
                  <c:v>216345.89693524109</c:v>
                </c:pt>
                <c:pt idx="12">
                  <c:v>208606.59235873216</c:v>
                </c:pt>
                <c:pt idx="13">
                  <c:v>201105.36234332607</c:v>
                </c:pt>
                <c:pt idx="14">
                  <c:v>194945.09726960649</c:v>
                </c:pt>
                <c:pt idx="15">
                  <c:v>189598.42177553635</c:v>
                </c:pt>
                <c:pt idx="16">
                  <c:v>184956.02553461748</c:v>
                </c:pt>
                <c:pt idx="17">
                  <c:v>181187.32908955475</c:v>
                </c:pt>
                <c:pt idx="18">
                  <c:v>176940.75106401832</c:v>
                </c:pt>
                <c:pt idx="19">
                  <c:v>173624.52268081479</c:v>
                </c:pt>
                <c:pt idx="20">
                  <c:v>173641.88686950173</c:v>
                </c:pt>
                <c:pt idx="21">
                  <c:v>173520.42257370014</c:v>
                </c:pt>
                <c:pt idx="22">
                  <c:v>163713.95657486568</c:v>
                </c:pt>
                <c:pt idx="23">
                  <c:v>162656.68810220138</c:v>
                </c:pt>
                <c:pt idx="24">
                  <c:v>167947.01920722911</c:v>
                </c:pt>
                <c:pt idx="25">
                  <c:v>163579.44794704308</c:v>
                </c:pt>
                <c:pt idx="26">
                  <c:v>160262.02404922416</c:v>
                </c:pt>
                <c:pt idx="27">
                  <c:v>156981.1186690412</c:v>
                </c:pt>
                <c:pt idx="28">
                  <c:v>153963.43533644683</c:v>
                </c:pt>
                <c:pt idx="29">
                  <c:v>150619.67847431698</c:v>
                </c:pt>
                <c:pt idx="30">
                  <c:v>147262.10253648512</c:v>
                </c:pt>
                <c:pt idx="31">
                  <c:v>144544.66287444555</c:v>
                </c:pt>
                <c:pt idx="32">
                  <c:v>141488.51103606651</c:v>
                </c:pt>
                <c:pt idx="33">
                  <c:v>138145.39253667888</c:v>
                </c:pt>
                <c:pt idx="34">
                  <c:v>134539.72783081309</c:v>
                </c:pt>
                <c:pt idx="35">
                  <c:v>131258.27105445182</c:v>
                </c:pt>
                <c:pt idx="36">
                  <c:v>126124.98419760913</c:v>
                </c:pt>
                <c:pt idx="37">
                  <c:v>121041.25162918342</c:v>
                </c:pt>
                <c:pt idx="38">
                  <c:v>118100.54798437255</c:v>
                </c:pt>
                <c:pt idx="39">
                  <c:v>114783.31031623342</c:v>
                </c:pt>
                <c:pt idx="40">
                  <c:v>111907.29288898646</c:v>
                </c:pt>
                <c:pt idx="41">
                  <c:v>109455.48991489285</c:v>
                </c:pt>
                <c:pt idx="42">
                  <c:v>106806.68414802192</c:v>
                </c:pt>
                <c:pt idx="43">
                  <c:v>104201.64307124091</c:v>
                </c:pt>
                <c:pt idx="44">
                  <c:v>104347.72989309122</c:v>
                </c:pt>
                <c:pt idx="45">
                  <c:v>104347.72989309122</c:v>
                </c:pt>
                <c:pt idx="46">
                  <c:v>101872.23459249362</c:v>
                </c:pt>
                <c:pt idx="47">
                  <c:v>99708.558865120503</c:v>
                </c:pt>
                <c:pt idx="48">
                  <c:v>97590.837687305961</c:v>
                </c:pt>
                <c:pt idx="49">
                  <c:v>95312.860325525893</c:v>
                </c:pt>
                <c:pt idx="50">
                  <c:v>92951.882509777541</c:v>
                </c:pt>
                <c:pt idx="51">
                  <c:v>90764.459046750839</c:v>
                </c:pt>
                <c:pt idx="52">
                  <c:v>88318.049087039835</c:v>
                </c:pt>
                <c:pt idx="53">
                  <c:v>85870.733191093663</c:v>
                </c:pt>
                <c:pt idx="54">
                  <c:v>84096.301235034451</c:v>
                </c:pt>
                <c:pt idx="55">
                  <c:v>82013.166798356193</c:v>
                </c:pt>
                <c:pt idx="56">
                  <c:v>79989.434115240598</c:v>
                </c:pt>
                <c:pt idx="57">
                  <c:v>78008.03014944469</c:v>
                </c:pt>
                <c:pt idx="58">
                  <c:v>76075.707186897489</c:v>
                </c:pt>
                <c:pt idx="59">
                  <c:v>74191.249450845993</c:v>
                </c:pt>
                <c:pt idx="60">
                  <c:v>72353.471280325713</c:v>
                </c:pt>
                <c:pt idx="61">
                  <c:v>70588.752468610459</c:v>
                </c:pt>
                <c:pt idx="62">
                  <c:v>68873.794973763754</c:v>
                </c:pt>
                <c:pt idx="63">
                  <c:v>67226.739847500008</c:v>
                </c:pt>
                <c:pt idx="64">
                  <c:v>65657.525000000009</c:v>
                </c:pt>
                <c:pt idx="65">
                  <c:v>64150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D-4ABF-B6D7-D225A094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421087"/>
        <c:axId val="1421767059"/>
      </c:lineChart>
      <c:catAx>
        <c:axId val="92542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1767059"/>
        <c:crosses val="autoZero"/>
        <c:auto val="1"/>
        <c:lblAlgn val="ctr"/>
        <c:lblOffset val="100"/>
        <c:noMultiLvlLbl val="1"/>
      </c:catAx>
      <c:valAx>
        <c:axId val="1421767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4210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'Rtesania'!$D$1:$D$67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1.4500000000000001E-2</c:v>
                </c:pt>
                <c:pt idx="2">
                  <c:v>1.47E-2</c:v>
                </c:pt>
                <c:pt idx="3">
                  <c:v>1.41E-2</c:v>
                </c:pt>
                <c:pt idx="4">
                  <c:v>1.41E-2</c:v>
                </c:pt>
                <c:pt idx="5">
                  <c:v>1.43E-2</c:v>
                </c:pt>
                <c:pt idx="6">
                  <c:v>1.46E-2</c:v>
                </c:pt>
                <c:pt idx="7">
                  <c:v>1.4999999999999999E-2</c:v>
                </c:pt>
                <c:pt idx="8">
                  <c:v>1.52E-2</c:v>
                </c:pt>
                <c:pt idx="9">
                  <c:v>1.5299999999999999E-2</c:v>
                </c:pt>
                <c:pt idx="10">
                  <c:v>1.54E-2</c:v>
                </c:pt>
                <c:pt idx="11">
                  <c:v>1.55E-2</c:v>
                </c:pt>
                <c:pt idx="12">
                  <c:v>1.54E-2</c:v>
                </c:pt>
                <c:pt idx="13">
                  <c:v>1.54E-2</c:v>
                </c:pt>
                <c:pt idx="14">
                  <c:v>1.5599999999999999E-2</c:v>
                </c:pt>
                <c:pt idx="15">
                  <c:v>1.61E-2</c:v>
                </c:pt>
                <c:pt idx="16">
                  <c:v>1.67E-2</c:v>
                </c:pt>
                <c:pt idx="17">
                  <c:v>1.7399999999999999E-2</c:v>
                </c:pt>
                <c:pt idx="18">
                  <c:v>1.8200000000000001E-2</c:v>
                </c:pt>
                <c:pt idx="19">
                  <c:v>1.9099999999999999E-2</c:v>
                </c:pt>
                <c:pt idx="20">
                  <c:v>1.9800000000000002E-2</c:v>
                </c:pt>
                <c:pt idx="21">
                  <c:v>2.06E-2</c:v>
                </c:pt>
                <c:pt idx="22">
                  <c:v>2.1499999999999998E-2</c:v>
                </c:pt>
                <c:pt idx="23">
                  <c:v>2.24E-2</c:v>
                </c:pt>
                <c:pt idx="24">
                  <c:v>2.3300000000000001E-2</c:v>
                </c:pt>
                <c:pt idx="25">
                  <c:v>2.41E-2</c:v>
                </c:pt>
                <c:pt idx="26">
                  <c:v>2.4899999999999999E-2</c:v>
                </c:pt>
                <c:pt idx="27">
                  <c:v>2.5700000000000001E-2</c:v>
                </c:pt>
                <c:pt idx="28">
                  <c:v>2.6499999999999999E-2</c:v>
                </c:pt>
                <c:pt idx="29">
                  <c:v>2.7199999999999998E-2</c:v>
                </c:pt>
                <c:pt idx="30">
                  <c:v>2.7799999999999998E-2</c:v>
                </c:pt>
                <c:pt idx="31">
                  <c:v>2.8400000000000002E-2</c:v>
                </c:pt>
                <c:pt idx="32">
                  <c:v>2.87E-2</c:v>
                </c:pt>
                <c:pt idx="33">
                  <c:v>2.86E-2</c:v>
                </c:pt>
                <c:pt idx="34">
                  <c:v>2.8199999999999999E-2</c:v>
                </c:pt>
                <c:pt idx="35">
                  <c:v>2.7400000000000001E-2</c:v>
                </c:pt>
                <c:pt idx="36">
                  <c:v>2.64E-2</c:v>
                </c:pt>
                <c:pt idx="37">
                  <c:v>2.5399999999999999E-2</c:v>
                </c:pt>
                <c:pt idx="38">
                  <c:v>2.4299999999999999E-2</c:v>
                </c:pt>
                <c:pt idx="39">
                  <c:v>2.3300000000000001E-2</c:v>
                </c:pt>
                <c:pt idx="40">
                  <c:v>2.24E-2</c:v>
                </c:pt>
                <c:pt idx="41">
                  <c:v>2.1499999999999998E-2</c:v>
                </c:pt>
                <c:pt idx="42">
                  <c:v>2.0799999999999999E-2</c:v>
                </c:pt>
                <c:pt idx="43">
                  <c:v>2.0199999999999999E-2</c:v>
                </c:pt>
                <c:pt idx="44">
                  <c:v>1.9800000000000002E-2</c:v>
                </c:pt>
                <c:pt idx="45">
                  <c:v>1.9599999999999999E-2</c:v>
                </c:pt>
                <c:pt idx="46">
                  <c:v>1.95E-2</c:v>
                </c:pt>
                <c:pt idx="47">
                  <c:v>1.9699999999999999E-2</c:v>
                </c:pt>
                <c:pt idx="48">
                  <c:v>2.01E-2</c:v>
                </c:pt>
                <c:pt idx="49">
                  <c:v>2.07E-2</c:v>
                </c:pt>
                <c:pt idx="50">
                  <c:v>2.1499999999999998E-2</c:v>
                </c:pt>
                <c:pt idx="51">
                  <c:v>2.23E-2</c:v>
                </c:pt>
                <c:pt idx="52">
                  <c:v>2.3E-2</c:v>
                </c:pt>
                <c:pt idx="53">
                  <c:v>2.3199999999999998E-2</c:v>
                </c:pt>
                <c:pt idx="54">
                  <c:v>2.3E-2</c:v>
                </c:pt>
                <c:pt idx="55">
                  <c:v>2.2800000000000001E-2</c:v>
                </c:pt>
                <c:pt idx="56">
                  <c:v>2.2700000000000001E-2</c:v>
                </c:pt>
                <c:pt idx="57">
                  <c:v>2.29E-2</c:v>
                </c:pt>
                <c:pt idx="58">
                  <c:v>2.3199999999999998E-2</c:v>
                </c:pt>
                <c:pt idx="59">
                  <c:v>2.3199999999999998E-2</c:v>
                </c:pt>
                <c:pt idx="60">
                  <c:v>2.3300000000000001E-2</c:v>
                </c:pt>
                <c:pt idx="61">
                  <c:v>2.3400000000000001E-2</c:v>
                </c:pt>
                <c:pt idx="62">
                  <c:v>2.3599999999999999E-2</c:v>
                </c:pt>
                <c:pt idx="63">
                  <c:v>2.3699999999999999E-2</c:v>
                </c:pt>
                <c:pt idx="64">
                  <c:v>2.3900000000000001E-2</c:v>
                </c:pt>
                <c:pt idx="65">
                  <c:v>2.41E-2</c:v>
                </c:pt>
                <c:pt idx="66">
                  <c:v>2.4299999999999999E-2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AD-4C6D-8A0F-571BC5DBC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555246"/>
        <c:axId val="1612806289"/>
      </c:lineChart>
      <c:catAx>
        <c:axId val="453555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2806289"/>
        <c:crosses val="autoZero"/>
        <c:auto val="1"/>
        <c:lblAlgn val="ctr"/>
        <c:lblOffset val="100"/>
        <c:noMultiLvlLbl val="1"/>
      </c:catAx>
      <c:valAx>
        <c:axId val="1612806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35552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'Rtesania'!$C$1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'Rtesania'!$C$2:$C$67</c:f>
              <c:numCache>
                <c:formatCode>#,##0</c:formatCode>
                <c:ptCount val="66"/>
                <c:pt idx="0">
                  <c:v>9975218.9344358966</c:v>
                </c:pt>
                <c:pt idx="1">
                  <c:v>9832645.5736184306</c:v>
                </c:pt>
                <c:pt idx="2">
                  <c:v>9690199.6389262155</c:v>
                </c:pt>
                <c:pt idx="3">
                  <c:v>9555467.5465202797</c:v>
                </c:pt>
                <c:pt idx="4">
                  <c:v>9422608.7629625089</c:v>
                </c:pt>
                <c:pt idx="5">
                  <c:v>9289765.1217218861</c:v>
                </c:pt>
                <c:pt idx="6">
                  <c:v>9156086.2622924168</c:v>
                </c:pt>
                <c:pt idx="7">
                  <c:v>9020774.6426526289</c:v>
                </c:pt>
                <c:pt idx="8">
                  <c:v>8885711.8229438812</c:v>
                </c:pt>
                <c:pt idx="9">
                  <c:v>8751809.1430551372</c:v>
                </c:pt>
                <c:pt idx="10">
                  <c:v>8619075.3821697235</c:v>
                </c:pt>
                <c:pt idx="11">
                  <c:v>8487518.8401474375</c:v>
                </c:pt>
                <c:pt idx="12">
                  <c:v>8358793.4214569982</c:v>
                </c:pt>
                <c:pt idx="13">
                  <c:v>8232020.3087029718</c:v>
                </c:pt>
                <c:pt idx="14">
                  <c:v>8105573.3642211221</c:v>
                </c:pt>
                <c:pt idx="15">
                  <c:v>7977141.3878763132</c:v>
                </c:pt>
                <c:pt idx="16">
                  <c:v>7846111.3286872366</c:v>
                </c:pt>
                <c:pt idx="17">
                  <c:v>7711923.8536340045</c:v>
                </c:pt>
                <c:pt idx="18">
                  <c:v>7574075.6763248919</c:v>
                </c:pt>
                <c:pt idx="19">
                  <c:v>7432122.1433862159</c:v>
                </c:pt>
                <c:pt idx="20">
                  <c:v>7287823.2431714218</c:v>
                </c:pt>
                <c:pt idx="21">
                  <c:v>7140724.3221354326</c:v>
                </c:pt>
                <c:pt idx="22">
                  <c:v>6990430.0755119259</c:v>
                </c:pt>
                <c:pt idx="23">
                  <c:v>6837275.1129811481</c:v>
                </c:pt>
                <c:pt idx="24">
                  <c:v>6681593.9734009067</c:v>
                </c:pt>
                <c:pt idx="25">
                  <c:v>6524356.9704139307</c:v>
                </c:pt>
                <c:pt idx="26">
                  <c:v>6365847.3708790429</c:v>
                </c:pt>
                <c:pt idx="27">
                  <c:v>6206344.3218085626</c:v>
                </c:pt>
                <c:pt idx="28">
                  <c:v>6046122.0865158914</c:v>
                </c:pt>
                <c:pt idx="29">
                  <c:v>5886022.2804866554</c:v>
                </c:pt>
                <c:pt idx="30">
                  <c:v>5726816.7741648713</c:v>
                </c:pt>
                <c:pt idx="31">
                  <c:v>5568666.641544994</c:v>
                </c:pt>
                <c:pt idx="32">
                  <c:v>5413304.7939583883</c:v>
                </c:pt>
                <c:pt idx="33">
                  <c:v>5262789.0277643288</c:v>
                </c:pt>
                <c:pt idx="34">
                  <c:v>5118448.7723831246</c:v>
                </c:pt>
                <c:pt idx="35">
                  <c:v>4981943.519936854</c:v>
                </c:pt>
                <c:pt idx="36">
                  <c:v>4853803.1176313851</c:v>
                </c:pt>
                <c:pt idx="37">
                  <c:v>4733570.4287413545</c:v>
                </c:pt>
                <c:pt idx="38">
                  <c:v>4621273.4831019761</c:v>
                </c:pt>
                <c:pt idx="39">
                  <c:v>4516049.5290745385</c:v>
                </c:pt>
                <c:pt idx="40">
                  <c:v>4417106.3469038913</c:v>
                </c:pt>
                <c:pt idx="41">
                  <c:v>4324137.3929553507</c:v>
                </c:pt>
                <c:pt idx="42">
                  <c:v>4236028.0103402734</c:v>
                </c:pt>
                <c:pt idx="43">
                  <c:v>4152154.4896493563</c:v>
                </c:pt>
                <c:pt idx="44">
                  <c:v>4071538.0365261384</c:v>
                </c:pt>
                <c:pt idx="45">
                  <c:v>3993269.9455925245</c:v>
                </c:pt>
                <c:pt idx="46">
                  <c:v>3916890.5792962476</c:v>
                </c:pt>
                <c:pt idx="47">
                  <c:v>3841218.5734002623</c:v>
                </c:pt>
                <c:pt idx="48">
                  <c:v>3765531.3924127659</c:v>
                </c:pt>
                <c:pt idx="49">
                  <c:v>3689165.6631848398</c:v>
                </c:pt>
                <c:pt idx="50">
                  <c:v>3611518.0256337146</c:v>
                </c:pt>
                <c:pt idx="51">
                  <c:v>3532737.9689266505</c:v>
                </c:pt>
                <c:pt idx="52">
                  <c:v>3453311.7975822589</c:v>
                </c:pt>
                <c:pt idx="53">
                  <c:v>3375011.5300843026</c:v>
                </c:pt>
                <c:pt idx="54">
                  <c:v>3299131.5054587517</c:v>
                </c:pt>
                <c:pt idx="55">
                  <c:v>3225588.0968505591</c:v>
                </c:pt>
                <c:pt idx="56">
                  <c:v>3153992.4678308</c:v>
                </c:pt>
                <c:pt idx="57">
                  <c:v>3083382.9971950338</c:v>
                </c:pt>
                <c:pt idx="58">
                  <c:v>3013470.4820123469</c:v>
                </c:pt>
                <c:pt idx="59">
                  <c:v>2945143.1606844668</c:v>
                </c:pt>
                <c:pt idx="60">
                  <c:v>2878083.8079590215</c:v>
                </c:pt>
                <c:pt idx="61">
                  <c:v>2812276.5369933764</c:v>
                </c:pt>
                <c:pt idx="62">
                  <c:v>2747437.0232447991</c:v>
                </c:pt>
                <c:pt idx="63">
                  <c:v>2683830.2464050003</c:v>
                </c:pt>
                <c:pt idx="64">
                  <c:v>2621183.9500000002</c:v>
                </c:pt>
                <c:pt idx="65">
                  <c:v>2559500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1-4C6B-B951-4DC4FF376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873505"/>
        <c:axId val="555514862"/>
      </c:lineChart>
      <c:catAx>
        <c:axId val="841873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5514862"/>
        <c:crosses val="autoZero"/>
        <c:auto val="1"/>
        <c:lblAlgn val="ctr"/>
        <c:lblOffset val="100"/>
        <c:noMultiLvlLbl val="1"/>
      </c:catAx>
      <c:valAx>
        <c:axId val="555514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18735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'Ruylku'!$D$1:$D$67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1.5100000000000001E-2</c:v>
                </c:pt>
                <c:pt idx="2">
                  <c:v>1.54E-2</c:v>
                </c:pt>
                <c:pt idx="3">
                  <c:v>1.5599999999999999E-2</c:v>
                </c:pt>
                <c:pt idx="4">
                  <c:v>1.5800000000000002E-2</c:v>
                </c:pt>
                <c:pt idx="5">
                  <c:v>1.6E-2</c:v>
                </c:pt>
                <c:pt idx="6">
                  <c:v>1.6199999999999999E-2</c:v>
                </c:pt>
                <c:pt idx="7">
                  <c:v>1.6400000000000001E-2</c:v>
                </c:pt>
                <c:pt idx="8">
                  <c:v>1.67E-2</c:v>
                </c:pt>
                <c:pt idx="9">
                  <c:v>1.6899999999999998E-2</c:v>
                </c:pt>
                <c:pt idx="10">
                  <c:v>1.72E-2</c:v>
                </c:pt>
                <c:pt idx="11">
                  <c:v>1.7399999999999999E-2</c:v>
                </c:pt>
                <c:pt idx="12">
                  <c:v>1.77E-2</c:v>
                </c:pt>
                <c:pt idx="13">
                  <c:v>1.7999999999999999E-2</c:v>
                </c:pt>
                <c:pt idx="14">
                  <c:v>1.83E-2</c:v>
                </c:pt>
                <c:pt idx="15">
                  <c:v>1.8599999999999998E-2</c:v>
                </c:pt>
                <c:pt idx="16">
                  <c:v>1.9E-2</c:v>
                </c:pt>
                <c:pt idx="17">
                  <c:v>1.9300000000000001E-2</c:v>
                </c:pt>
                <c:pt idx="18">
                  <c:v>1.9699999999999999E-2</c:v>
                </c:pt>
                <c:pt idx="19">
                  <c:v>0.02</c:v>
                </c:pt>
                <c:pt idx="20">
                  <c:v>2.0400000000000001E-2</c:v>
                </c:pt>
                <c:pt idx="21">
                  <c:v>2.07E-2</c:v>
                </c:pt>
                <c:pt idx="22">
                  <c:v>2.1100000000000001E-2</c:v>
                </c:pt>
                <c:pt idx="23">
                  <c:v>2.1399999999999999E-2</c:v>
                </c:pt>
                <c:pt idx="24">
                  <c:v>2.18E-2</c:v>
                </c:pt>
                <c:pt idx="25">
                  <c:v>2.2100000000000002E-2</c:v>
                </c:pt>
                <c:pt idx="26">
                  <c:v>2.2499999999999999E-2</c:v>
                </c:pt>
                <c:pt idx="27">
                  <c:v>2.29E-2</c:v>
                </c:pt>
                <c:pt idx="28">
                  <c:v>2.3300000000000001E-2</c:v>
                </c:pt>
                <c:pt idx="29">
                  <c:v>2.3599999999999999E-2</c:v>
                </c:pt>
                <c:pt idx="30">
                  <c:v>2.4E-2</c:v>
                </c:pt>
                <c:pt idx="31">
                  <c:v>2.4400000000000002E-2</c:v>
                </c:pt>
                <c:pt idx="32">
                  <c:v>2.4799999999999999E-2</c:v>
                </c:pt>
                <c:pt idx="33">
                  <c:v>2.52E-2</c:v>
                </c:pt>
                <c:pt idx="34">
                  <c:v>2.5600000000000001E-2</c:v>
                </c:pt>
                <c:pt idx="35">
                  <c:v>2.5999999999999999E-2</c:v>
                </c:pt>
                <c:pt idx="36">
                  <c:v>2.6499999999999999E-2</c:v>
                </c:pt>
                <c:pt idx="37">
                  <c:v>2.69E-2</c:v>
                </c:pt>
                <c:pt idx="38">
                  <c:v>2.7400000000000001E-2</c:v>
                </c:pt>
                <c:pt idx="39">
                  <c:v>2.7799999999999998E-2</c:v>
                </c:pt>
                <c:pt idx="40">
                  <c:v>2.8199999999999999E-2</c:v>
                </c:pt>
                <c:pt idx="41">
                  <c:v>2.86E-2</c:v>
                </c:pt>
                <c:pt idx="42">
                  <c:v>2.9000000000000001E-2</c:v>
                </c:pt>
                <c:pt idx="43">
                  <c:v>2.9399999999999999E-2</c:v>
                </c:pt>
                <c:pt idx="44">
                  <c:v>2.9700000000000001E-2</c:v>
                </c:pt>
                <c:pt idx="45">
                  <c:v>2.9899999999999999E-2</c:v>
                </c:pt>
                <c:pt idx="46">
                  <c:v>3.0099999999999998E-2</c:v>
                </c:pt>
                <c:pt idx="47">
                  <c:v>3.0200000000000001E-2</c:v>
                </c:pt>
                <c:pt idx="48">
                  <c:v>3.0300000000000001E-2</c:v>
                </c:pt>
                <c:pt idx="49">
                  <c:v>3.0300000000000001E-2</c:v>
                </c:pt>
                <c:pt idx="50">
                  <c:v>3.0200000000000001E-2</c:v>
                </c:pt>
                <c:pt idx="51">
                  <c:v>3.0099999999999998E-2</c:v>
                </c:pt>
                <c:pt idx="52">
                  <c:v>2.9899999999999999E-2</c:v>
                </c:pt>
                <c:pt idx="53">
                  <c:v>2.9700000000000001E-2</c:v>
                </c:pt>
                <c:pt idx="54">
                  <c:v>2.9399999999999999E-2</c:v>
                </c:pt>
                <c:pt idx="55">
                  <c:v>2.92E-2</c:v>
                </c:pt>
                <c:pt idx="56">
                  <c:v>2.8899999999999999E-2</c:v>
                </c:pt>
                <c:pt idx="57">
                  <c:v>2.87E-2</c:v>
                </c:pt>
                <c:pt idx="58">
                  <c:v>2.8400000000000002E-2</c:v>
                </c:pt>
                <c:pt idx="59">
                  <c:v>2.8199999999999999E-2</c:v>
                </c:pt>
                <c:pt idx="60">
                  <c:v>2.7900000000000001E-2</c:v>
                </c:pt>
                <c:pt idx="61">
                  <c:v>2.76E-2</c:v>
                </c:pt>
                <c:pt idx="62">
                  <c:v>2.7300000000000001E-2</c:v>
                </c:pt>
                <c:pt idx="63">
                  <c:v>2.7E-2</c:v>
                </c:pt>
                <c:pt idx="64">
                  <c:v>2.6800000000000001E-2</c:v>
                </c:pt>
                <c:pt idx="65">
                  <c:v>2.6599999999999999E-2</c:v>
                </c:pt>
                <c:pt idx="66">
                  <c:v>2.64E-2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C1-45C9-B64F-F11018115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319562"/>
        <c:axId val="628499921"/>
      </c:lineChart>
      <c:catAx>
        <c:axId val="914319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8499921"/>
        <c:crosses val="autoZero"/>
        <c:auto val="1"/>
        <c:lblAlgn val="ctr"/>
        <c:lblOffset val="100"/>
        <c:noMultiLvlLbl val="1"/>
      </c:catAx>
      <c:valAx>
        <c:axId val="628499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3195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'Ruylku'!$C$1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'Ruylku'!$C$2:$C$67</c:f>
              <c:numCache>
                <c:formatCode>#,##0</c:formatCode>
                <c:ptCount val="66"/>
                <c:pt idx="0">
                  <c:v>11839031.512861243</c:v>
                </c:pt>
                <c:pt idx="1">
                  <c:v>11662921.399725391</c:v>
                </c:pt>
                <c:pt idx="2">
                  <c:v>11486036.43857139</c:v>
                </c:pt>
                <c:pt idx="3">
                  <c:v>11309606.575986007</c:v>
                </c:pt>
                <c:pt idx="4">
                  <c:v>11133694.207507391</c:v>
                </c:pt>
                <c:pt idx="5">
                  <c:v>10958360.44046003</c:v>
                </c:pt>
                <c:pt idx="6">
                  <c:v>10783665.0663846</c:v>
                </c:pt>
                <c:pt idx="7">
                  <c:v>10609666.535207203</c:v>
                </c:pt>
                <c:pt idx="8">
                  <c:v>10435395.431501135</c:v>
                </c:pt>
                <c:pt idx="9">
                  <c:v>10261968.169437639</c:v>
                </c:pt>
                <c:pt idx="10">
                  <c:v>10088446.883049192</c:v>
                </c:pt>
                <c:pt idx="11">
                  <c:v>9915910.0482103322</c:v>
                </c:pt>
                <c:pt idx="12">
                  <c:v>9743450.9661101811</c:v>
                </c:pt>
                <c:pt idx="13">
                  <c:v>9571169.9077703152</c:v>
                </c:pt>
                <c:pt idx="14">
                  <c:v>9399165.1848868858</c:v>
                </c:pt>
                <c:pt idx="15">
                  <c:v>9227533.0697888136</c:v>
                </c:pt>
                <c:pt idx="16">
                  <c:v>9055478.9693707693</c:v>
                </c:pt>
                <c:pt idx="17">
                  <c:v>8884017.4329154994</c:v>
                </c:pt>
                <c:pt idx="18">
                  <c:v>8712383.4783911929</c:v>
                </c:pt>
                <c:pt idx="19">
                  <c:v>8541552.4297952875</c:v>
                </c:pt>
                <c:pt idx="20">
                  <c:v>8370788.3475061627</c:v>
                </c:pt>
                <c:pt idx="21">
                  <c:v>8201027.0868092123</c:v>
                </c:pt>
                <c:pt idx="22">
                  <c:v>8031561.1466156235</c:v>
                </c:pt>
                <c:pt idx="23">
                  <c:v>7863286.8089050548</c:v>
                </c:pt>
                <c:pt idx="24">
                  <c:v>7695524.3774760757</c:v>
                </c:pt>
                <c:pt idx="25">
                  <c:v>7529130.5914060026</c:v>
                </c:pt>
                <c:pt idx="26">
                  <c:v>7363452.9011305654</c:v>
                </c:pt>
                <c:pt idx="27">
                  <c:v>7198604.8500640979</c:v>
                </c:pt>
                <c:pt idx="28">
                  <c:v>7034696.4233989026</c:v>
                </c:pt>
                <c:pt idx="29">
                  <c:v>6872505.2983576618</c:v>
                </c:pt>
                <c:pt idx="30">
                  <c:v>6711430.9554274036</c:v>
                </c:pt>
                <c:pt idx="31">
                  <c:v>6551572.5843688045</c:v>
                </c:pt>
                <c:pt idx="32">
                  <c:v>6393025.550711168</c:v>
                </c:pt>
                <c:pt idx="33">
                  <c:v>6235881.3409199854</c:v>
                </c:pt>
                <c:pt idx="34">
                  <c:v>6080227.5164976455</c:v>
                </c:pt>
                <c:pt idx="35">
                  <c:v>5926147.6768982895</c:v>
                </c:pt>
                <c:pt idx="36">
                  <c:v>5773158.9643431948</c:v>
                </c:pt>
                <c:pt idx="37">
                  <c:v>5621929.0722983694</c:v>
                </c:pt>
                <c:pt idx="38">
                  <c:v>5471996.3717134213</c:v>
                </c:pt>
                <c:pt idx="39">
                  <c:v>5323989.464597608</c:v>
                </c:pt>
                <c:pt idx="40">
                  <c:v>5177970.6911083525</c:v>
                </c:pt>
                <c:pt idx="41">
                  <c:v>5033998.3386237146</c:v>
                </c:pt>
                <c:pt idx="42">
                  <c:v>4892126.6653291695</c:v>
                </c:pt>
                <c:pt idx="43">
                  <c:v>4752405.9309589751</c:v>
                </c:pt>
                <c:pt idx="44">
                  <c:v>4615330.6117888466</c:v>
                </c:pt>
                <c:pt idx="45">
                  <c:v>4481338.588007424</c:v>
                </c:pt>
                <c:pt idx="46">
                  <c:v>4350391.7949785693</c:v>
                </c:pt>
                <c:pt idx="47">
                  <c:v>4222861.3812643848</c:v>
                </c:pt>
                <c:pt idx="48">
                  <c:v>4098671.6308496408</c:v>
                </c:pt>
                <c:pt idx="49">
                  <c:v>3978134.1656310209</c:v>
                </c:pt>
                <c:pt idx="50">
                  <c:v>3861516.3712201719</c:v>
                </c:pt>
                <c:pt idx="51">
                  <c:v>3748681.0709835663</c:v>
                </c:pt>
                <c:pt idx="52">
                  <c:v>3639849.5688742269</c:v>
                </c:pt>
                <c:pt idx="53">
                  <c:v>3534864.1049570036</c:v>
                </c:pt>
                <c:pt idx="54">
                  <c:v>3433907.2323266012</c:v>
                </c:pt>
                <c:pt idx="55">
                  <c:v>3336481.959120289</c:v>
                </c:pt>
                <c:pt idx="56">
                  <c:v>3242766.0211102045</c:v>
                </c:pt>
                <c:pt idx="57">
                  <c:v>3152295.1502966895</c:v>
                </c:pt>
                <c:pt idx="58">
                  <c:v>3065242.2698334204</c:v>
                </c:pt>
                <c:pt idx="59">
                  <c:v>2981173.1859885436</c:v>
                </c:pt>
                <c:pt idx="60">
                  <c:v>2900256.0424054321</c:v>
                </c:pt>
                <c:pt idx="61">
                  <c:v>2822358.9357779603</c:v>
                </c:pt>
                <c:pt idx="62">
                  <c:v>2747356.1138693276</c:v>
                </c:pt>
                <c:pt idx="63">
                  <c:v>2675127.6668639998</c:v>
                </c:pt>
                <c:pt idx="64">
                  <c:v>2605305.48</c:v>
                </c:pt>
                <c:pt idx="65">
                  <c:v>2537800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9-4077-AE17-F71DB26B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702952"/>
        <c:axId val="2017627112"/>
      </c:lineChart>
      <c:catAx>
        <c:axId val="193970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7627112"/>
        <c:crosses val="autoZero"/>
        <c:auto val="1"/>
        <c:lblAlgn val="ctr"/>
        <c:lblOffset val="100"/>
        <c:noMultiLvlLbl val="1"/>
      </c:catAx>
      <c:valAx>
        <c:axId val="2017627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97029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Saa!$D$1:$D$67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2.8899999999999999E-2</c:v>
                </c:pt>
                <c:pt idx="2">
                  <c:v>2.9399999999999999E-2</c:v>
                </c:pt>
                <c:pt idx="3">
                  <c:v>2.98E-2</c:v>
                </c:pt>
                <c:pt idx="4">
                  <c:v>3.0099999999999998E-2</c:v>
                </c:pt>
                <c:pt idx="5">
                  <c:v>3.0300000000000001E-2</c:v>
                </c:pt>
                <c:pt idx="6">
                  <c:v>3.0300000000000001E-2</c:v>
                </c:pt>
                <c:pt idx="7">
                  <c:v>3.0300000000000001E-2</c:v>
                </c:pt>
                <c:pt idx="8">
                  <c:v>3.0200000000000001E-2</c:v>
                </c:pt>
                <c:pt idx="9">
                  <c:v>0.03</c:v>
                </c:pt>
                <c:pt idx="10">
                  <c:v>2.9700000000000001E-2</c:v>
                </c:pt>
                <c:pt idx="11">
                  <c:v>2.93E-2</c:v>
                </c:pt>
                <c:pt idx="12">
                  <c:v>2.9100000000000001E-2</c:v>
                </c:pt>
                <c:pt idx="13">
                  <c:v>2.92E-2</c:v>
                </c:pt>
                <c:pt idx="14">
                  <c:v>2.9399999999999999E-2</c:v>
                </c:pt>
                <c:pt idx="15">
                  <c:v>2.9700000000000001E-2</c:v>
                </c:pt>
                <c:pt idx="16">
                  <c:v>2.9899999999999999E-2</c:v>
                </c:pt>
                <c:pt idx="17">
                  <c:v>2.9899999999999999E-2</c:v>
                </c:pt>
                <c:pt idx="18">
                  <c:v>2.9700000000000001E-2</c:v>
                </c:pt>
                <c:pt idx="19">
                  <c:v>2.93E-2</c:v>
                </c:pt>
                <c:pt idx="20">
                  <c:v>2.9100000000000001E-2</c:v>
                </c:pt>
                <c:pt idx="21">
                  <c:v>2.92E-2</c:v>
                </c:pt>
                <c:pt idx="22">
                  <c:v>0.03</c:v>
                </c:pt>
                <c:pt idx="23">
                  <c:v>3.1699999999999999E-2</c:v>
                </c:pt>
                <c:pt idx="24">
                  <c:v>3.4000000000000002E-2</c:v>
                </c:pt>
                <c:pt idx="25">
                  <c:v>3.6600000000000001E-2</c:v>
                </c:pt>
                <c:pt idx="26">
                  <c:v>3.9100000000000003E-2</c:v>
                </c:pt>
                <c:pt idx="27">
                  <c:v>4.1500000000000002E-2</c:v>
                </c:pt>
                <c:pt idx="28">
                  <c:v>4.36E-2</c:v>
                </c:pt>
                <c:pt idx="29">
                  <c:v>4.5499999999999999E-2</c:v>
                </c:pt>
                <c:pt idx="30">
                  <c:v>4.7E-2</c:v>
                </c:pt>
                <c:pt idx="31">
                  <c:v>4.6699999999999998E-2</c:v>
                </c:pt>
                <c:pt idx="32">
                  <c:v>4.4699999999999997E-2</c:v>
                </c:pt>
                <c:pt idx="33">
                  <c:v>4.1200000000000001E-2</c:v>
                </c:pt>
                <c:pt idx="34">
                  <c:v>3.73E-2</c:v>
                </c:pt>
                <c:pt idx="35">
                  <c:v>3.3700000000000001E-2</c:v>
                </c:pt>
                <c:pt idx="36">
                  <c:v>3.0800000000000001E-2</c:v>
                </c:pt>
                <c:pt idx="37">
                  <c:v>2.87E-2</c:v>
                </c:pt>
                <c:pt idx="38">
                  <c:v>2.75E-2</c:v>
                </c:pt>
                <c:pt idx="39">
                  <c:v>2.7099999999999999E-2</c:v>
                </c:pt>
                <c:pt idx="40">
                  <c:v>2.7400000000000001E-2</c:v>
                </c:pt>
                <c:pt idx="41">
                  <c:v>2.8199999999999999E-2</c:v>
                </c:pt>
                <c:pt idx="42">
                  <c:v>2.9000000000000001E-2</c:v>
                </c:pt>
                <c:pt idx="43">
                  <c:v>2.9700000000000001E-2</c:v>
                </c:pt>
                <c:pt idx="44">
                  <c:v>3.0099999999999998E-2</c:v>
                </c:pt>
                <c:pt idx="45">
                  <c:v>3.0099999999999998E-2</c:v>
                </c:pt>
                <c:pt idx="46">
                  <c:v>2.98E-2</c:v>
                </c:pt>
                <c:pt idx="47">
                  <c:v>2.93E-2</c:v>
                </c:pt>
                <c:pt idx="48">
                  <c:v>2.86E-2</c:v>
                </c:pt>
                <c:pt idx="49">
                  <c:v>2.7900000000000001E-2</c:v>
                </c:pt>
                <c:pt idx="50">
                  <c:v>2.7199999999999998E-2</c:v>
                </c:pt>
                <c:pt idx="51">
                  <c:v>2.6499999999999999E-2</c:v>
                </c:pt>
                <c:pt idx="52">
                  <c:v>2.5700000000000001E-2</c:v>
                </c:pt>
                <c:pt idx="53">
                  <c:v>2.5000000000000001E-2</c:v>
                </c:pt>
                <c:pt idx="54">
                  <c:v>2.4400000000000002E-2</c:v>
                </c:pt>
                <c:pt idx="55">
                  <c:v>2.3699999999999999E-2</c:v>
                </c:pt>
                <c:pt idx="56">
                  <c:v>2.3099999999999999E-2</c:v>
                </c:pt>
                <c:pt idx="57">
                  <c:v>2.2499999999999999E-2</c:v>
                </c:pt>
                <c:pt idx="58">
                  <c:v>2.1899999999999999E-2</c:v>
                </c:pt>
                <c:pt idx="59">
                  <c:v>2.1299999999999999E-2</c:v>
                </c:pt>
                <c:pt idx="60">
                  <c:v>2.07E-2</c:v>
                </c:pt>
                <c:pt idx="61">
                  <c:v>0.02</c:v>
                </c:pt>
                <c:pt idx="62">
                  <c:v>1.9400000000000001E-2</c:v>
                </c:pt>
                <c:pt idx="63">
                  <c:v>1.8700000000000001E-2</c:v>
                </c:pt>
                <c:pt idx="64">
                  <c:v>1.8100000000000002E-2</c:v>
                </c:pt>
                <c:pt idx="65">
                  <c:v>1.7500000000000002E-2</c:v>
                </c:pt>
                <c:pt idx="66">
                  <c:v>1.6799999999999999E-2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01-4CA5-A630-7E1CDA38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566619"/>
        <c:axId val="141391949"/>
      </c:lineChart>
      <c:catAx>
        <c:axId val="1060566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91949"/>
        <c:crosses val="autoZero"/>
        <c:auto val="1"/>
        <c:lblAlgn val="ctr"/>
        <c:lblOffset val="100"/>
        <c:noMultiLvlLbl val="1"/>
      </c:catAx>
      <c:valAx>
        <c:axId val="14139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05666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Saa!$C$2:$C$67</c:f>
              <c:numCache>
                <c:formatCode>#,##0</c:formatCode>
                <c:ptCount val="66"/>
                <c:pt idx="0">
                  <c:v>2547824.340408396</c:v>
                </c:pt>
                <c:pt idx="1">
                  <c:v>2476260.4144313307</c:v>
                </c:pt>
                <c:pt idx="2">
                  <c:v>2405537.6087345351</c:v>
                </c:pt>
                <c:pt idx="3">
                  <c:v>2335926.9845936443</c:v>
                </c:pt>
                <c:pt idx="4">
                  <c:v>2267670.1141575035</c:v>
                </c:pt>
                <c:pt idx="5">
                  <c:v>2200980.4078011294</c:v>
                </c:pt>
                <c:pt idx="6">
                  <c:v>2136251.9730186639</c:v>
                </c:pt>
                <c:pt idx="7">
                  <c:v>2073427.130950853</c:v>
                </c:pt>
                <c:pt idx="8">
                  <c:v>2012645.2445649903</c:v>
                </c:pt>
                <c:pt idx="9">
                  <c:v>1954024.5092863983</c:v>
                </c:pt>
                <c:pt idx="10">
                  <c:v>1897663.8917028243</c:v>
                </c:pt>
                <c:pt idx="11">
                  <c:v>1843645.0905497174</c:v>
                </c:pt>
                <c:pt idx="12">
                  <c:v>1791512.0887666093</c:v>
                </c:pt>
                <c:pt idx="13">
                  <c:v>1740684.112676457</c:v>
                </c:pt>
                <c:pt idx="14">
                  <c:v>1690969.6062526295</c:v>
                </c:pt>
                <c:pt idx="15">
                  <c:v>1642196.3739464208</c:v>
                </c:pt>
                <c:pt idx="16">
                  <c:v>1594520.2193867567</c:v>
                </c:pt>
                <c:pt idx="17">
                  <c:v>1548228.1963168818</c:v>
                </c:pt>
                <c:pt idx="18">
                  <c:v>1503572.1048041971</c:v>
                </c:pt>
                <c:pt idx="19">
                  <c:v>1460771.4998583475</c:v>
                </c:pt>
                <c:pt idx="20">
                  <c:v>1419465.0664253694</c:v>
                </c:pt>
                <c:pt idx="21">
                  <c:v>1379192.6412994263</c:v>
                </c:pt>
                <c:pt idx="22">
                  <c:v>1339021.9818441032</c:v>
                </c:pt>
                <c:pt idx="23">
                  <c:v>1297879.2108598461</c:v>
                </c:pt>
                <c:pt idx="24">
                  <c:v>1255202.3315859246</c:v>
                </c:pt>
                <c:pt idx="25">
                  <c:v>1210883.977991438</c:v>
                </c:pt>
                <c:pt idx="26">
                  <c:v>1165319.9672711366</c:v>
                </c:pt>
                <c:pt idx="27">
                  <c:v>1118886.1903707504</c:v>
                </c:pt>
                <c:pt idx="28">
                  <c:v>1072140.8493395462</c:v>
                </c:pt>
                <c:pt idx="29">
                  <c:v>1025481.4436533201</c:v>
                </c:pt>
                <c:pt idx="30">
                  <c:v>979447.415141662</c:v>
                </c:pt>
                <c:pt idx="31">
                  <c:v>935747.9842759741</c:v>
                </c:pt>
                <c:pt idx="32">
                  <c:v>895709.75808937894</c:v>
                </c:pt>
                <c:pt idx="33">
                  <c:v>860266.76727754425</c:v>
                </c:pt>
                <c:pt idx="34">
                  <c:v>829332.65909336181</c:v>
                </c:pt>
                <c:pt idx="35">
                  <c:v>802295.30723939417</c:v>
                </c:pt>
                <c:pt idx="36">
                  <c:v>778322.96006926103</c:v>
                </c:pt>
                <c:pt idx="37">
                  <c:v>756608.30180738901</c:v>
                </c:pt>
                <c:pt idx="38">
                  <c:v>736358.44458140049</c:v>
                </c:pt>
                <c:pt idx="39">
                  <c:v>716929.65103826358</c:v>
                </c:pt>
                <c:pt idx="40">
                  <c:v>697809.66618479998</c:v>
                </c:pt>
                <c:pt idx="41">
                  <c:v>678671.14003579062</c:v>
                </c:pt>
                <c:pt idx="42">
                  <c:v>659544.35377627856</c:v>
                </c:pt>
                <c:pt idx="43">
                  <c:v>640520.88353528071</c:v>
                </c:pt>
                <c:pt idx="44">
                  <c:v>621804.56609579723</c:v>
                </c:pt>
                <c:pt idx="45">
                  <c:v>603635.14813687722</c:v>
                </c:pt>
                <c:pt idx="46">
                  <c:v>586167.36078547023</c:v>
                </c:pt>
                <c:pt idx="47">
                  <c:v>569481.55133145838</c:v>
                </c:pt>
                <c:pt idx="48">
                  <c:v>553647.24026002176</c:v>
                </c:pt>
                <c:pt idx="49">
                  <c:v>538619.74925578537</c:v>
                </c:pt>
                <c:pt idx="50">
                  <c:v>524357.2325309437</c:v>
                </c:pt>
                <c:pt idx="51">
                  <c:v>510820.4895576656</c:v>
                </c:pt>
                <c:pt idx="52">
                  <c:v>498021.34109161119</c:v>
                </c:pt>
                <c:pt idx="53">
                  <c:v>485874.47911376704</c:v>
                </c:pt>
                <c:pt idx="54">
                  <c:v>474301.52197751566</c:v>
                </c:pt>
                <c:pt idx="55">
                  <c:v>463320.81857723516</c:v>
                </c:pt>
                <c:pt idx="56">
                  <c:v>452859.75816365477</c:v>
                </c:pt>
                <c:pt idx="57">
                  <c:v>442894.62901090935</c:v>
                </c:pt>
                <c:pt idx="58">
                  <c:v>433403.10109688749</c:v>
                </c:pt>
                <c:pt idx="59">
                  <c:v>424364.14481238369</c:v>
                </c:pt>
                <c:pt idx="60">
                  <c:v>415757.9551409657</c:v>
                </c:pt>
                <c:pt idx="61">
                  <c:v>407605.83837349579</c:v>
                </c:pt>
                <c:pt idx="62">
                  <c:v>399848.77219295246</c:v>
                </c:pt>
                <c:pt idx="63">
                  <c:v>392508.85657499998</c:v>
                </c:pt>
                <c:pt idx="64">
                  <c:v>385530.75</c:v>
                </c:pt>
                <c:pt idx="65">
                  <c:v>378900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7-4483-986A-80FC2ECA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0669765"/>
        <c:axId val="1735959241"/>
      </c:lineChart>
      <c:catAx>
        <c:axId val="2140669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5959241"/>
        <c:crosses val="autoZero"/>
        <c:auto val="1"/>
        <c:lblAlgn val="ctr"/>
        <c:lblOffset val="100"/>
        <c:noMultiLvlLbl val="1"/>
      </c:catAx>
      <c:valAx>
        <c:axId val="1735959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06697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Sadain!$D$1:$D$67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7.7999999999999996E-3</c:v>
                </c:pt>
                <c:pt idx="2">
                  <c:v>7.1999999999999998E-3</c:v>
                </c:pt>
                <c:pt idx="3">
                  <c:v>6.8999999999999999E-3</c:v>
                </c:pt>
                <c:pt idx="4">
                  <c:v>8.2000000000000007E-3</c:v>
                </c:pt>
                <c:pt idx="5">
                  <c:v>1.03E-2</c:v>
                </c:pt>
                <c:pt idx="6">
                  <c:v>9.2999999999999992E-3</c:v>
                </c:pt>
                <c:pt idx="7">
                  <c:v>7.4000000000000003E-3</c:v>
                </c:pt>
                <c:pt idx="8">
                  <c:v>6.6E-3</c:v>
                </c:pt>
                <c:pt idx="9">
                  <c:v>6.6E-3</c:v>
                </c:pt>
                <c:pt idx="10">
                  <c:v>7.7000000000000002E-3</c:v>
                </c:pt>
                <c:pt idx="11">
                  <c:v>8.5000000000000006E-3</c:v>
                </c:pt>
                <c:pt idx="12">
                  <c:v>9.5999999999999992E-3</c:v>
                </c:pt>
                <c:pt idx="13">
                  <c:v>1.0200000000000001E-2</c:v>
                </c:pt>
                <c:pt idx="14">
                  <c:v>1.06E-2</c:v>
                </c:pt>
                <c:pt idx="15">
                  <c:v>1.11E-2</c:v>
                </c:pt>
                <c:pt idx="16">
                  <c:v>1.1599999999999999E-2</c:v>
                </c:pt>
                <c:pt idx="17">
                  <c:v>1.23E-2</c:v>
                </c:pt>
                <c:pt idx="18">
                  <c:v>1.3100000000000001E-2</c:v>
                </c:pt>
                <c:pt idx="19">
                  <c:v>1.3299999999999999E-2</c:v>
                </c:pt>
                <c:pt idx="20">
                  <c:v>1.34E-2</c:v>
                </c:pt>
                <c:pt idx="21">
                  <c:v>1.35E-2</c:v>
                </c:pt>
                <c:pt idx="22">
                  <c:v>1.34E-2</c:v>
                </c:pt>
                <c:pt idx="23">
                  <c:v>1.34E-2</c:v>
                </c:pt>
                <c:pt idx="24">
                  <c:v>1.24E-2</c:v>
                </c:pt>
                <c:pt idx="25">
                  <c:v>1.09E-2</c:v>
                </c:pt>
                <c:pt idx="26">
                  <c:v>1.0699999999999999E-2</c:v>
                </c:pt>
                <c:pt idx="27">
                  <c:v>1.0800000000000001E-2</c:v>
                </c:pt>
                <c:pt idx="28">
                  <c:v>1.0699999999999999E-2</c:v>
                </c:pt>
                <c:pt idx="29">
                  <c:v>1.04E-2</c:v>
                </c:pt>
                <c:pt idx="30">
                  <c:v>8.0999999999999996E-3</c:v>
                </c:pt>
                <c:pt idx="31">
                  <c:v>4.7000000000000002E-3</c:v>
                </c:pt>
                <c:pt idx="32">
                  <c:v>3.5000000000000001E-3</c:v>
                </c:pt>
                <c:pt idx="33">
                  <c:v>3.2000000000000002E-3</c:v>
                </c:pt>
                <c:pt idx="34">
                  <c:v>1.6000000000000001E-3</c:v>
                </c:pt>
                <c:pt idx="35">
                  <c:v>1E-4</c:v>
                </c:pt>
                <c:pt idx="36">
                  <c:v>1.1000000000000001E-3</c:v>
                </c:pt>
                <c:pt idx="37">
                  <c:v>2.3999999999999998E-3</c:v>
                </c:pt>
                <c:pt idx="38">
                  <c:v>4.7000000000000002E-3</c:v>
                </c:pt>
                <c:pt idx="39">
                  <c:v>6.7000000000000002E-3</c:v>
                </c:pt>
                <c:pt idx="40">
                  <c:v>8.8999999999999999E-3</c:v>
                </c:pt>
                <c:pt idx="41">
                  <c:v>1.11E-2</c:v>
                </c:pt>
                <c:pt idx="42">
                  <c:v>1.3299999999999999E-2</c:v>
                </c:pt>
                <c:pt idx="43">
                  <c:v>1.55E-2</c:v>
                </c:pt>
                <c:pt idx="44">
                  <c:v>1.7100000000000001E-2</c:v>
                </c:pt>
                <c:pt idx="45">
                  <c:v>1.8499999999999999E-2</c:v>
                </c:pt>
                <c:pt idx="46">
                  <c:v>1.9300000000000001E-2</c:v>
                </c:pt>
                <c:pt idx="47">
                  <c:v>1.9800000000000002E-2</c:v>
                </c:pt>
                <c:pt idx="48">
                  <c:v>2.0299999999999999E-2</c:v>
                </c:pt>
                <c:pt idx="49">
                  <c:v>2.1100000000000001E-2</c:v>
                </c:pt>
                <c:pt idx="50">
                  <c:v>2.2200000000000001E-2</c:v>
                </c:pt>
                <c:pt idx="51">
                  <c:v>2.35E-2</c:v>
                </c:pt>
                <c:pt idx="52">
                  <c:v>2.5000000000000001E-2</c:v>
                </c:pt>
                <c:pt idx="53">
                  <c:v>2.5399999999999999E-2</c:v>
                </c:pt>
                <c:pt idx="54">
                  <c:v>2.4500000000000001E-2</c:v>
                </c:pt>
                <c:pt idx="55">
                  <c:v>2.2100000000000002E-2</c:v>
                </c:pt>
                <c:pt idx="56">
                  <c:v>2.01E-2</c:v>
                </c:pt>
                <c:pt idx="57">
                  <c:v>1.8499999999999999E-2</c:v>
                </c:pt>
                <c:pt idx="58">
                  <c:v>1.6899999999999998E-2</c:v>
                </c:pt>
                <c:pt idx="59">
                  <c:v>1.54E-2</c:v>
                </c:pt>
                <c:pt idx="60">
                  <c:v>1.41E-2</c:v>
                </c:pt>
                <c:pt idx="61">
                  <c:v>1.3100000000000001E-2</c:v>
                </c:pt>
                <c:pt idx="62">
                  <c:v>1.2500000000000001E-2</c:v>
                </c:pt>
                <c:pt idx="63">
                  <c:v>1.1900000000000001E-2</c:v>
                </c:pt>
                <c:pt idx="64">
                  <c:v>1.0999999999999999E-2</c:v>
                </c:pt>
                <c:pt idx="65">
                  <c:v>1.0500000000000001E-2</c:v>
                </c:pt>
                <c:pt idx="66">
                  <c:v>9.5999999999999992E-3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15-4E38-9255-F629BFC4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929472"/>
        <c:axId val="543231295"/>
      </c:lineChart>
      <c:catAx>
        <c:axId val="72992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3231295"/>
        <c:crosses val="autoZero"/>
        <c:auto val="1"/>
        <c:lblAlgn val="ctr"/>
        <c:lblOffset val="100"/>
        <c:noMultiLvlLbl val="1"/>
      </c:catAx>
      <c:valAx>
        <c:axId val="543231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99294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Sadain!$C$1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Sadain!$C$2:$C$67</c:f>
              <c:numCache>
                <c:formatCode>#,##0</c:formatCode>
                <c:ptCount val="66"/>
                <c:pt idx="0">
                  <c:v>18288748.218598638</c:v>
                </c:pt>
                <c:pt idx="1">
                  <c:v>18147200.058145106</c:v>
                </c:pt>
                <c:pt idx="2">
                  <c:v>18017474.243591249</c:v>
                </c:pt>
                <c:pt idx="3">
                  <c:v>17894005.604917321</c:v>
                </c:pt>
                <c:pt idx="4">
                  <c:v>17748468.165956479</c:v>
                </c:pt>
                <c:pt idx="5">
                  <c:v>17567522.682328496</c:v>
                </c:pt>
                <c:pt idx="6">
                  <c:v>17405650.136063106</c:v>
                </c:pt>
                <c:pt idx="7">
                  <c:v>17277794.457080707</c:v>
                </c:pt>
                <c:pt idx="8">
                  <c:v>17164508.699662931</c:v>
                </c:pt>
                <c:pt idx="9">
                  <c:v>17051965.725872178</c:v>
                </c:pt>
                <c:pt idx="10">
                  <c:v>16921668.875530593</c:v>
                </c:pt>
                <c:pt idx="11">
                  <c:v>16779046.976232618</c:v>
                </c:pt>
                <c:pt idx="12">
                  <c:v>16619499.778360358</c:v>
                </c:pt>
                <c:pt idx="13">
                  <c:v>16451692.514710313</c:v>
                </c:pt>
                <c:pt idx="14">
                  <c:v>16279133.697516637</c:v>
                </c:pt>
                <c:pt idx="15">
                  <c:v>16100419.046104871</c:v>
                </c:pt>
                <c:pt idx="16">
                  <c:v>15915795.814654874</c:v>
                </c:pt>
                <c:pt idx="17">
                  <c:v>15722410.169569174</c:v>
                </c:pt>
                <c:pt idx="18">
                  <c:v>15519109.830785878</c:v>
                </c:pt>
                <c:pt idx="19">
                  <c:v>15315414.813762831</c:v>
                </c:pt>
                <c:pt idx="20">
                  <c:v>15112901.927928586</c:v>
                </c:pt>
                <c:pt idx="21">
                  <c:v>14911595.390161406</c:v>
                </c:pt>
                <c:pt idx="22">
                  <c:v>14714422.133571547</c:v>
                </c:pt>
                <c:pt idx="23">
                  <c:v>14519856.06233624</c:v>
                </c:pt>
                <c:pt idx="24">
                  <c:v>14342015.075401265</c:v>
                </c:pt>
                <c:pt idx="25">
                  <c:v>14187372.712831404</c:v>
                </c:pt>
                <c:pt idx="26">
                  <c:v>14037174.940963101</c:v>
                </c:pt>
                <c:pt idx="27">
                  <c:v>13887193.253821826</c:v>
                </c:pt>
                <c:pt idx="28">
                  <c:v>13740173.398458323</c:v>
                </c:pt>
                <c:pt idx="29">
                  <c:v>13598746.435528824</c:v>
                </c:pt>
                <c:pt idx="30">
                  <c:v>13489481.634291066</c:v>
                </c:pt>
                <c:pt idx="31">
                  <c:v>13426377.659292392</c:v>
                </c:pt>
                <c:pt idx="32">
                  <c:v>13379549.236963021</c:v>
                </c:pt>
                <c:pt idx="33">
                  <c:v>13336871.248966327</c:v>
                </c:pt>
                <c:pt idx="34">
                  <c:v>13315566.342817819</c:v>
                </c:pt>
                <c:pt idx="35">
                  <c:v>13314234.919325886</c:v>
                </c:pt>
                <c:pt idx="36">
                  <c:v>13299605.353437103</c:v>
                </c:pt>
                <c:pt idx="37">
                  <c:v>13267762.72290214</c:v>
                </c:pt>
                <c:pt idx="38">
                  <c:v>13205695.951928079</c:v>
                </c:pt>
                <c:pt idx="39">
                  <c:v>13117806.647390563</c:v>
                </c:pt>
                <c:pt idx="40">
                  <c:v>13002088.063624308</c:v>
                </c:pt>
                <c:pt idx="41">
                  <c:v>12859349.286543671</c:v>
                </c:pt>
                <c:pt idx="42">
                  <c:v>12690564.775035694</c:v>
                </c:pt>
                <c:pt idx="43">
                  <c:v>12496863.392452678</c:v>
                </c:pt>
                <c:pt idx="44">
                  <c:v>12286759.79987482</c:v>
                </c:pt>
                <c:pt idx="45">
                  <c:v>12063583.505031733</c:v>
                </c:pt>
                <c:pt idx="46">
                  <c:v>11835164.823929885</c:v>
                </c:pt>
                <c:pt idx="47">
                  <c:v>11605378.332937717</c:v>
                </c:pt>
                <c:pt idx="48">
                  <c:v>11374476.460783806</c:v>
                </c:pt>
                <c:pt idx="49">
                  <c:v>11139434.395048289</c:v>
                </c:pt>
                <c:pt idx="50">
                  <c:v>10897509.680148982</c:v>
                </c:pt>
                <c:pt idx="51">
                  <c:v>10647298.173081564</c:v>
                </c:pt>
                <c:pt idx="52">
                  <c:v>10387607.973738112</c:v>
                </c:pt>
                <c:pt idx="53">
                  <c:v>10130298.39451737</c:v>
                </c:pt>
                <c:pt idx="54">
                  <c:v>9888041.3806904536</c:v>
                </c:pt>
                <c:pt idx="55">
                  <c:v>9674240.6620589513</c:v>
                </c:pt>
                <c:pt idx="56">
                  <c:v>9483619.9020281844</c:v>
                </c:pt>
                <c:pt idx="57">
                  <c:v>9311359.7467139754</c:v>
                </c:pt>
                <c:pt idx="58">
                  <c:v>9156612.9872297924</c:v>
                </c:pt>
                <c:pt idx="59">
                  <c:v>9017739.7943960913</c:v>
                </c:pt>
                <c:pt idx="60">
                  <c:v>8892357.5529001988</c:v>
                </c:pt>
                <c:pt idx="61">
                  <c:v>8777373.9541014694</c:v>
                </c:pt>
                <c:pt idx="62">
                  <c:v>8669011.3126928098</c:v>
                </c:pt>
                <c:pt idx="63">
                  <c:v>8567063.2598999999</c:v>
                </c:pt>
                <c:pt idx="64">
                  <c:v>8473850.9000000004</c:v>
                </c:pt>
                <c:pt idx="65">
                  <c:v>8385800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C-4338-A6A1-613B906E4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54029"/>
        <c:axId val="1553565600"/>
      </c:lineChart>
      <c:catAx>
        <c:axId val="2126554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3565600"/>
        <c:crosses val="autoZero"/>
        <c:auto val="1"/>
        <c:lblAlgn val="ctr"/>
        <c:lblOffset val="100"/>
        <c:noMultiLvlLbl val="1"/>
      </c:catAx>
      <c:valAx>
        <c:axId val="1553565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65540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Sanagara!$D$1:$D$67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8.8000000000000005E-3</c:v>
                </c:pt>
                <c:pt idx="2">
                  <c:v>9.2999999999999992E-3</c:v>
                </c:pt>
                <c:pt idx="3">
                  <c:v>9.4999999999999998E-3</c:v>
                </c:pt>
                <c:pt idx="4">
                  <c:v>9.5999999999999992E-3</c:v>
                </c:pt>
                <c:pt idx="5">
                  <c:v>7.3000000000000001E-3</c:v>
                </c:pt>
                <c:pt idx="6">
                  <c:v>4.5999999999999999E-3</c:v>
                </c:pt>
                <c:pt idx="7">
                  <c:v>3.8999999999999998E-3</c:v>
                </c:pt>
                <c:pt idx="8">
                  <c:v>3.7000000000000002E-3</c:v>
                </c:pt>
                <c:pt idx="9">
                  <c:v>3.5999999999999999E-3</c:v>
                </c:pt>
                <c:pt idx="10">
                  <c:v>3.2000000000000002E-3</c:v>
                </c:pt>
                <c:pt idx="11">
                  <c:v>3.2000000000000002E-3</c:v>
                </c:pt>
                <c:pt idx="12">
                  <c:v>3.8E-3</c:v>
                </c:pt>
                <c:pt idx="13">
                  <c:v>4.4999999999999997E-3</c:v>
                </c:pt>
                <c:pt idx="14">
                  <c:v>5.4000000000000003E-3</c:v>
                </c:pt>
                <c:pt idx="15">
                  <c:v>5.8999999999999999E-3</c:v>
                </c:pt>
                <c:pt idx="16">
                  <c:v>5.7000000000000002E-3</c:v>
                </c:pt>
                <c:pt idx="17">
                  <c:v>5.7999999999999996E-3</c:v>
                </c:pt>
                <c:pt idx="18">
                  <c:v>6.3E-3</c:v>
                </c:pt>
                <c:pt idx="19">
                  <c:v>6.6E-3</c:v>
                </c:pt>
                <c:pt idx="20">
                  <c:v>6.0000000000000001E-3</c:v>
                </c:pt>
                <c:pt idx="21">
                  <c:v>5.3E-3</c:v>
                </c:pt>
                <c:pt idx="22">
                  <c:v>5.4000000000000003E-3</c:v>
                </c:pt>
                <c:pt idx="23">
                  <c:v>5.1999999999999998E-3</c:v>
                </c:pt>
                <c:pt idx="24">
                  <c:v>4.7999999999999996E-3</c:v>
                </c:pt>
                <c:pt idx="25">
                  <c:v>8.0999999999999996E-3</c:v>
                </c:pt>
                <c:pt idx="26">
                  <c:v>1.2800000000000001E-2</c:v>
                </c:pt>
                <c:pt idx="27">
                  <c:v>1.4E-2</c:v>
                </c:pt>
                <c:pt idx="28">
                  <c:v>1.4200000000000001E-2</c:v>
                </c:pt>
                <c:pt idx="29">
                  <c:v>1.4500000000000001E-2</c:v>
                </c:pt>
                <c:pt idx="30">
                  <c:v>1.38E-2</c:v>
                </c:pt>
                <c:pt idx="31">
                  <c:v>1.3599999999999999E-2</c:v>
                </c:pt>
                <c:pt idx="32">
                  <c:v>1.49E-2</c:v>
                </c:pt>
                <c:pt idx="33">
                  <c:v>1.6400000000000001E-2</c:v>
                </c:pt>
                <c:pt idx="34">
                  <c:v>1.72E-2</c:v>
                </c:pt>
                <c:pt idx="35">
                  <c:v>1.44E-2</c:v>
                </c:pt>
                <c:pt idx="36">
                  <c:v>1.14E-2</c:v>
                </c:pt>
                <c:pt idx="37">
                  <c:v>1.15E-2</c:v>
                </c:pt>
                <c:pt idx="38">
                  <c:v>1.1900000000000001E-2</c:v>
                </c:pt>
                <c:pt idx="39">
                  <c:v>1.2699999999999999E-2</c:v>
                </c:pt>
                <c:pt idx="40">
                  <c:v>1.41E-2</c:v>
                </c:pt>
                <c:pt idx="41">
                  <c:v>1.67E-2</c:v>
                </c:pt>
                <c:pt idx="42">
                  <c:v>1.9099999999999999E-2</c:v>
                </c:pt>
                <c:pt idx="43">
                  <c:v>2.0299999999999999E-2</c:v>
                </c:pt>
                <c:pt idx="44">
                  <c:v>2.1000000000000001E-2</c:v>
                </c:pt>
                <c:pt idx="45">
                  <c:v>2.1399999999999999E-2</c:v>
                </c:pt>
                <c:pt idx="46">
                  <c:v>2.1600000000000001E-2</c:v>
                </c:pt>
                <c:pt idx="47">
                  <c:v>2.1700000000000001E-2</c:v>
                </c:pt>
                <c:pt idx="48">
                  <c:v>2.23E-2</c:v>
                </c:pt>
                <c:pt idx="49">
                  <c:v>2.18E-2</c:v>
                </c:pt>
                <c:pt idx="50">
                  <c:v>1.9199999999999998E-2</c:v>
                </c:pt>
                <c:pt idx="51">
                  <c:v>1.8800000000000001E-2</c:v>
                </c:pt>
                <c:pt idx="52">
                  <c:v>2.1299999999999999E-2</c:v>
                </c:pt>
                <c:pt idx="53">
                  <c:v>2.3099999999999999E-2</c:v>
                </c:pt>
                <c:pt idx="54">
                  <c:v>2.4400000000000002E-2</c:v>
                </c:pt>
                <c:pt idx="55">
                  <c:v>2.8199999999999999E-2</c:v>
                </c:pt>
                <c:pt idx="56">
                  <c:v>3.2300000000000002E-2</c:v>
                </c:pt>
                <c:pt idx="57">
                  <c:v>3.3700000000000001E-2</c:v>
                </c:pt>
                <c:pt idx="58">
                  <c:v>3.44E-2</c:v>
                </c:pt>
                <c:pt idx="59">
                  <c:v>3.44E-2</c:v>
                </c:pt>
                <c:pt idx="60">
                  <c:v>3.39E-2</c:v>
                </c:pt>
                <c:pt idx="61">
                  <c:v>3.3099999999999997E-2</c:v>
                </c:pt>
                <c:pt idx="62">
                  <c:v>3.0800000000000001E-2</c:v>
                </c:pt>
                <c:pt idx="63">
                  <c:v>2.7E-2</c:v>
                </c:pt>
                <c:pt idx="64">
                  <c:v>1.8200000000000001E-2</c:v>
                </c:pt>
                <c:pt idx="65">
                  <c:v>1.4E-2</c:v>
                </c:pt>
                <c:pt idx="66">
                  <c:v>5.5999999999999999E-3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06-42AC-A8E0-4D588174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723801"/>
        <c:axId val="2041180378"/>
      </c:lineChart>
      <c:catAx>
        <c:axId val="1913723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180378"/>
        <c:crosses val="autoZero"/>
        <c:auto val="1"/>
        <c:lblAlgn val="ctr"/>
        <c:lblOffset val="100"/>
        <c:noMultiLvlLbl val="1"/>
      </c:catAx>
      <c:valAx>
        <c:axId val="2041180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37238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Sanagara!$C$1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Sanagara!$C$2:$C$67</c:f>
              <c:numCache>
                <c:formatCode>#,##0</c:formatCode>
                <c:ptCount val="66"/>
                <c:pt idx="0">
                  <c:v>38792385.688430578</c:v>
                </c:pt>
                <c:pt idx="1">
                  <c:v>38453990.571402244</c:v>
                </c:pt>
                <c:pt idx="2">
                  <c:v>38099663.699001528</c:v>
                </c:pt>
                <c:pt idx="3">
                  <c:v>37741123.030214489</c:v>
                </c:pt>
                <c:pt idx="4">
                  <c:v>37382253.397597551</c:v>
                </c:pt>
                <c:pt idx="5">
                  <c:v>37111340.61113625</c:v>
                </c:pt>
                <c:pt idx="6">
                  <c:v>36941410.124563262</c:v>
                </c:pt>
                <c:pt idx="7">
                  <c:v>36797898.321110927</c:v>
                </c:pt>
                <c:pt idx="8">
                  <c:v>36662248.003497981</c:v>
                </c:pt>
                <c:pt idx="9">
                  <c:v>36530737.349041432</c:v>
                </c:pt>
                <c:pt idx="10">
                  <c:v>36414211.871054053</c:v>
                </c:pt>
                <c:pt idx="11">
                  <c:v>36298058.085181467</c:v>
                </c:pt>
                <c:pt idx="12">
                  <c:v>36160647.624209471</c:v>
                </c:pt>
                <c:pt idx="13">
                  <c:v>35998653.682637602</c:v>
                </c:pt>
                <c:pt idx="14">
                  <c:v>35805305.035446189</c:v>
                </c:pt>
                <c:pt idx="15">
                  <c:v>35595292.807879701</c:v>
                </c:pt>
                <c:pt idx="16">
                  <c:v>35393549.575300485</c:v>
                </c:pt>
                <c:pt idx="17">
                  <c:v>35189450.76088734</c:v>
                </c:pt>
                <c:pt idx="18">
                  <c:v>34969145.146464616</c:v>
                </c:pt>
                <c:pt idx="19">
                  <c:v>34739862.056889147</c:v>
                </c:pt>
                <c:pt idx="20">
                  <c:v>34532666.060525991</c:v>
                </c:pt>
                <c:pt idx="21">
                  <c:v>34350607.838979401</c:v>
                </c:pt>
                <c:pt idx="22">
                  <c:v>34166110.840441018</c:v>
                </c:pt>
                <c:pt idx="23">
                  <c:v>33989366.136531055</c:v>
                </c:pt>
                <c:pt idx="24">
                  <c:v>33826996.55307629</c:v>
                </c:pt>
                <c:pt idx="25">
                  <c:v>33555199.437631473</c:v>
                </c:pt>
                <c:pt idx="26">
                  <c:v>33131121.087708805</c:v>
                </c:pt>
                <c:pt idx="27">
                  <c:v>32673689.435610261</c:v>
                </c:pt>
                <c:pt idx="28">
                  <c:v>32216219.124048769</c:v>
                </c:pt>
                <c:pt idx="29">
                  <c:v>31755760.595415249</c:v>
                </c:pt>
                <c:pt idx="30">
                  <c:v>31323496.345842618</c:v>
                </c:pt>
                <c:pt idx="31">
                  <c:v>30903212.653751597</c:v>
                </c:pt>
                <c:pt idx="32">
                  <c:v>30449514.882009655</c:v>
                </c:pt>
                <c:pt idx="33">
                  <c:v>29958200.395523079</c:v>
                </c:pt>
                <c:pt idx="34">
                  <c:v>29451632.319625515</c:v>
                </c:pt>
                <c:pt idx="35">
                  <c:v>29033549.2109873</c:v>
                </c:pt>
                <c:pt idx="36">
                  <c:v>28706297.420394797</c:v>
                </c:pt>
                <c:pt idx="37">
                  <c:v>28379928.24557073</c:v>
                </c:pt>
                <c:pt idx="38">
                  <c:v>28046178.718816809</c:v>
                </c:pt>
                <c:pt idx="39">
                  <c:v>27694459.088394206</c:v>
                </c:pt>
                <c:pt idx="40">
                  <c:v>27309396.596385173</c:v>
                </c:pt>
                <c:pt idx="41">
                  <c:v>26860820.887562875</c:v>
                </c:pt>
                <c:pt idx="42">
                  <c:v>26357394.649752602</c:v>
                </c:pt>
                <c:pt idx="43">
                  <c:v>25832985.053173188</c:v>
                </c:pt>
                <c:pt idx="44">
                  <c:v>25301650.394880697</c:v>
                </c:pt>
                <c:pt idx="45">
                  <c:v>24771539.450637061</c:v>
                </c:pt>
                <c:pt idx="46">
                  <c:v>24247787.246120848</c:v>
                </c:pt>
                <c:pt idx="47">
                  <c:v>23732785.79438274</c:v>
                </c:pt>
                <c:pt idx="48">
                  <c:v>23215089.302927457</c:v>
                </c:pt>
                <c:pt idx="49">
                  <c:v>22719797.712788664</c:v>
                </c:pt>
                <c:pt idx="50">
                  <c:v>22291795.244101904</c:v>
                </c:pt>
                <c:pt idx="51">
                  <c:v>21880442.917257465</c:v>
                </c:pt>
                <c:pt idx="52">
                  <c:v>21424109.387307808</c:v>
                </c:pt>
                <c:pt idx="53">
                  <c:v>20940386.460079964</c:v>
                </c:pt>
                <c:pt idx="54">
                  <c:v>20441611.148067128</c:v>
                </c:pt>
                <c:pt idx="55">
                  <c:v>19880967.854568303</c:v>
                </c:pt>
                <c:pt idx="56">
                  <c:v>19258905.216088641</c:v>
                </c:pt>
                <c:pt idx="57">
                  <c:v>18631039.195210062</c:v>
                </c:pt>
                <c:pt idx="58">
                  <c:v>18011445.471007407</c:v>
                </c:pt>
                <c:pt idx="59">
                  <c:v>17412456.951863308</c:v>
                </c:pt>
                <c:pt idx="60">
                  <c:v>16841529.114869241</c:v>
                </c:pt>
                <c:pt idx="61">
                  <c:v>16301935.064242806</c:v>
                </c:pt>
                <c:pt idx="62">
                  <c:v>15814838.052234</c:v>
                </c:pt>
                <c:pt idx="63">
                  <c:v>15399063.342</c:v>
                </c:pt>
                <c:pt idx="64">
                  <c:v>15123810</c:v>
                </c:pt>
                <c:pt idx="65">
                  <c:v>14915000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F-470C-AAF8-A1A03C8B0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609608"/>
        <c:axId val="1414377602"/>
      </c:lineChart>
      <c:catAx>
        <c:axId val="117960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4377602"/>
        <c:crosses val="autoZero"/>
        <c:auto val="1"/>
        <c:lblAlgn val="ctr"/>
        <c:lblOffset val="100"/>
        <c:noMultiLvlLbl val="1"/>
      </c:catAx>
      <c:valAx>
        <c:axId val="1414377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96096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Sattle!$D$1:$D$67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2.3199999999999998E-2</c:v>
                </c:pt>
                <c:pt idx="2">
                  <c:v>2.4500000000000001E-2</c:v>
                </c:pt>
                <c:pt idx="3">
                  <c:v>2.5499999999999998E-2</c:v>
                </c:pt>
                <c:pt idx="4">
                  <c:v>2.5899999999999999E-2</c:v>
                </c:pt>
                <c:pt idx="5">
                  <c:v>2.5600000000000001E-2</c:v>
                </c:pt>
                <c:pt idx="6">
                  <c:v>2.4799999999999999E-2</c:v>
                </c:pt>
                <c:pt idx="7">
                  <c:v>2.3699999999999999E-2</c:v>
                </c:pt>
                <c:pt idx="8">
                  <c:v>2.2800000000000001E-2</c:v>
                </c:pt>
                <c:pt idx="9">
                  <c:v>2.1499999999999998E-2</c:v>
                </c:pt>
                <c:pt idx="10">
                  <c:v>2.0500000000000001E-2</c:v>
                </c:pt>
                <c:pt idx="11">
                  <c:v>2.0199999999999999E-2</c:v>
                </c:pt>
                <c:pt idx="12">
                  <c:v>2.0500000000000001E-2</c:v>
                </c:pt>
                <c:pt idx="13">
                  <c:v>2.1100000000000001E-2</c:v>
                </c:pt>
                <c:pt idx="14">
                  <c:v>2.24E-2</c:v>
                </c:pt>
                <c:pt idx="15">
                  <c:v>2.41E-2</c:v>
                </c:pt>
                <c:pt idx="16">
                  <c:v>2.6100000000000002E-2</c:v>
                </c:pt>
                <c:pt idx="17">
                  <c:v>2.81E-2</c:v>
                </c:pt>
                <c:pt idx="18">
                  <c:v>3.0300000000000001E-2</c:v>
                </c:pt>
                <c:pt idx="19">
                  <c:v>3.2599999999999997E-2</c:v>
                </c:pt>
                <c:pt idx="20">
                  <c:v>3.4700000000000002E-2</c:v>
                </c:pt>
                <c:pt idx="21">
                  <c:v>3.6299999999999999E-2</c:v>
                </c:pt>
                <c:pt idx="22">
                  <c:v>3.73E-2</c:v>
                </c:pt>
                <c:pt idx="23">
                  <c:v>3.7699999999999997E-2</c:v>
                </c:pt>
                <c:pt idx="24">
                  <c:v>3.7999999999999999E-2</c:v>
                </c:pt>
                <c:pt idx="25">
                  <c:v>3.8699999999999998E-2</c:v>
                </c:pt>
                <c:pt idx="26">
                  <c:v>3.9699999999999999E-2</c:v>
                </c:pt>
                <c:pt idx="27">
                  <c:v>4.0099999999999997E-2</c:v>
                </c:pt>
                <c:pt idx="28">
                  <c:v>3.9300000000000002E-2</c:v>
                </c:pt>
                <c:pt idx="29">
                  <c:v>3.7100000000000001E-2</c:v>
                </c:pt>
                <c:pt idx="30">
                  <c:v>3.4000000000000002E-2</c:v>
                </c:pt>
                <c:pt idx="31">
                  <c:v>3.1099999999999999E-2</c:v>
                </c:pt>
                <c:pt idx="32">
                  <c:v>2.9100000000000001E-2</c:v>
                </c:pt>
                <c:pt idx="33">
                  <c:v>2.7799999999999998E-2</c:v>
                </c:pt>
                <c:pt idx="34">
                  <c:v>2.6800000000000001E-2</c:v>
                </c:pt>
                <c:pt idx="35">
                  <c:v>2.5899999999999999E-2</c:v>
                </c:pt>
                <c:pt idx="36">
                  <c:v>2.5399999999999999E-2</c:v>
                </c:pt>
                <c:pt idx="37">
                  <c:v>2.53E-2</c:v>
                </c:pt>
                <c:pt idx="38">
                  <c:v>2.52E-2</c:v>
                </c:pt>
                <c:pt idx="39">
                  <c:v>2.53E-2</c:v>
                </c:pt>
                <c:pt idx="40">
                  <c:v>2.5499999999999998E-2</c:v>
                </c:pt>
                <c:pt idx="41">
                  <c:v>2.5399999999999999E-2</c:v>
                </c:pt>
                <c:pt idx="42">
                  <c:v>2.52E-2</c:v>
                </c:pt>
                <c:pt idx="43">
                  <c:v>2.4799999999999999E-2</c:v>
                </c:pt>
                <c:pt idx="44">
                  <c:v>2.4400000000000002E-2</c:v>
                </c:pt>
                <c:pt idx="45">
                  <c:v>2.3900000000000001E-2</c:v>
                </c:pt>
                <c:pt idx="46">
                  <c:v>2.3300000000000001E-2</c:v>
                </c:pt>
                <c:pt idx="47">
                  <c:v>2.2700000000000001E-2</c:v>
                </c:pt>
                <c:pt idx="48">
                  <c:v>2.23E-2</c:v>
                </c:pt>
                <c:pt idx="49">
                  <c:v>2.2100000000000002E-2</c:v>
                </c:pt>
                <c:pt idx="50">
                  <c:v>2.1899999999999999E-2</c:v>
                </c:pt>
                <c:pt idx="51">
                  <c:v>2.18E-2</c:v>
                </c:pt>
                <c:pt idx="52">
                  <c:v>2.1899999999999999E-2</c:v>
                </c:pt>
                <c:pt idx="53">
                  <c:v>2.2100000000000002E-2</c:v>
                </c:pt>
                <c:pt idx="54">
                  <c:v>2.24E-2</c:v>
                </c:pt>
                <c:pt idx="55">
                  <c:v>2.2800000000000001E-2</c:v>
                </c:pt>
                <c:pt idx="56">
                  <c:v>2.3099999999999999E-2</c:v>
                </c:pt>
                <c:pt idx="57">
                  <c:v>2.3099999999999999E-2</c:v>
                </c:pt>
                <c:pt idx="58">
                  <c:v>2.29E-2</c:v>
                </c:pt>
                <c:pt idx="59">
                  <c:v>2.2599999999999999E-2</c:v>
                </c:pt>
                <c:pt idx="60">
                  <c:v>2.2200000000000001E-2</c:v>
                </c:pt>
                <c:pt idx="61">
                  <c:v>2.1600000000000001E-2</c:v>
                </c:pt>
                <c:pt idx="62">
                  <c:v>2.1100000000000001E-2</c:v>
                </c:pt>
                <c:pt idx="63">
                  <c:v>2.06E-2</c:v>
                </c:pt>
                <c:pt idx="64">
                  <c:v>2.0199999999999999E-2</c:v>
                </c:pt>
                <c:pt idx="65">
                  <c:v>1.9800000000000002E-2</c:v>
                </c:pt>
                <c:pt idx="66">
                  <c:v>1.9400000000000001E-2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E4-40AF-B221-71ACB9346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38470"/>
        <c:axId val="1891371203"/>
      </c:lineChart>
      <c:catAx>
        <c:axId val="9613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371203"/>
        <c:crosses val="autoZero"/>
        <c:auto val="1"/>
        <c:lblAlgn val="ctr"/>
        <c:lblOffset val="100"/>
        <c:noMultiLvlLbl val="1"/>
      </c:catAx>
      <c:valAx>
        <c:axId val="1891371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1384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Sattle!$C$1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Sattle!$C$2:$C$67</c:f>
              <c:numCache>
                <c:formatCode>#,##0</c:formatCode>
                <c:ptCount val="66"/>
                <c:pt idx="0">
                  <c:v>9388375.5467029884</c:v>
                </c:pt>
                <c:pt idx="1">
                  <c:v>9175503.8572155852</c:v>
                </c:pt>
                <c:pt idx="2">
                  <c:v>8956079.899673583</c:v>
                </c:pt>
                <c:pt idx="3">
                  <c:v>8733378.741758734</c:v>
                </c:pt>
                <c:pt idx="4">
                  <c:v>8512894.767286025</c:v>
                </c:pt>
                <c:pt idx="5">
                  <c:v>8300404.4142804453</c:v>
                </c:pt>
                <c:pt idx="6">
                  <c:v>8099535.9233806068</c:v>
                </c:pt>
                <c:pt idx="7">
                  <c:v>7912021.0250860667</c:v>
                </c:pt>
                <c:pt idx="8">
                  <c:v>7735648.2450978365</c:v>
                </c:pt>
                <c:pt idx="9">
                  <c:v>7572832.3495818265</c:v>
                </c:pt>
                <c:pt idx="10">
                  <c:v>7420707.8388846908</c:v>
                </c:pt>
                <c:pt idx="11">
                  <c:v>7273777.5327236727</c:v>
                </c:pt>
                <c:pt idx="12">
                  <c:v>7127660.4926248631</c:v>
                </c:pt>
                <c:pt idx="13">
                  <c:v>6980374.5888011595</c:v>
                </c:pt>
                <c:pt idx="14">
                  <c:v>6827439.9342734348</c:v>
                </c:pt>
                <c:pt idx="15">
                  <c:v>6666770.7589819692</c:v>
                </c:pt>
                <c:pt idx="16">
                  <c:v>6497193.9956943467</c:v>
                </c:pt>
                <c:pt idx="17">
                  <c:v>6319612.8739367248</c:v>
                </c:pt>
                <c:pt idx="18">
                  <c:v>6133759.9475266673</c:v>
                </c:pt>
                <c:pt idx="19">
                  <c:v>5940112.2869713996</c:v>
                </c:pt>
                <c:pt idx="20">
                  <c:v>5740902.9544519186</c:v>
                </c:pt>
                <c:pt idx="21">
                  <c:v>5539807.9267122634</c:v>
                </c:pt>
                <c:pt idx="22">
                  <c:v>5340603.4191769622</c:v>
                </c:pt>
                <c:pt idx="23">
                  <c:v>5146577.4493369581</c:v>
                </c:pt>
                <c:pt idx="24">
                  <c:v>4958167.0995539092</c:v>
                </c:pt>
                <c:pt idx="25">
                  <c:v>4773435.1589043122</c:v>
                </c:pt>
                <c:pt idx="26">
                  <c:v>4591165.8737177188</c:v>
                </c:pt>
                <c:pt idx="27">
                  <c:v>4414158.1326004406</c:v>
                </c:pt>
                <c:pt idx="28">
                  <c:v>4247241.5400754754</c:v>
                </c:pt>
                <c:pt idx="29">
                  <c:v>4095305.6986553622</c:v>
                </c:pt>
                <c:pt idx="30">
                  <c:v>3960643.8091444508</c:v>
                </c:pt>
                <c:pt idx="31">
                  <c:v>3841183.0173062277</c:v>
                </c:pt>
                <c:pt idx="32">
                  <c:v>3732565.3651795043</c:v>
                </c:pt>
                <c:pt idx="33">
                  <c:v>3631606.6989487293</c:v>
                </c:pt>
                <c:pt idx="34">
                  <c:v>3536819.9249598067</c:v>
                </c:pt>
                <c:pt idx="35">
                  <c:v>3447528.9257820514</c:v>
                </c:pt>
                <c:pt idx="36">
                  <c:v>3362130.8033762933</c:v>
                </c:pt>
                <c:pt idx="37">
                  <c:v>3279167.8566042064</c:v>
                </c:pt>
                <c:pt idx="38">
                  <c:v>3198564.0427274746</c:v>
                </c:pt>
                <c:pt idx="39">
                  <c:v>3119637.2210352817</c:v>
                </c:pt>
                <c:pt idx="40">
                  <c:v>3042064.5743883778</c:v>
                </c:pt>
                <c:pt idx="41">
                  <c:v>2966710.1369108423</c:v>
                </c:pt>
                <c:pt idx="42">
                  <c:v>2893786.7117741345</c:v>
                </c:pt>
                <c:pt idx="43">
                  <c:v>2823757.5251504048</c:v>
                </c:pt>
                <c:pt idx="44">
                  <c:v>2756498.9507520548</c:v>
                </c:pt>
                <c:pt idx="45">
                  <c:v>2692156.4124934608</c:v>
                </c:pt>
                <c:pt idx="46">
                  <c:v>2630857.4342748565</c:v>
                </c:pt>
                <c:pt idx="47">
                  <c:v>2572462.5347363418</c:v>
                </c:pt>
                <c:pt idx="48">
                  <c:v>2516347.9748961576</c:v>
                </c:pt>
                <c:pt idx="49">
                  <c:v>2461939.1203367161</c:v>
                </c:pt>
                <c:pt idx="50">
                  <c:v>2409178.1195192444</c:v>
                </c:pt>
                <c:pt idx="51">
                  <c:v>2357778.5471904916</c:v>
                </c:pt>
                <c:pt idx="52">
                  <c:v>2307249.7770726015</c:v>
                </c:pt>
                <c:pt idx="53">
                  <c:v>2257362.0752104507</c:v>
                </c:pt>
                <c:pt idx="54">
                  <c:v>2207905.0031401124</c:v>
                </c:pt>
                <c:pt idx="55">
                  <c:v>2158686.9408878693</c:v>
                </c:pt>
                <c:pt idx="56">
                  <c:v>2109947.1614581854</c:v>
                </c:pt>
                <c:pt idx="57">
                  <c:v>2062307.8501204045</c:v>
                </c:pt>
                <c:pt idx="58">
                  <c:v>2016138.2834298608</c:v>
                </c:pt>
                <c:pt idx="59">
                  <c:v>1971580.5627125571</c:v>
                </c:pt>
                <c:pt idx="60">
                  <c:v>1928762.0453067473</c:v>
                </c:pt>
                <c:pt idx="61">
                  <c:v>1887981.6418429397</c:v>
                </c:pt>
                <c:pt idx="62">
                  <c:v>1848968.4084251688</c:v>
                </c:pt>
                <c:pt idx="63">
                  <c:v>1811648.450348</c:v>
                </c:pt>
                <c:pt idx="64">
                  <c:v>1775777.74</c:v>
                </c:pt>
                <c:pt idx="65">
                  <c:v>1741300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F-4A40-B724-9F2499FBB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863015"/>
        <c:axId val="82968431"/>
      </c:lineChart>
      <c:catAx>
        <c:axId val="528863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968431"/>
        <c:crosses val="autoZero"/>
        <c:auto val="1"/>
        <c:lblAlgn val="ctr"/>
        <c:lblOffset val="100"/>
        <c:noMultiLvlLbl val="1"/>
      </c:catAx>
      <c:valAx>
        <c:axId val="82968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88630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Selaja!$D$1:$D$67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1.6400000000000001E-2</c:v>
                </c:pt>
                <c:pt idx="2">
                  <c:v>1.6899999999999998E-2</c:v>
                </c:pt>
                <c:pt idx="3">
                  <c:v>1.72E-2</c:v>
                </c:pt>
                <c:pt idx="4">
                  <c:v>1.6799999999999999E-2</c:v>
                </c:pt>
                <c:pt idx="5">
                  <c:v>1.55E-2</c:v>
                </c:pt>
                <c:pt idx="6">
                  <c:v>1.41E-2</c:v>
                </c:pt>
                <c:pt idx="7">
                  <c:v>1.3299999999999999E-2</c:v>
                </c:pt>
                <c:pt idx="8">
                  <c:v>1.2999999999999999E-2</c:v>
                </c:pt>
                <c:pt idx="9">
                  <c:v>1.2699999999999999E-2</c:v>
                </c:pt>
                <c:pt idx="10">
                  <c:v>1.2500000000000001E-2</c:v>
                </c:pt>
                <c:pt idx="11">
                  <c:v>1.24E-2</c:v>
                </c:pt>
                <c:pt idx="12">
                  <c:v>1.26E-2</c:v>
                </c:pt>
                <c:pt idx="13">
                  <c:v>1.3100000000000001E-2</c:v>
                </c:pt>
                <c:pt idx="14">
                  <c:v>1.3599999999999999E-2</c:v>
                </c:pt>
                <c:pt idx="15">
                  <c:v>1.4200000000000001E-2</c:v>
                </c:pt>
                <c:pt idx="16">
                  <c:v>1.4500000000000001E-2</c:v>
                </c:pt>
                <c:pt idx="17">
                  <c:v>1.46E-2</c:v>
                </c:pt>
                <c:pt idx="18">
                  <c:v>1.44E-2</c:v>
                </c:pt>
                <c:pt idx="19">
                  <c:v>1.41E-2</c:v>
                </c:pt>
                <c:pt idx="20">
                  <c:v>1.4E-2</c:v>
                </c:pt>
                <c:pt idx="21">
                  <c:v>1.43E-2</c:v>
                </c:pt>
                <c:pt idx="22">
                  <c:v>1.4999999999999999E-2</c:v>
                </c:pt>
                <c:pt idx="23">
                  <c:v>1.6E-2</c:v>
                </c:pt>
                <c:pt idx="24">
                  <c:v>1.7399999999999999E-2</c:v>
                </c:pt>
                <c:pt idx="25">
                  <c:v>1.89E-2</c:v>
                </c:pt>
                <c:pt idx="26">
                  <c:v>2.06E-2</c:v>
                </c:pt>
                <c:pt idx="27">
                  <c:v>2.24E-2</c:v>
                </c:pt>
                <c:pt idx="28">
                  <c:v>2.41E-2</c:v>
                </c:pt>
                <c:pt idx="29">
                  <c:v>2.5399999999999999E-2</c:v>
                </c:pt>
                <c:pt idx="30">
                  <c:v>2.6100000000000002E-2</c:v>
                </c:pt>
                <c:pt idx="31">
                  <c:v>2.58E-2</c:v>
                </c:pt>
                <c:pt idx="32">
                  <c:v>2.47E-2</c:v>
                </c:pt>
                <c:pt idx="33">
                  <c:v>2.3300000000000001E-2</c:v>
                </c:pt>
                <c:pt idx="34">
                  <c:v>2.23E-2</c:v>
                </c:pt>
                <c:pt idx="35">
                  <c:v>2.1899999999999999E-2</c:v>
                </c:pt>
                <c:pt idx="36">
                  <c:v>2.23E-2</c:v>
                </c:pt>
                <c:pt idx="37">
                  <c:v>2.3400000000000001E-2</c:v>
                </c:pt>
                <c:pt idx="38">
                  <c:v>2.4799999999999999E-2</c:v>
                </c:pt>
                <c:pt idx="39">
                  <c:v>2.6200000000000001E-2</c:v>
                </c:pt>
                <c:pt idx="40">
                  <c:v>2.7199999999999998E-2</c:v>
                </c:pt>
                <c:pt idx="41">
                  <c:v>2.76E-2</c:v>
                </c:pt>
                <c:pt idx="42">
                  <c:v>2.7300000000000001E-2</c:v>
                </c:pt>
                <c:pt idx="43">
                  <c:v>2.6599999999999999E-2</c:v>
                </c:pt>
                <c:pt idx="44">
                  <c:v>2.5700000000000001E-2</c:v>
                </c:pt>
                <c:pt idx="45">
                  <c:v>2.5100000000000001E-2</c:v>
                </c:pt>
                <c:pt idx="46">
                  <c:v>2.4899999999999999E-2</c:v>
                </c:pt>
                <c:pt idx="47">
                  <c:v>2.5100000000000001E-2</c:v>
                </c:pt>
                <c:pt idx="48">
                  <c:v>2.53E-2</c:v>
                </c:pt>
                <c:pt idx="49">
                  <c:v>2.5499999999999998E-2</c:v>
                </c:pt>
                <c:pt idx="50">
                  <c:v>2.5600000000000001E-2</c:v>
                </c:pt>
                <c:pt idx="51">
                  <c:v>2.5600000000000001E-2</c:v>
                </c:pt>
                <c:pt idx="52">
                  <c:v>2.5600000000000001E-2</c:v>
                </c:pt>
                <c:pt idx="53">
                  <c:v>2.5499999999999998E-2</c:v>
                </c:pt>
                <c:pt idx="54">
                  <c:v>2.5600000000000001E-2</c:v>
                </c:pt>
                <c:pt idx="55">
                  <c:v>2.5700000000000001E-2</c:v>
                </c:pt>
                <c:pt idx="56">
                  <c:v>2.5999999999999999E-2</c:v>
                </c:pt>
                <c:pt idx="57">
                  <c:v>2.6599999999999999E-2</c:v>
                </c:pt>
                <c:pt idx="58">
                  <c:v>2.7400000000000001E-2</c:v>
                </c:pt>
                <c:pt idx="59">
                  <c:v>2.81E-2</c:v>
                </c:pt>
                <c:pt idx="60">
                  <c:v>2.8400000000000002E-2</c:v>
                </c:pt>
                <c:pt idx="61">
                  <c:v>2.8000000000000001E-2</c:v>
                </c:pt>
                <c:pt idx="62">
                  <c:v>2.7300000000000001E-2</c:v>
                </c:pt>
                <c:pt idx="63">
                  <c:v>2.6499999999999999E-2</c:v>
                </c:pt>
                <c:pt idx="64">
                  <c:v>2.5700000000000001E-2</c:v>
                </c:pt>
                <c:pt idx="65">
                  <c:v>2.5000000000000001E-2</c:v>
                </c:pt>
                <c:pt idx="66">
                  <c:v>2.4400000000000002E-2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42-4E14-A5B6-ABFD75C1E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40817"/>
        <c:axId val="1549029010"/>
      </c:lineChart>
      <c:catAx>
        <c:axId val="100140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9029010"/>
        <c:crosses val="autoZero"/>
        <c:auto val="1"/>
        <c:lblAlgn val="ctr"/>
        <c:lblOffset val="100"/>
        <c:noMultiLvlLbl val="1"/>
      </c:catAx>
      <c:valAx>
        <c:axId val="1549029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1408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Selaja!$C$1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Selaja!$C$2:$C$67</c:f>
              <c:numCache>
                <c:formatCode>#,##0</c:formatCode>
                <c:ptCount val="66"/>
                <c:pt idx="0">
                  <c:v>31644961.407579832</c:v>
                </c:pt>
                <c:pt idx="1">
                  <c:v>31134357.937406369</c:v>
                </c:pt>
                <c:pt idx="2">
                  <c:v>30616931.790152788</c:v>
                </c:pt>
                <c:pt idx="3">
                  <c:v>30099225.118121102</c:v>
                </c:pt>
                <c:pt idx="4">
                  <c:v>29601912.980056163</c:v>
                </c:pt>
                <c:pt idx="5">
                  <c:v>29150086.637179874</c:v>
                </c:pt>
                <c:pt idx="6">
                  <c:v>28744785.166334558</c:v>
                </c:pt>
                <c:pt idx="7">
                  <c:v>28367497.450246282</c:v>
                </c:pt>
                <c:pt idx="8">
                  <c:v>28003452.566876885</c:v>
                </c:pt>
                <c:pt idx="9">
                  <c:v>27652268.753704835</c:v>
                </c:pt>
                <c:pt idx="10">
                  <c:v>27310882.71970848</c:v>
                </c:pt>
                <c:pt idx="11">
                  <c:v>26976375.661505807</c:v>
                </c:pt>
                <c:pt idx="12">
                  <c:v>26640702.806148339</c:v>
                </c:pt>
                <c:pt idx="13">
                  <c:v>26296222.294095684</c:v>
                </c:pt>
                <c:pt idx="14">
                  <c:v>25943392.160710026</c:v>
                </c:pt>
                <c:pt idx="15">
                  <c:v>25580153.974275317</c:v>
                </c:pt>
                <c:pt idx="16">
                  <c:v>25214543.099334963</c:v>
                </c:pt>
                <c:pt idx="17">
                  <c:v>24851708.160196099</c:v>
                </c:pt>
                <c:pt idx="18">
                  <c:v>24498923.65949931</c:v>
                </c:pt>
                <c:pt idx="19">
                  <c:v>24158291.74588237</c:v>
                </c:pt>
                <c:pt idx="20">
                  <c:v>23824745.311521076</c:v>
                </c:pt>
                <c:pt idx="21">
                  <c:v>23488854.689461771</c:v>
                </c:pt>
                <c:pt idx="22">
                  <c:v>23141728.758090418</c:v>
                </c:pt>
                <c:pt idx="23">
                  <c:v>22777292.084734663</c:v>
                </c:pt>
                <c:pt idx="24">
                  <c:v>22387745.316232219</c:v>
                </c:pt>
                <c:pt idx="25">
                  <c:v>21972465.714233212</c:v>
                </c:pt>
                <c:pt idx="26">
                  <c:v>21528968.953785237</c:v>
                </c:pt>
                <c:pt idx="27">
                  <c:v>21057285.752919834</c:v>
                </c:pt>
                <c:pt idx="28">
                  <c:v>20561747.634918302</c:v>
                </c:pt>
                <c:pt idx="29">
                  <c:v>20052416.261866882</c:v>
                </c:pt>
                <c:pt idx="30">
                  <c:v>19542360.648929816</c:v>
                </c:pt>
                <c:pt idx="31">
                  <c:v>19050848.751150142</c:v>
                </c:pt>
                <c:pt idx="32">
                  <c:v>18591635.357812181</c:v>
                </c:pt>
                <c:pt idx="33">
                  <c:v>18168313.64977248</c:v>
                </c:pt>
                <c:pt idx="34">
                  <c:v>17771998.092313882</c:v>
                </c:pt>
                <c:pt idx="35">
                  <c:v>17391132.295052238</c:v>
                </c:pt>
                <c:pt idx="36">
                  <c:v>17011769.827890284</c:v>
                </c:pt>
                <c:pt idx="37">
                  <c:v>16622796.392310224</c:v>
                </c:pt>
                <c:pt idx="38">
                  <c:v>16220527.314900689</c:v>
                </c:pt>
                <c:pt idx="39">
                  <c:v>15806399.644222071</c:v>
                </c:pt>
                <c:pt idx="40">
                  <c:v>15387850.120932704</c:v>
                </c:pt>
                <c:pt idx="41">
                  <c:v>14974552.472686553</c:v>
                </c:pt>
                <c:pt idx="42">
                  <c:v>14576610.992588876</c:v>
                </c:pt>
                <c:pt idx="43">
                  <c:v>14198919.727828635</c:v>
                </c:pt>
                <c:pt idx="44">
                  <c:v>13843150.753464594</c:v>
                </c:pt>
                <c:pt idx="45">
                  <c:v>13504195.447726658</c:v>
                </c:pt>
                <c:pt idx="46">
                  <c:v>13176110.301226128</c:v>
                </c:pt>
                <c:pt idx="47">
                  <c:v>12853487.758488078</c:v>
                </c:pt>
                <c:pt idx="48">
                  <c:v>12536318.890556986</c:v>
                </c:pt>
                <c:pt idx="49">
                  <c:v>12224591.799665514</c:v>
                </c:pt>
                <c:pt idx="50">
                  <c:v>11919453.782825189</c:v>
                </c:pt>
                <c:pt idx="51">
                  <c:v>11621932.315547179</c:v>
                </c:pt>
                <c:pt idx="52">
                  <c:v>11331837.281149745</c:v>
                </c:pt>
                <c:pt idx="53">
                  <c:v>11050060.732471716</c:v>
                </c:pt>
                <c:pt idx="54">
                  <c:v>10774240.183767272</c:v>
                </c:pt>
                <c:pt idx="55">
                  <c:v>10504280.183062565</c:v>
                </c:pt>
                <c:pt idx="56">
                  <c:v>10238089.847039536</c:v>
                </c:pt>
                <c:pt idx="57">
                  <c:v>9972813.0206892025</c:v>
                </c:pt>
                <c:pt idx="58">
                  <c:v>9706845.4552162755</c:v>
                </c:pt>
                <c:pt idx="59">
                  <c:v>9441538.2309272196</c:v>
                </c:pt>
                <c:pt idx="60">
                  <c:v>9180803.4139704593</c:v>
                </c:pt>
                <c:pt idx="61">
                  <c:v>8930742.6205938309</c:v>
                </c:pt>
                <c:pt idx="62">
                  <c:v>8693412.4604242481</c:v>
                </c:pt>
                <c:pt idx="63">
                  <c:v>8468984.374499999</c:v>
                </c:pt>
                <c:pt idx="64">
                  <c:v>8256784.9999999991</c:v>
                </c:pt>
                <c:pt idx="65">
                  <c:v>8055400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E-4A71-8BA4-2817574E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9899911"/>
        <c:axId val="1257062069"/>
      </c:lineChart>
      <c:catAx>
        <c:axId val="1809899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7062069"/>
        <c:crosses val="autoZero"/>
        <c:auto val="1"/>
        <c:lblAlgn val="ctr"/>
        <c:lblOffset val="100"/>
        <c:noMultiLvlLbl val="1"/>
      </c:catAx>
      <c:valAx>
        <c:axId val="1257062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98999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Seytinemas!$D$1:$D$67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8.0000000000000002E-3</c:v>
                </c:pt>
                <c:pt idx="2">
                  <c:v>8.3000000000000001E-3</c:v>
                </c:pt>
                <c:pt idx="3">
                  <c:v>8.6999999999999994E-3</c:v>
                </c:pt>
                <c:pt idx="4">
                  <c:v>8.8999999999999999E-3</c:v>
                </c:pt>
                <c:pt idx="5">
                  <c:v>8.9999999999999993E-3</c:v>
                </c:pt>
                <c:pt idx="6">
                  <c:v>9.4999999999999998E-3</c:v>
                </c:pt>
                <c:pt idx="7">
                  <c:v>1.01E-2</c:v>
                </c:pt>
                <c:pt idx="8">
                  <c:v>1.03E-2</c:v>
                </c:pt>
                <c:pt idx="9">
                  <c:v>1.0699999999999999E-2</c:v>
                </c:pt>
                <c:pt idx="10">
                  <c:v>1.12E-2</c:v>
                </c:pt>
                <c:pt idx="11">
                  <c:v>1.15E-2</c:v>
                </c:pt>
                <c:pt idx="12">
                  <c:v>1.17E-2</c:v>
                </c:pt>
                <c:pt idx="13">
                  <c:v>1.2E-2</c:v>
                </c:pt>
                <c:pt idx="14">
                  <c:v>1.26E-2</c:v>
                </c:pt>
                <c:pt idx="15">
                  <c:v>1.34E-2</c:v>
                </c:pt>
                <c:pt idx="16">
                  <c:v>1.43E-2</c:v>
                </c:pt>
                <c:pt idx="17">
                  <c:v>1.5100000000000001E-2</c:v>
                </c:pt>
                <c:pt idx="18">
                  <c:v>1.5900000000000001E-2</c:v>
                </c:pt>
                <c:pt idx="19">
                  <c:v>1.6799999999999999E-2</c:v>
                </c:pt>
                <c:pt idx="20">
                  <c:v>1.7899999999999999E-2</c:v>
                </c:pt>
                <c:pt idx="21">
                  <c:v>1.9099999999999999E-2</c:v>
                </c:pt>
                <c:pt idx="22">
                  <c:v>2.0199999999999999E-2</c:v>
                </c:pt>
                <c:pt idx="23">
                  <c:v>2.12E-2</c:v>
                </c:pt>
                <c:pt idx="24">
                  <c:v>2.1899999999999999E-2</c:v>
                </c:pt>
                <c:pt idx="25">
                  <c:v>2.24E-2</c:v>
                </c:pt>
                <c:pt idx="26">
                  <c:v>2.2800000000000001E-2</c:v>
                </c:pt>
                <c:pt idx="27">
                  <c:v>2.3300000000000001E-2</c:v>
                </c:pt>
                <c:pt idx="28">
                  <c:v>2.3900000000000001E-2</c:v>
                </c:pt>
                <c:pt idx="29">
                  <c:v>2.4500000000000001E-2</c:v>
                </c:pt>
                <c:pt idx="30">
                  <c:v>2.5100000000000001E-2</c:v>
                </c:pt>
                <c:pt idx="31">
                  <c:v>2.58E-2</c:v>
                </c:pt>
                <c:pt idx="32">
                  <c:v>2.64E-2</c:v>
                </c:pt>
                <c:pt idx="33">
                  <c:v>2.6800000000000001E-2</c:v>
                </c:pt>
                <c:pt idx="34">
                  <c:v>2.7099999999999999E-2</c:v>
                </c:pt>
                <c:pt idx="35">
                  <c:v>2.7199999999999998E-2</c:v>
                </c:pt>
                <c:pt idx="36">
                  <c:v>2.7300000000000001E-2</c:v>
                </c:pt>
                <c:pt idx="37">
                  <c:v>2.76E-2</c:v>
                </c:pt>
                <c:pt idx="38">
                  <c:v>2.81E-2</c:v>
                </c:pt>
                <c:pt idx="39">
                  <c:v>2.8799999999999999E-2</c:v>
                </c:pt>
                <c:pt idx="40">
                  <c:v>2.9700000000000001E-2</c:v>
                </c:pt>
                <c:pt idx="41">
                  <c:v>3.0499999999999999E-2</c:v>
                </c:pt>
                <c:pt idx="42">
                  <c:v>3.1300000000000001E-2</c:v>
                </c:pt>
                <c:pt idx="43">
                  <c:v>3.2099999999999997E-2</c:v>
                </c:pt>
                <c:pt idx="44">
                  <c:v>3.27E-2</c:v>
                </c:pt>
                <c:pt idx="45">
                  <c:v>3.3300000000000003E-2</c:v>
                </c:pt>
                <c:pt idx="46">
                  <c:v>3.3799999999999997E-2</c:v>
                </c:pt>
                <c:pt idx="47">
                  <c:v>3.4200000000000001E-2</c:v>
                </c:pt>
                <c:pt idx="48">
                  <c:v>3.4299999999999997E-2</c:v>
                </c:pt>
                <c:pt idx="49">
                  <c:v>3.4000000000000002E-2</c:v>
                </c:pt>
                <c:pt idx="50">
                  <c:v>3.3399999999999999E-2</c:v>
                </c:pt>
                <c:pt idx="51">
                  <c:v>3.2599999999999997E-2</c:v>
                </c:pt>
                <c:pt idx="52">
                  <c:v>3.1800000000000002E-2</c:v>
                </c:pt>
                <c:pt idx="53">
                  <c:v>3.1099999999999999E-2</c:v>
                </c:pt>
                <c:pt idx="54">
                  <c:v>3.0599999999999999E-2</c:v>
                </c:pt>
                <c:pt idx="55">
                  <c:v>3.0599999999999999E-2</c:v>
                </c:pt>
                <c:pt idx="56">
                  <c:v>3.1199999999999999E-2</c:v>
                </c:pt>
                <c:pt idx="57">
                  <c:v>3.2399999999999998E-2</c:v>
                </c:pt>
                <c:pt idx="58">
                  <c:v>3.3700000000000001E-2</c:v>
                </c:pt>
                <c:pt idx="59">
                  <c:v>3.4700000000000002E-2</c:v>
                </c:pt>
                <c:pt idx="60">
                  <c:v>3.5099999999999999E-2</c:v>
                </c:pt>
                <c:pt idx="61">
                  <c:v>3.4700000000000002E-2</c:v>
                </c:pt>
                <c:pt idx="62">
                  <c:v>3.3399999999999999E-2</c:v>
                </c:pt>
                <c:pt idx="63">
                  <c:v>3.1399999999999997E-2</c:v>
                </c:pt>
                <c:pt idx="64">
                  <c:v>2.9399999999999999E-2</c:v>
                </c:pt>
                <c:pt idx="65">
                  <c:v>2.75E-2</c:v>
                </c:pt>
                <c:pt idx="66">
                  <c:v>2.5700000000000001E-2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B3-4D12-98FD-11BD626C2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036674"/>
        <c:axId val="1471948209"/>
      </c:lineChart>
      <c:catAx>
        <c:axId val="280036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1948209"/>
        <c:crosses val="autoZero"/>
        <c:auto val="1"/>
        <c:lblAlgn val="ctr"/>
        <c:lblOffset val="100"/>
        <c:noMultiLvlLbl val="1"/>
      </c:catAx>
      <c:valAx>
        <c:axId val="1471948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00366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Seytinemas!$C$1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Seytinemas!$C$2:$C$67</c:f>
              <c:numCache>
                <c:formatCode>#,##0</c:formatCode>
                <c:ptCount val="66"/>
                <c:pt idx="0">
                  <c:v>71957417.637829334</c:v>
                </c:pt>
                <c:pt idx="1">
                  <c:v>71386327.021656081</c:v>
                </c:pt>
                <c:pt idx="2">
                  <c:v>70798697.829669818</c:v>
                </c:pt>
                <c:pt idx="3">
                  <c:v>70188061.692941234</c:v>
                </c:pt>
                <c:pt idx="4">
                  <c:v>69568898.496323958</c:v>
                </c:pt>
                <c:pt idx="5">
                  <c:v>68948363.227278456</c:v>
                </c:pt>
                <c:pt idx="6">
                  <c:v>68299517.80810149</c:v>
                </c:pt>
                <c:pt idx="7">
                  <c:v>67616590.246610716</c:v>
                </c:pt>
                <c:pt idx="8">
                  <c:v>66927239.677928053</c:v>
                </c:pt>
                <c:pt idx="9">
                  <c:v>66218699.59229055</c:v>
                </c:pt>
                <c:pt idx="10">
                  <c:v>65485264.628451884</c:v>
                </c:pt>
                <c:pt idx="11">
                  <c:v>64740746.048889652</c:v>
                </c:pt>
                <c:pt idx="12">
                  <c:v>63992039.190362409</c:v>
                </c:pt>
                <c:pt idx="13">
                  <c:v>63233240.306682222</c:v>
                </c:pt>
                <c:pt idx="14">
                  <c:v>62446415.471738324</c:v>
                </c:pt>
                <c:pt idx="15">
                  <c:v>61620698.116970912</c:v>
                </c:pt>
                <c:pt idx="16">
                  <c:v>60751945.299192458</c:v>
                </c:pt>
                <c:pt idx="17">
                  <c:v>59848236.921675168</c:v>
                </c:pt>
                <c:pt idx="18">
                  <c:v>58911543.381902911</c:v>
                </c:pt>
                <c:pt idx="19">
                  <c:v>57938181.925553612</c:v>
                </c:pt>
                <c:pt idx="20">
                  <c:v>56919325.990326762</c:v>
                </c:pt>
                <c:pt idx="21">
                  <c:v>55852542.429915383</c:v>
                </c:pt>
                <c:pt idx="22">
                  <c:v>54746659.899936661</c:v>
                </c:pt>
                <c:pt idx="23">
                  <c:v>53610125.244747996</c:v>
                </c:pt>
                <c:pt idx="24">
                  <c:v>52461224.429736763</c:v>
                </c:pt>
                <c:pt idx="25">
                  <c:v>51311839.230963185</c:v>
                </c:pt>
                <c:pt idx="26">
                  <c:v>50168008.634105578</c:v>
                </c:pt>
                <c:pt idx="27">
                  <c:v>49025709.600415885</c:v>
                </c:pt>
                <c:pt idx="28">
                  <c:v>47881345.44429718</c:v>
                </c:pt>
                <c:pt idx="29">
                  <c:v>46736305.948557518</c:v>
                </c:pt>
                <c:pt idx="30">
                  <c:v>45591948.052441247</c:v>
                </c:pt>
                <c:pt idx="31">
                  <c:v>44445260.335778169</c:v>
                </c:pt>
                <c:pt idx="32">
                  <c:v>43302085.284273356</c:v>
                </c:pt>
                <c:pt idx="33">
                  <c:v>42171878.928976782</c:v>
                </c:pt>
                <c:pt idx="34">
                  <c:v>41059175.278918102</c:v>
                </c:pt>
                <c:pt idx="35">
                  <c:v>39971938.550348625</c:v>
                </c:pt>
                <c:pt idx="36">
                  <c:v>38909703.640950665</c:v>
                </c:pt>
                <c:pt idx="37">
                  <c:v>37864639.588313214</c:v>
                </c:pt>
                <c:pt idx="38">
                  <c:v>36829724.334513389</c:v>
                </c:pt>
                <c:pt idx="39">
                  <c:v>35798721.164962471</c:v>
                </c:pt>
                <c:pt idx="40">
                  <c:v>34766166.033759803</c:v>
                </c:pt>
                <c:pt idx="41">
                  <c:v>33737181.983270064</c:v>
                </c:pt>
                <c:pt idx="42">
                  <c:v>32713257.037981249</c:v>
                </c:pt>
                <c:pt idx="43">
                  <c:v>31695821.178162239</c:v>
                </c:pt>
                <c:pt idx="44">
                  <c:v>30692186.673924897</c:v>
                </c:pt>
                <c:pt idx="45">
                  <c:v>29703074.299743436</c:v>
                </c:pt>
                <c:pt idx="46">
                  <c:v>28731934.900119398</c:v>
                </c:pt>
                <c:pt idx="47">
                  <c:v>27781797.428079091</c:v>
                </c:pt>
                <c:pt idx="48">
                  <c:v>26860482.865782741</c:v>
                </c:pt>
                <c:pt idx="49">
                  <c:v>25977256.156462997</c:v>
                </c:pt>
                <c:pt idx="50">
                  <c:v>25137658.367005028</c:v>
                </c:pt>
                <c:pt idx="51">
                  <c:v>24344042.578931849</c:v>
                </c:pt>
                <c:pt idx="52">
                  <c:v>23593760.979775004</c:v>
                </c:pt>
                <c:pt idx="53">
                  <c:v>22882126.835200276</c:v>
                </c:pt>
                <c:pt idx="54">
                  <c:v>22202723.496216066</c:v>
                </c:pt>
                <c:pt idx="55">
                  <c:v>21543492.621983375</c:v>
                </c:pt>
                <c:pt idx="56">
                  <c:v>20891672.441799242</c:v>
                </c:pt>
                <c:pt idx="57">
                  <c:v>20236025.224524643</c:v>
                </c:pt>
                <c:pt idx="58">
                  <c:v>19576303.786905915</c:v>
                </c:pt>
                <c:pt idx="59">
                  <c:v>18919787.172036257</c:v>
                </c:pt>
                <c:pt idx="60">
                  <c:v>18278221.594083913</c:v>
                </c:pt>
                <c:pt idx="61">
                  <c:v>17665237.841001172</c:v>
                </c:pt>
                <c:pt idx="62">
                  <c:v>17094288.601704247</c:v>
                </c:pt>
                <c:pt idx="63">
                  <c:v>16573869.111600004</c:v>
                </c:pt>
                <c:pt idx="64">
                  <c:v>16100514.000000002</c:v>
                </c:pt>
                <c:pt idx="65">
                  <c:v>15669600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8-4631-B58B-328AAEC25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399061"/>
        <c:axId val="1627466363"/>
      </c:lineChart>
      <c:catAx>
        <c:axId val="195139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7466363"/>
        <c:crosses val="autoZero"/>
        <c:auto val="1"/>
        <c:lblAlgn val="ctr"/>
        <c:lblOffset val="100"/>
        <c:noMultiLvlLbl val="1"/>
      </c:catAx>
      <c:valAx>
        <c:axId val="1627466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13990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Shinam!$D$1:$D$67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2.9399999999999999E-2</c:v>
                </c:pt>
                <c:pt idx="2">
                  <c:v>2.9499999999999998E-2</c:v>
                </c:pt>
                <c:pt idx="3">
                  <c:v>2.9600000000000001E-2</c:v>
                </c:pt>
                <c:pt idx="4">
                  <c:v>2.9700000000000001E-2</c:v>
                </c:pt>
                <c:pt idx="5">
                  <c:v>2.9899999999999999E-2</c:v>
                </c:pt>
                <c:pt idx="6">
                  <c:v>3.0200000000000001E-2</c:v>
                </c:pt>
                <c:pt idx="7">
                  <c:v>3.0599999999999999E-2</c:v>
                </c:pt>
                <c:pt idx="8">
                  <c:v>3.1099999999999999E-2</c:v>
                </c:pt>
                <c:pt idx="9">
                  <c:v>3.1600000000000003E-2</c:v>
                </c:pt>
                <c:pt idx="10">
                  <c:v>3.2099999999999997E-2</c:v>
                </c:pt>
                <c:pt idx="11">
                  <c:v>3.2599999999999997E-2</c:v>
                </c:pt>
                <c:pt idx="12">
                  <c:v>3.3000000000000002E-2</c:v>
                </c:pt>
                <c:pt idx="13">
                  <c:v>3.3300000000000003E-2</c:v>
                </c:pt>
                <c:pt idx="14">
                  <c:v>3.3399999999999999E-2</c:v>
                </c:pt>
                <c:pt idx="15">
                  <c:v>3.32E-2</c:v>
                </c:pt>
                <c:pt idx="16">
                  <c:v>3.2899999999999999E-2</c:v>
                </c:pt>
                <c:pt idx="17">
                  <c:v>3.2500000000000001E-2</c:v>
                </c:pt>
                <c:pt idx="18">
                  <c:v>3.2099999999999997E-2</c:v>
                </c:pt>
                <c:pt idx="19">
                  <c:v>3.1600000000000003E-2</c:v>
                </c:pt>
                <c:pt idx="20">
                  <c:v>3.1099999999999999E-2</c:v>
                </c:pt>
                <c:pt idx="21">
                  <c:v>3.0599999999999999E-2</c:v>
                </c:pt>
                <c:pt idx="22">
                  <c:v>3.0300000000000001E-2</c:v>
                </c:pt>
                <c:pt idx="23">
                  <c:v>3.0200000000000001E-2</c:v>
                </c:pt>
                <c:pt idx="24">
                  <c:v>3.0499999999999999E-2</c:v>
                </c:pt>
                <c:pt idx="25">
                  <c:v>3.1099999999999999E-2</c:v>
                </c:pt>
                <c:pt idx="26">
                  <c:v>3.2199999999999999E-2</c:v>
                </c:pt>
                <c:pt idx="27">
                  <c:v>3.3599999999999998E-2</c:v>
                </c:pt>
                <c:pt idx="28">
                  <c:v>3.5099999999999999E-2</c:v>
                </c:pt>
                <c:pt idx="29">
                  <c:v>3.6600000000000001E-2</c:v>
                </c:pt>
                <c:pt idx="30">
                  <c:v>3.8100000000000002E-2</c:v>
                </c:pt>
                <c:pt idx="31">
                  <c:v>3.9399999999999998E-2</c:v>
                </c:pt>
                <c:pt idx="32">
                  <c:v>4.0300000000000002E-2</c:v>
                </c:pt>
                <c:pt idx="33">
                  <c:v>4.07E-2</c:v>
                </c:pt>
                <c:pt idx="34">
                  <c:v>4.07E-2</c:v>
                </c:pt>
                <c:pt idx="35">
                  <c:v>4.0399999999999998E-2</c:v>
                </c:pt>
                <c:pt idx="36">
                  <c:v>3.9699999999999999E-2</c:v>
                </c:pt>
                <c:pt idx="37">
                  <c:v>3.8899999999999997E-2</c:v>
                </c:pt>
                <c:pt idx="38">
                  <c:v>3.8100000000000002E-2</c:v>
                </c:pt>
                <c:pt idx="39">
                  <c:v>3.73E-2</c:v>
                </c:pt>
                <c:pt idx="40">
                  <c:v>3.6499999999999998E-2</c:v>
                </c:pt>
                <c:pt idx="41">
                  <c:v>3.5799999999999998E-2</c:v>
                </c:pt>
                <c:pt idx="42">
                  <c:v>3.5200000000000002E-2</c:v>
                </c:pt>
                <c:pt idx="43">
                  <c:v>3.4700000000000002E-2</c:v>
                </c:pt>
                <c:pt idx="44">
                  <c:v>3.4299999999999997E-2</c:v>
                </c:pt>
                <c:pt idx="45">
                  <c:v>3.39E-2</c:v>
                </c:pt>
                <c:pt idx="46">
                  <c:v>3.32E-2</c:v>
                </c:pt>
                <c:pt idx="47">
                  <c:v>3.2099999999999997E-2</c:v>
                </c:pt>
                <c:pt idx="48">
                  <c:v>3.0700000000000002E-2</c:v>
                </c:pt>
                <c:pt idx="49">
                  <c:v>2.9100000000000001E-2</c:v>
                </c:pt>
                <c:pt idx="50">
                  <c:v>2.75E-2</c:v>
                </c:pt>
                <c:pt idx="51">
                  <c:v>2.6100000000000002E-2</c:v>
                </c:pt>
                <c:pt idx="52">
                  <c:v>2.4899999999999999E-2</c:v>
                </c:pt>
                <c:pt idx="53">
                  <c:v>2.41E-2</c:v>
                </c:pt>
                <c:pt idx="54">
                  <c:v>2.3599999999999999E-2</c:v>
                </c:pt>
                <c:pt idx="55">
                  <c:v>2.3400000000000001E-2</c:v>
                </c:pt>
                <c:pt idx="56">
                  <c:v>2.3400000000000001E-2</c:v>
                </c:pt>
                <c:pt idx="57">
                  <c:v>2.3400000000000001E-2</c:v>
                </c:pt>
                <c:pt idx="58">
                  <c:v>2.3400000000000001E-2</c:v>
                </c:pt>
                <c:pt idx="59">
                  <c:v>2.3300000000000001E-2</c:v>
                </c:pt>
                <c:pt idx="60">
                  <c:v>2.29E-2</c:v>
                </c:pt>
                <c:pt idx="61">
                  <c:v>2.24E-2</c:v>
                </c:pt>
                <c:pt idx="62">
                  <c:v>2.1700000000000001E-2</c:v>
                </c:pt>
                <c:pt idx="63">
                  <c:v>2.1000000000000001E-2</c:v>
                </c:pt>
                <c:pt idx="64">
                  <c:v>2.0299999999999999E-2</c:v>
                </c:pt>
                <c:pt idx="65">
                  <c:v>1.9599999999999999E-2</c:v>
                </c:pt>
                <c:pt idx="66">
                  <c:v>1.89E-2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C6-4DBB-9F35-A3EE30FE9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967894"/>
        <c:axId val="375276282"/>
      </c:lineChart>
      <c:catAx>
        <c:axId val="1366967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5276282"/>
        <c:crosses val="autoZero"/>
        <c:auto val="1"/>
        <c:lblAlgn val="ctr"/>
        <c:lblOffset val="100"/>
        <c:noMultiLvlLbl val="1"/>
      </c:catAx>
      <c:valAx>
        <c:axId val="375276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69678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Shinam!$C$1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Shinam!$C$2:$C$67</c:f>
              <c:numCache>
                <c:formatCode>#,##0</c:formatCode>
                <c:ptCount val="66"/>
                <c:pt idx="0">
                  <c:v>31948416.67182257</c:v>
                </c:pt>
                <c:pt idx="1">
                  <c:v>31035959.463592935</c:v>
                </c:pt>
                <c:pt idx="2">
                  <c:v>30146633.767453067</c:v>
                </c:pt>
                <c:pt idx="3">
                  <c:v>29279947.326586116</c:v>
                </c:pt>
                <c:pt idx="4">
                  <c:v>28435415.486633111</c:v>
                </c:pt>
                <c:pt idx="5">
                  <c:v>27609880.072466366</c:v>
                </c:pt>
                <c:pt idx="6">
                  <c:v>26800504.826700024</c:v>
                </c:pt>
                <c:pt idx="7">
                  <c:v>26004759.195323136</c:v>
                </c:pt>
                <c:pt idx="8">
                  <c:v>25220404.611893259</c:v>
                </c:pt>
                <c:pt idx="9">
                  <c:v>24447852.47372359</c:v>
                </c:pt>
                <c:pt idx="10">
                  <c:v>23687484.229942437</c:v>
                </c:pt>
                <c:pt idx="11">
                  <c:v>22939651.588168155</c:v>
                </c:pt>
                <c:pt idx="12">
                  <c:v>22206826.319620676</c:v>
                </c:pt>
                <c:pt idx="13">
                  <c:v>21491170.347063459</c:v>
                </c:pt>
                <c:pt idx="14">
                  <c:v>20796565.073605049</c:v>
                </c:pt>
                <c:pt idx="15">
                  <c:v>20128305.336435396</c:v>
                </c:pt>
                <c:pt idx="16">
                  <c:v>19487177.206346594</c:v>
                </c:pt>
                <c:pt idx="17">
                  <c:v>18873779.37660687</c:v>
                </c:pt>
                <c:pt idx="18">
                  <c:v>18286773.93334645</c:v>
                </c:pt>
                <c:pt idx="19">
                  <c:v>17726612.963693727</c:v>
                </c:pt>
                <c:pt idx="20">
                  <c:v>17191943.520215042</c:v>
                </c:pt>
                <c:pt idx="21">
                  <c:v>16681489.928405823</c:v>
                </c:pt>
                <c:pt idx="22">
                  <c:v>16190905.491998276</c:v>
                </c:pt>
                <c:pt idx="23">
                  <c:v>15716274.016694114</c:v>
                </c:pt>
                <c:pt idx="24">
                  <c:v>15251115.008921994</c:v>
                </c:pt>
                <c:pt idx="25">
                  <c:v>14791111.443043347</c:v>
                </c:pt>
                <c:pt idx="26">
                  <c:v>14329695.255806383</c:v>
                </c:pt>
                <c:pt idx="27">
                  <c:v>13863869.249038681</c:v>
                </c:pt>
                <c:pt idx="28">
                  <c:v>13393748.67069721</c:v>
                </c:pt>
                <c:pt idx="29">
                  <c:v>12920845.717438946</c:v>
                </c:pt>
                <c:pt idx="30">
                  <c:v>12446629.146940513</c:v>
                </c:pt>
                <c:pt idx="31">
                  <c:v>11974821.191976633</c:v>
                </c:pt>
                <c:pt idx="32">
                  <c:v>11510930.685356755</c:v>
                </c:pt>
                <c:pt idx="33">
                  <c:v>11060757.841219136</c:v>
                </c:pt>
                <c:pt idx="34">
                  <c:v>10628190.488343554</c:v>
                </c:pt>
                <c:pt idx="35">
                  <c:v>10215484.898446321</c:v>
                </c:pt>
                <c:pt idx="36">
                  <c:v>9825415.8877044544</c:v>
                </c:pt>
                <c:pt idx="37">
                  <c:v>9457518.4211227782</c:v>
                </c:pt>
                <c:pt idx="38">
                  <c:v>9110411.7340552714</c:v>
                </c:pt>
                <c:pt idx="39">
                  <c:v>8782812.8160178065</c:v>
                </c:pt>
                <c:pt idx="40">
                  <c:v>8473529.0072530694</c:v>
                </c:pt>
                <c:pt idx="41">
                  <c:v>8180661.3315824186</c:v>
                </c:pt>
                <c:pt idx="42">
                  <c:v>7902493.5583292302</c:v>
                </c:pt>
                <c:pt idx="43">
                  <c:v>7637473.2370051518</c:v>
                </c:pt>
                <c:pt idx="44">
                  <c:v>7384195.3369478406</c:v>
                </c:pt>
                <c:pt idx="45">
                  <c:v>7142078.8634760035</c:v>
                </c:pt>
                <c:pt idx="46">
                  <c:v>6912581.1686759619</c:v>
                </c:pt>
                <c:pt idx="47">
                  <c:v>6697588.5754054468</c:v>
                </c:pt>
                <c:pt idx="48">
                  <c:v>6498096.9975797487</c:v>
                </c:pt>
                <c:pt idx="49">
                  <c:v>6314349.4291903116</c:v>
                </c:pt>
                <c:pt idx="50">
                  <c:v>6145352.2425209843</c:v>
                </c:pt>
                <c:pt idx="51">
                  <c:v>5989038.3418000042</c:v>
                </c:pt>
                <c:pt idx="52">
                  <c:v>5843534.3368133521</c:v>
                </c:pt>
                <c:pt idx="53">
                  <c:v>5706019.2723497236</c:v>
                </c:pt>
                <c:pt idx="54">
                  <c:v>5574461.9698610036</c:v>
                </c:pt>
                <c:pt idx="55">
                  <c:v>5447002.1202472178</c:v>
                </c:pt>
                <c:pt idx="56">
                  <c:v>5322456.6349884868</c:v>
                </c:pt>
                <c:pt idx="57">
                  <c:v>5200758.8772605881</c:v>
                </c:pt>
                <c:pt idx="58">
                  <c:v>5081843.7338876175</c:v>
                </c:pt>
                <c:pt idx="59">
                  <c:v>4966132.838744862</c:v>
                </c:pt>
                <c:pt idx="60">
                  <c:v>4854954.3833657857</c:v>
                </c:pt>
                <c:pt idx="61">
                  <c:v>4748586.0557177095</c:v>
                </c:pt>
                <c:pt idx="62">
                  <c:v>4647730.3080333844</c:v>
                </c:pt>
                <c:pt idx="63">
                  <c:v>4552135.4633040009</c:v>
                </c:pt>
                <c:pt idx="64">
                  <c:v>4461565.6800000006</c:v>
                </c:pt>
                <c:pt idx="65">
                  <c:v>4375800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A-43C5-8F45-523E240A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575706"/>
        <c:axId val="1921408947"/>
      </c:lineChart>
      <c:catAx>
        <c:axId val="380575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1408947"/>
        <c:crosses val="autoZero"/>
        <c:auto val="1"/>
        <c:lblAlgn val="ctr"/>
        <c:lblOffset val="100"/>
        <c:noMultiLvlLbl val="1"/>
      </c:catAx>
      <c:valAx>
        <c:axId val="1921408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0575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Shomjind!$D$1:$D$67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2.1000000000000001E-2</c:v>
                </c:pt>
                <c:pt idx="2">
                  <c:v>2.1100000000000001E-2</c:v>
                </c:pt>
                <c:pt idx="3">
                  <c:v>2.1399999999999999E-2</c:v>
                </c:pt>
                <c:pt idx="4">
                  <c:v>2.1700000000000001E-2</c:v>
                </c:pt>
                <c:pt idx="5">
                  <c:v>2.2100000000000002E-2</c:v>
                </c:pt>
                <c:pt idx="6">
                  <c:v>2.2599999999999999E-2</c:v>
                </c:pt>
                <c:pt idx="7">
                  <c:v>2.3E-2</c:v>
                </c:pt>
                <c:pt idx="8">
                  <c:v>2.35E-2</c:v>
                </c:pt>
                <c:pt idx="9">
                  <c:v>2.4E-2</c:v>
                </c:pt>
                <c:pt idx="10">
                  <c:v>2.4500000000000001E-2</c:v>
                </c:pt>
                <c:pt idx="11">
                  <c:v>2.4899999999999999E-2</c:v>
                </c:pt>
                <c:pt idx="12">
                  <c:v>2.53E-2</c:v>
                </c:pt>
                <c:pt idx="13">
                  <c:v>2.5700000000000001E-2</c:v>
                </c:pt>
                <c:pt idx="14">
                  <c:v>2.6100000000000002E-2</c:v>
                </c:pt>
                <c:pt idx="15">
                  <c:v>2.6599999999999999E-2</c:v>
                </c:pt>
                <c:pt idx="16">
                  <c:v>2.7199999999999998E-2</c:v>
                </c:pt>
                <c:pt idx="17">
                  <c:v>2.7900000000000001E-2</c:v>
                </c:pt>
                <c:pt idx="18">
                  <c:v>2.87E-2</c:v>
                </c:pt>
                <c:pt idx="19">
                  <c:v>2.9499999999999998E-2</c:v>
                </c:pt>
                <c:pt idx="20">
                  <c:v>3.0300000000000001E-2</c:v>
                </c:pt>
                <c:pt idx="21">
                  <c:v>3.1199999999999999E-2</c:v>
                </c:pt>
                <c:pt idx="22">
                  <c:v>3.2099999999999997E-2</c:v>
                </c:pt>
                <c:pt idx="23">
                  <c:v>3.2899999999999999E-2</c:v>
                </c:pt>
                <c:pt idx="24">
                  <c:v>3.3700000000000001E-2</c:v>
                </c:pt>
                <c:pt idx="25">
                  <c:v>3.4200000000000001E-2</c:v>
                </c:pt>
                <c:pt idx="26">
                  <c:v>3.44E-2</c:v>
                </c:pt>
                <c:pt idx="27">
                  <c:v>3.4200000000000001E-2</c:v>
                </c:pt>
                <c:pt idx="28">
                  <c:v>3.3700000000000001E-2</c:v>
                </c:pt>
                <c:pt idx="29">
                  <c:v>3.3099999999999997E-2</c:v>
                </c:pt>
                <c:pt idx="30">
                  <c:v>3.2599999999999997E-2</c:v>
                </c:pt>
                <c:pt idx="31">
                  <c:v>3.2099999999999997E-2</c:v>
                </c:pt>
                <c:pt idx="32">
                  <c:v>3.1800000000000002E-2</c:v>
                </c:pt>
                <c:pt idx="33">
                  <c:v>3.1399999999999997E-2</c:v>
                </c:pt>
                <c:pt idx="34">
                  <c:v>3.09E-2</c:v>
                </c:pt>
                <c:pt idx="35">
                  <c:v>3.0200000000000001E-2</c:v>
                </c:pt>
                <c:pt idx="36">
                  <c:v>2.92E-2</c:v>
                </c:pt>
                <c:pt idx="37">
                  <c:v>2.81E-2</c:v>
                </c:pt>
                <c:pt idx="38">
                  <c:v>2.7199999999999998E-2</c:v>
                </c:pt>
                <c:pt idx="39">
                  <c:v>2.6599999999999999E-2</c:v>
                </c:pt>
                <c:pt idx="40">
                  <c:v>2.64E-2</c:v>
                </c:pt>
                <c:pt idx="41">
                  <c:v>2.6700000000000002E-2</c:v>
                </c:pt>
                <c:pt idx="42">
                  <c:v>2.7300000000000001E-2</c:v>
                </c:pt>
                <c:pt idx="43">
                  <c:v>2.81E-2</c:v>
                </c:pt>
                <c:pt idx="44">
                  <c:v>2.87E-2</c:v>
                </c:pt>
                <c:pt idx="45">
                  <c:v>2.92E-2</c:v>
                </c:pt>
                <c:pt idx="46">
                  <c:v>2.9499999999999998E-2</c:v>
                </c:pt>
                <c:pt idx="47">
                  <c:v>2.9399999999999999E-2</c:v>
                </c:pt>
                <c:pt idx="48">
                  <c:v>2.9100000000000001E-2</c:v>
                </c:pt>
                <c:pt idx="49">
                  <c:v>2.87E-2</c:v>
                </c:pt>
                <c:pt idx="50">
                  <c:v>2.8400000000000002E-2</c:v>
                </c:pt>
                <c:pt idx="51">
                  <c:v>2.8299999999999999E-2</c:v>
                </c:pt>
                <c:pt idx="52">
                  <c:v>2.8199999999999999E-2</c:v>
                </c:pt>
                <c:pt idx="53">
                  <c:v>2.8000000000000001E-2</c:v>
                </c:pt>
                <c:pt idx="54">
                  <c:v>2.7699999999999999E-2</c:v>
                </c:pt>
                <c:pt idx="55">
                  <c:v>2.7199999999999998E-2</c:v>
                </c:pt>
                <c:pt idx="56">
                  <c:v>2.6499999999999999E-2</c:v>
                </c:pt>
                <c:pt idx="57">
                  <c:v>2.58E-2</c:v>
                </c:pt>
                <c:pt idx="58">
                  <c:v>2.5100000000000001E-2</c:v>
                </c:pt>
                <c:pt idx="59">
                  <c:v>2.4500000000000001E-2</c:v>
                </c:pt>
                <c:pt idx="60">
                  <c:v>2.3800000000000002E-2</c:v>
                </c:pt>
                <c:pt idx="61">
                  <c:v>2.3099999999999999E-2</c:v>
                </c:pt>
                <c:pt idx="62">
                  <c:v>2.24E-2</c:v>
                </c:pt>
                <c:pt idx="63">
                  <c:v>2.1700000000000001E-2</c:v>
                </c:pt>
                <c:pt idx="64">
                  <c:v>2.1000000000000001E-2</c:v>
                </c:pt>
                <c:pt idx="65">
                  <c:v>2.0299999999999999E-2</c:v>
                </c:pt>
                <c:pt idx="66">
                  <c:v>1.9599999999999999E-2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D4-431B-AD16-F5BFE2A1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006257"/>
        <c:axId val="74296099"/>
      </c:lineChart>
      <c:catAx>
        <c:axId val="1285006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296099"/>
        <c:crosses val="autoZero"/>
        <c:auto val="1"/>
        <c:lblAlgn val="ctr"/>
        <c:lblOffset val="100"/>
        <c:noMultiLvlLbl val="1"/>
      </c:catAx>
      <c:valAx>
        <c:axId val="74296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50062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Shomjind!$C$1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Shomjind!$C$2:$C$67</c:f>
              <c:numCache>
                <c:formatCode>#,##0</c:formatCode>
                <c:ptCount val="66"/>
                <c:pt idx="0">
                  <c:v>2898593.7232139963</c:v>
                </c:pt>
                <c:pt idx="1">
                  <c:v>2838975.2431087135</c:v>
                </c:pt>
                <c:pt idx="2">
                  <c:v>2780310.6876003463</c:v>
                </c:pt>
                <c:pt idx="3">
                  <c:v>2722058.6328572021</c:v>
                </c:pt>
                <c:pt idx="4">
                  <c:v>2664244.526629345</c:v>
                </c:pt>
                <c:pt idx="5">
                  <c:v>2606637.8305736668</c:v>
                </c:pt>
                <c:pt idx="6">
                  <c:v>2549029.7580419197</c:v>
                </c:pt>
                <c:pt idx="7">
                  <c:v>2491720.1935893646</c:v>
                </c:pt>
                <c:pt idx="8">
                  <c:v>2434509.2267604927</c:v>
                </c:pt>
                <c:pt idx="9">
                  <c:v>2377450.4167582938</c:v>
                </c:pt>
                <c:pt idx="10">
                  <c:v>2320595.8191881832</c:v>
                </c:pt>
                <c:pt idx="11">
                  <c:v>2264216.8203611895</c:v>
                </c:pt>
                <c:pt idx="12">
                  <c:v>2208345.6747890268</c:v>
                </c:pt>
                <c:pt idx="13">
                  <c:v>2153013.2346583083</c:v>
                </c:pt>
                <c:pt idx="14">
                  <c:v>2098248.9373923675</c:v>
                </c:pt>
                <c:pt idx="15">
                  <c:v>2043881.6845824737</c:v>
                </c:pt>
                <c:pt idx="16">
                  <c:v>1989760.206953343</c:v>
                </c:pt>
                <c:pt idx="17">
                  <c:v>1935752.7064435673</c:v>
                </c:pt>
                <c:pt idx="18">
                  <c:v>1881746.579608795</c:v>
                </c:pt>
                <c:pt idx="19">
                  <c:v>1827825.7208438998</c:v>
                </c:pt>
                <c:pt idx="20">
                  <c:v>1774071.3586760166</c:v>
                </c:pt>
                <c:pt idx="21">
                  <c:v>1720395.0336268588</c:v>
                </c:pt>
                <c:pt idx="22">
                  <c:v>1666887.93104046</c:v>
                </c:pt>
                <c:pt idx="23">
                  <c:v>1613794.1049864073</c:v>
                </c:pt>
                <c:pt idx="24">
                  <c:v>1561182.2627323277</c:v>
                </c:pt>
                <c:pt idx="25">
                  <c:v>1509555.4658019026</c:v>
                </c:pt>
                <c:pt idx="26">
                  <c:v>1459353.6985710582</c:v>
                </c:pt>
                <c:pt idx="27">
                  <c:v>1411094.274387022</c:v>
                </c:pt>
                <c:pt idx="28">
                  <c:v>1365090.7172168153</c:v>
                </c:pt>
                <c:pt idx="29">
                  <c:v>1321353.9030266339</c:v>
                </c:pt>
                <c:pt idx="30">
                  <c:v>1279637.7135644334</c:v>
                </c:pt>
                <c:pt idx="31">
                  <c:v>1239838.8853448632</c:v>
                </c:pt>
                <c:pt idx="32">
                  <c:v>1201627.1422221973</c:v>
                </c:pt>
                <c:pt idx="33">
                  <c:v>1165044.7374657718</c:v>
                </c:pt>
                <c:pt idx="34">
                  <c:v>1130123.9086873333</c:v>
                </c:pt>
                <c:pt idx="35">
                  <c:v>1096994.6696634958</c:v>
                </c:pt>
                <c:pt idx="36">
                  <c:v>1065871.2297546598</c:v>
                </c:pt>
                <c:pt idx="37">
                  <c:v>1036738.8675757804</c:v>
                </c:pt>
                <c:pt idx="38">
                  <c:v>1009286.2807396617</c:v>
                </c:pt>
                <c:pt idx="39">
                  <c:v>983134.89259659231</c:v>
                </c:pt>
                <c:pt idx="40">
                  <c:v>957847.71297407674</c:v>
                </c:pt>
                <c:pt idx="41">
                  <c:v>932938.26139483473</c:v>
                </c:pt>
                <c:pt idx="42">
                  <c:v>908145.87890084169</c:v>
                </c:pt>
                <c:pt idx="43">
                  <c:v>883324.46153179812</c:v>
                </c:pt>
                <c:pt idx="44">
                  <c:v>858680.33589170617</c:v>
                </c:pt>
                <c:pt idx="45">
                  <c:v>834318.24319054245</c:v>
                </c:pt>
                <c:pt idx="46">
                  <c:v>810411.11528950208</c:v>
                </c:pt>
                <c:pt idx="47">
                  <c:v>787265.50931562274</c:v>
                </c:pt>
                <c:pt idx="48">
                  <c:v>765003.89594366227</c:v>
                </c:pt>
                <c:pt idx="49">
                  <c:v>743660.8301192401</c:v>
                </c:pt>
                <c:pt idx="50">
                  <c:v>723124.10552240384</c:v>
                </c:pt>
                <c:pt idx="51">
                  <c:v>703222.89752251667</c:v>
                </c:pt>
                <c:pt idx="52">
                  <c:v>683935.90500147501</c:v>
                </c:pt>
                <c:pt idx="53">
                  <c:v>665307.30058509239</c:v>
                </c:pt>
                <c:pt idx="54">
                  <c:v>647375.01273240475</c:v>
                </c:pt>
                <c:pt idx="55">
                  <c:v>630232.68373481778</c:v>
                </c:pt>
                <c:pt idx="56">
                  <c:v>613962.67290289118</c:v>
                </c:pt>
                <c:pt idx="57">
                  <c:v>598520.83535083954</c:v>
                </c:pt>
                <c:pt idx="58">
                  <c:v>583865.80367850896</c:v>
                </c:pt>
                <c:pt idx="59">
                  <c:v>569903.17586970131</c:v>
                </c:pt>
                <c:pt idx="60">
                  <c:v>556654.79182428331</c:v>
                </c:pt>
                <c:pt idx="61">
                  <c:v>544086.39607495198</c:v>
                </c:pt>
                <c:pt idx="62">
                  <c:v>532165.88035500003</c:v>
                </c:pt>
                <c:pt idx="63">
                  <c:v>520863.14999999997</c:v>
                </c:pt>
                <c:pt idx="64">
                  <c:v>510150</c:v>
                </c:pt>
                <c:pt idx="65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F-4402-B4A4-94CF0D47B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2580"/>
        <c:axId val="951804464"/>
      </c:lineChart>
      <c:catAx>
        <c:axId val="2612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1804464"/>
        <c:crosses val="autoZero"/>
        <c:auto val="1"/>
        <c:lblAlgn val="ctr"/>
        <c:lblOffset val="100"/>
        <c:noMultiLvlLbl val="1"/>
      </c:catAx>
      <c:valAx>
        <c:axId val="951804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25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Siana!$D$1:$D$67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6.7000000000000002E-3</c:v>
                </c:pt>
                <c:pt idx="2">
                  <c:v>5.8999999999999999E-3</c:v>
                </c:pt>
                <c:pt idx="3">
                  <c:v>4.3E-3</c:v>
                </c:pt>
                <c:pt idx="4">
                  <c:v>4.0000000000000001E-3</c:v>
                </c:pt>
                <c:pt idx="5">
                  <c:v>4.1000000000000003E-3</c:v>
                </c:pt>
                <c:pt idx="6">
                  <c:v>4.8999999999999998E-3</c:v>
                </c:pt>
                <c:pt idx="7">
                  <c:v>4.5999999999999999E-3</c:v>
                </c:pt>
                <c:pt idx="8">
                  <c:v>4.0000000000000001E-3</c:v>
                </c:pt>
                <c:pt idx="9">
                  <c:v>4.4000000000000003E-3</c:v>
                </c:pt>
                <c:pt idx="10">
                  <c:v>4.1999999999999997E-3</c:v>
                </c:pt>
                <c:pt idx="11">
                  <c:v>4.5999999999999999E-3</c:v>
                </c:pt>
                <c:pt idx="12">
                  <c:v>5.1999999999999998E-3</c:v>
                </c:pt>
                <c:pt idx="13">
                  <c:v>6.4999999999999997E-3</c:v>
                </c:pt>
                <c:pt idx="14">
                  <c:v>6.1000000000000004E-3</c:v>
                </c:pt>
                <c:pt idx="15">
                  <c:v>4.3E-3</c:v>
                </c:pt>
                <c:pt idx="16">
                  <c:v>4.8999999999999998E-3</c:v>
                </c:pt>
                <c:pt idx="17">
                  <c:v>3.5999999999999999E-3</c:v>
                </c:pt>
                <c:pt idx="18">
                  <c:v>4.7999999999999996E-3</c:v>
                </c:pt>
                <c:pt idx="19">
                  <c:v>4.4000000000000003E-3</c:v>
                </c:pt>
                <c:pt idx="20">
                  <c:v>2.0999999999999999E-3</c:v>
                </c:pt>
                <c:pt idx="21">
                  <c:v>2.2000000000000001E-3</c:v>
                </c:pt>
                <c:pt idx="22">
                  <c:v>2.5999999999999999E-3</c:v>
                </c:pt>
                <c:pt idx="23">
                  <c:v>2.9000000000000002E-3</c:v>
                </c:pt>
                <c:pt idx="24">
                  <c:v>3.0000000000000001E-3</c:v>
                </c:pt>
                <c:pt idx="25">
                  <c:v>3.0999999999999999E-3</c:v>
                </c:pt>
                <c:pt idx="26">
                  <c:v>3.0999999999999999E-3</c:v>
                </c:pt>
                <c:pt idx="27">
                  <c:v>2.8E-3</c:v>
                </c:pt>
                <c:pt idx="28">
                  <c:v>2.5999999999999999E-3</c:v>
                </c:pt>
                <c:pt idx="29">
                  <c:v>3.0000000000000001E-3</c:v>
                </c:pt>
                <c:pt idx="30">
                  <c:v>4.1000000000000003E-3</c:v>
                </c:pt>
                <c:pt idx="31">
                  <c:v>5.5999999999999999E-3</c:v>
                </c:pt>
                <c:pt idx="32">
                  <c:v>4.7000000000000002E-3</c:v>
                </c:pt>
                <c:pt idx="33">
                  <c:v>5.4000000000000003E-3</c:v>
                </c:pt>
                <c:pt idx="34">
                  <c:v>5.4999999999999997E-3</c:v>
                </c:pt>
                <c:pt idx="35">
                  <c:v>5.7999999999999996E-3</c:v>
                </c:pt>
                <c:pt idx="36">
                  <c:v>6.3E-3</c:v>
                </c:pt>
                <c:pt idx="37">
                  <c:v>6.8999999999999999E-3</c:v>
                </c:pt>
                <c:pt idx="38">
                  <c:v>7.4000000000000003E-3</c:v>
                </c:pt>
                <c:pt idx="39">
                  <c:v>7.7000000000000002E-3</c:v>
                </c:pt>
                <c:pt idx="40">
                  <c:v>8.0999999999999996E-3</c:v>
                </c:pt>
                <c:pt idx="41">
                  <c:v>8.5000000000000006E-3</c:v>
                </c:pt>
                <c:pt idx="42">
                  <c:v>9.1000000000000004E-3</c:v>
                </c:pt>
                <c:pt idx="43">
                  <c:v>9.1000000000000004E-3</c:v>
                </c:pt>
                <c:pt idx="44">
                  <c:v>1.0200000000000001E-2</c:v>
                </c:pt>
                <c:pt idx="45">
                  <c:v>9.5999999999999992E-3</c:v>
                </c:pt>
                <c:pt idx="46">
                  <c:v>1.01E-2</c:v>
                </c:pt>
                <c:pt idx="47">
                  <c:v>9.5999999999999992E-3</c:v>
                </c:pt>
                <c:pt idx="48">
                  <c:v>8.9999999999999993E-3</c:v>
                </c:pt>
                <c:pt idx="49">
                  <c:v>8.3999999999999995E-3</c:v>
                </c:pt>
                <c:pt idx="50">
                  <c:v>8.0000000000000002E-3</c:v>
                </c:pt>
                <c:pt idx="51">
                  <c:v>8.6E-3</c:v>
                </c:pt>
                <c:pt idx="52">
                  <c:v>8.0999999999999996E-3</c:v>
                </c:pt>
                <c:pt idx="53">
                  <c:v>8.0999999999999996E-3</c:v>
                </c:pt>
                <c:pt idx="54">
                  <c:v>8.0000000000000002E-3</c:v>
                </c:pt>
                <c:pt idx="55">
                  <c:v>7.7999999999999996E-3</c:v>
                </c:pt>
                <c:pt idx="56">
                  <c:v>8.0999999999999996E-3</c:v>
                </c:pt>
                <c:pt idx="57">
                  <c:v>8.0999999999999996E-3</c:v>
                </c:pt>
                <c:pt idx="58">
                  <c:v>8.0000000000000002E-3</c:v>
                </c:pt>
                <c:pt idx="59">
                  <c:v>7.7999999999999996E-3</c:v>
                </c:pt>
                <c:pt idx="60">
                  <c:v>7.4000000000000003E-3</c:v>
                </c:pt>
                <c:pt idx="61">
                  <c:v>7.0000000000000001E-3</c:v>
                </c:pt>
                <c:pt idx="62">
                  <c:v>7.7000000000000002E-3</c:v>
                </c:pt>
                <c:pt idx="63">
                  <c:v>7.4000000000000003E-3</c:v>
                </c:pt>
                <c:pt idx="64">
                  <c:v>8.2000000000000007E-3</c:v>
                </c:pt>
                <c:pt idx="65">
                  <c:v>8.0999999999999996E-3</c:v>
                </c:pt>
                <c:pt idx="66">
                  <c:v>8.0999999999999996E-3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40-41D8-B7F1-97FCADFDF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340028"/>
        <c:axId val="837646096"/>
      </c:lineChart>
      <c:catAx>
        <c:axId val="747340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37646096"/>
        <c:crosses val="autoZero"/>
        <c:auto val="1"/>
        <c:lblAlgn val="ctr"/>
        <c:lblOffset val="100"/>
        <c:noMultiLvlLbl val="1"/>
      </c:catAx>
      <c:valAx>
        <c:axId val="83764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3400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Siana!$C$1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Siana!$C$2:$C$67</c:f>
              <c:numCache>
                <c:formatCode>#,##0</c:formatCode>
                <c:ptCount val="66"/>
                <c:pt idx="0">
                  <c:v>39335963.012854345</c:v>
                </c:pt>
                <c:pt idx="1">
                  <c:v>39074166.099984452</c:v>
                </c:pt>
                <c:pt idx="2">
                  <c:v>38844980.713773191</c:v>
                </c:pt>
                <c:pt idx="3">
                  <c:v>38678662.465172946</c:v>
                </c:pt>
                <c:pt idx="4">
                  <c:v>38524564.208339587</c:v>
                </c:pt>
                <c:pt idx="5">
                  <c:v>38367258.448699914</c:v>
                </c:pt>
                <c:pt idx="6">
                  <c:v>38180175.588317163</c:v>
                </c:pt>
                <c:pt idx="7">
                  <c:v>38005350.97383751</c:v>
                </c:pt>
                <c:pt idx="8">
                  <c:v>37853935.232905887</c:v>
                </c:pt>
                <c:pt idx="9">
                  <c:v>37688107.559643455</c:v>
                </c:pt>
                <c:pt idx="10">
                  <c:v>37530479.545552135</c:v>
                </c:pt>
                <c:pt idx="11">
                  <c:v>37358629.848250188</c:v>
                </c:pt>
                <c:pt idx="12">
                  <c:v>37165369.924642049</c:v>
                </c:pt>
                <c:pt idx="13">
                  <c:v>36925355.116385542</c:v>
                </c:pt>
                <c:pt idx="14">
                  <c:v>36701476.112101719</c:v>
                </c:pt>
                <c:pt idx="15">
                  <c:v>36544335.469582513</c:v>
                </c:pt>
                <c:pt idx="16">
                  <c:v>36366141.376836017</c:v>
                </c:pt>
                <c:pt idx="17">
                  <c:v>36235692.882459164</c:v>
                </c:pt>
                <c:pt idx="18">
                  <c:v>36062592.43875315</c:v>
                </c:pt>
                <c:pt idx="19">
                  <c:v>35904612.14531377</c:v>
                </c:pt>
                <c:pt idx="20">
                  <c:v>35829370.467332371</c:v>
                </c:pt>
                <c:pt idx="21">
                  <c:v>35750718.88578365</c:v>
                </c:pt>
                <c:pt idx="22">
                  <c:v>35658008.064815134</c:v>
                </c:pt>
                <c:pt idx="23">
                  <c:v>35554898.858126573</c:v>
                </c:pt>
                <c:pt idx="24">
                  <c:v>35448553.198530987</c:v>
                </c:pt>
                <c:pt idx="25">
                  <c:v>35339002.29142756</c:v>
                </c:pt>
                <c:pt idx="26">
                  <c:v>35229789.942605481</c:v>
                </c:pt>
                <c:pt idx="27">
                  <c:v>35131421.961114362</c:v>
                </c:pt>
                <c:pt idx="28">
                  <c:v>35040317.136559308</c:v>
                </c:pt>
                <c:pt idx="29">
                  <c:v>34935510.604745075</c:v>
                </c:pt>
                <c:pt idx="30">
                  <c:v>34792859.879240192</c:v>
                </c:pt>
                <c:pt idx="31">
                  <c:v>34599104.891845852</c:v>
                </c:pt>
                <c:pt idx="32">
                  <c:v>34437249.817702651</c:v>
                </c:pt>
                <c:pt idx="33">
                  <c:v>34252287.465389542</c:v>
                </c:pt>
                <c:pt idx="34">
                  <c:v>34064930.348472938</c:v>
                </c:pt>
                <c:pt idx="35">
                  <c:v>33868493.088559292</c:v>
                </c:pt>
                <c:pt idx="36">
                  <c:v>33656457.406895846</c:v>
                </c:pt>
                <c:pt idx="37">
                  <c:v>33425819.254042953</c:v>
                </c:pt>
                <c:pt idx="38">
                  <c:v>33180285.143977515</c:v>
                </c:pt>
                <c:pt idx="39">
                  <c:v>32926749.175327491</c:v>
                </c:pt>
                <c:pt idx="40">
                  <c:v>32662185.47299622</c:v>
                </c:pt>
                <c:pt idx="41">
                  <c:v>32386896.84977315</c:v>
                </c:pt>
                <c:pt idx="42">
                  <c:v>32094833.861632291</c:v>
                </c:pt>
                <c:pt idx="43">
                  <c:v>31805404.679052908</c:v>
                </c:pt>
                <c:pt idx="44">
                  <c:v>31484265.174275301</c:v>
                </c:pt>
                <c:pt idx="45">
                  <c:v>31184890.228085678</c:v>
                </c:pt>
                <c:pt idx="46">
                  <c:v>30873072.198877022</c:v>
                </c:pt>
                <c:pt idx="47">
                  <c:v>30579508.91330925</c:v>
                </c:pt>
                <c:pt idx="48">
                  <c:v>30306748.179692026</c:v>
                </c:pt>
                <c:pt idx="49">
                  <c:v>30054292.125835013</c:v>
                </c:pt>
                <c:pt idx="50">
                  <c:v>29815765.997852195</c:v>
                </c:pt>
                <c:pt idx="51">
                  <c:v>29561536.781531028</c:v>
                </c:pt>
                <c:pt idx="52">
                  <c:v>29324012.282046452</c:v>
                </c:pt>
                <c:pt idx="53">
                  <c:v>29088396.272241298</c:v>
                </c:pt>
                <c:pt idx="54">
                  <c:v>28857535.984366369</c:v>
                </c:pt>
                <c:pt idx="55">
                  <c:v>28634189.307765793</c:v>
                </c:pt>
                <c:pt idx="56">
                  <c:v>28404115.968421578</c:v>
                </c:pt>
                <c:pt idx="57">
                  <c:v>28175891.249302231</c:v>
                </c:pt>
                <c:pt idx="58">
                  <c:v>27952273.064783961</c:v>
                </c:pt>
                <c:pt idx="59">
                  <c:v>27735932.789029531</c:v>
                </c:pt>
                <c:pt idx="60">
                  <c:v>27532194.549364235</c:v>
                </c:pt>
                <c:pt idx="61">
                  <c:v>27340808.887154158</c:v>
                </c:pt>
                <c:pt idx="62">
                  <c:v>27131893.308677342</c:v>
                </c:pt>
                <c:pt idx="63">
                  <c:v>26932592.126938</c:v>
                </c:pt>
                <c:pt idx="64">
                  <c:v>26713541.09</c:v>
                </c:pt>
                <c:pt idx="65">
                  <c:v>26498900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3-490A-9D60-EB873FC66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960160"/>
        <c:axId val="64448373"/>
      </c:lineChart>
      <c:catAx>
        <c:axId val="1615960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448373"/>
        <c:crosses val="autoZero"/>
        <c:auto val="1"/>
        <c:lblAlgn val="ctr"/>
        <c:lblOffset val="100"/>
        <c:noMultiLvlLbl val="1"/>
      </c:catAx>
      <c:valAx>
        <c:axId val="64448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5960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Sivoso!$D$1:$D$67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1.6999999999999999E-3</c:v>
                </c:pt>
                <c:pt idx="2">
                  <c:v>1.6000000000000001E-3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4.1000000000000003E-3</c:v>
                </c:pt>
                <c:pt idx="6">
                  <c:v>5.1000000000000004E-3</c:v>
                </c:pt>
                <c:pt idx="7">
                  <c:v>6.1999999999999998E-3</c:v>
                </c:pt>
                <c:pt idx="8">
                  <c:v>6.4999999999999997E-3</c:v>
                </c:pt>
                <c:pt idx="9">
                  <c:v>6.4000000000000003E-3</c:v>
                </c:pt>
                <c:pt idx="10">
                  <c:v>6.0000000000000001E-3</c:v>
                </c:pt>
                <c:pt idx="11">
                  <c:v>5.7000000000000002E-3</c:v>
                </c:pt>
                <c:pt idx="12">
                  <c:v>4.8999999999999998E-3</c:v>
                </c:pt>
                <c:pt idx="13">
                  <c:v>3.3999999999999998E-3</c:v>
                </c:pt>
                <c:pt idx="14">
                  <c:v>1.9E-3</c:v>
                </c:pt>
                <c:pt idx="15">
                  <c:v>1.1000000000000001E-3</c:v>
                </c:pt>
                <c:pt idx="16">
                  <c:v>1.1999999999999999E-3</c:v>
                </c:pt>
                <c:pt idx="17">
                  <c:v>1.8E-3</c:v>
                </c:pt>
                <c:pt idx="18">
                  <c:v>2.8999999999999998E-3</c:v>
                </c:pt>
                <c:pt idx="19">
                  <c:v>3.7000000000000002E-3</c:v>
                </c:pt>
                <c:pt idx="20">
                  <c:v>4.0000000000000001E-3</c:v>
                </c:pt>
                <c:pt idx="21">
                  <c:v>5.4000000000000003E-3</c:v>
                </c:pt>
                <c:pt idx="22">
                  <c:v>1.3899999999999999E-2</c:v>
                </c:pt>
                <c:pt idx="23">
                  <c:v>2.9100000000000001E-2</c:v>
                </c:pt>
                <c:pt idx="24">
                  <c:v>4.1399999999999999E-2</c:v>
                </c:pt>
                <c:pt idx="25">
                  <c:v>1.47E-2</c:v>
                </c:pt>
                <c:pt idx="26">
                  <c:v>1.41E-2</c:v>
                </c:pt>
                <c:pt idx="27">
                  <c:v>2.06E-2</c:v>
                </c:pt>
                <c:pt idx="28">
                  <c:v>2.1499999999999998E-2</c:v>
                </c:pt>
                <c:pt idx="29">
                  <c:v>2.24E-2</c:v>
                </c:pt>
                <c:pt idx="30">
                  <c:v>2.29E-2</c:v>
                </c:pt>
                <c:pt idx="31">
                  <c:v>2.24E-2</c:v>
                </c:pt>
                <c:pt idx="32">
                  <c:v>2.1499999999999998E-2</c:v>
                </c:pt>
                <c:pt idx="33">
                  <c:v>2.0500000000000001E-2</c:v>
                </c:pt>
                <c:pt idx="34">
                  <c:v>1.95E-2</c:v>
                </c:pt>
                <c:pt idx="35">
                  <c:v>1.8499999999999999E-2</c:v>
                </c:pt>
                <c:pt idx="36">
                  <c:v>1.7600000000000001E-2</c:v>
                </c:pt>
                <c:pt idx="37">
                  <c:v>1.6899999999999998E-2</c:v>
                </c:pt>
                <c:pt idx="38">
                  <c:v>1.6400000000000001E-2</c:v>
                </c:pt>
                <c:pt idx="39">
                  <c:v>1.6199999999999999E-2</c:v>
                </c:pt>
                <c:pt idx="40">
                  <c:v>1.6299999999999999E-2</c:v>
                </c:pt>
                <c:pt idx="41">
                  <c:v>1.6899999999999998E-2</c:v>
                </c:pt>
                <c:pt idx="42">
                  <c:v>1.7899999999999999E-2</c:v>
                </c:pt>
                <c:pt idx="43">
                  <c:v>1.9199999999999998E-2</c:v>
                </c:pt>
                <c:pt idx="44">
                  <c:v>2.0500000000000001E-2</c:v>
                </c:pt>
                <c:pt idx="45">
                  <c:v>2.1700000000000001E-2</c:v>
                </c:pt>
                <c:pt idx="46">
                  <c:v>2.29E-2</c:v>
                </c:pt>
                <c:pt idx="47">
                  <c:v>2.3900000000000001E-2</c:v>
                </c:pt>
                <c:pt idx="48">
                  <c:v>2.4899999999999999E-2</c:v>
                </c:pt>
                <c:pt idx="49">
                  <c:v>2.5899999999999999E-2</c:v>
                </c:pt>
                <c:pt idx="50">
                  <c:v>2.6800000000000001E-2</c:v>
                </c:pt>
                <c:pt idx="51">
                  <c:v>2.7699999999999999E-2</c:v>
                </c:pt>
                <c:pt idx="52">
                  <c:v>2.8400000000000002E-2</c:v>
                </c:pt>
                <c:pt idx="53">
                  <c:v>2.92E-2</c:v>
                </c:pt>
                <c:pt idx="54">
                  <c:v>2.9899999999999999E-2</c:v>
                </c:pt>
                <c:pt idx="55">
                  <c:v>3.0700000000000002E-2</c:v>
                </c:pt>
                <c:pt idx="56">
                  <c:v>3.1600000000000003E-2</c:v>
                </c:pt>
                <c:pt idx="57">
                  <c:v>3.2500000000000001E-2</c:v>
                </c:pt>
                <c:pt idx="58">
                  <c:v>3.3500000000000002E-2</c:v>
                </c:pt>
                <c:pt idx="59">
                  <c:v>3.4500000000000003E-2</c:v>
                </c:pt>
                <c:pt idx="60">
                  <c:v>3.5499999999999997E-2</c:v>
                </c:pt>
                <c:pt idx="61">
                  <c:v>3.6299999999999999E-2</c:v>
                </c:pt>
                <c:pt idx="62">
                  <c:v>3.6700000000000003E-2</c:v>
                </c:pt>
                <c:pt idx="63">
                  <c:v>3.6499999999999998E-2</c:v>
                </c:pt>
                <c:pt idx="64">
                  <c:v>3.5099999999999999E-2</c:v>
                </c:pt>
                <c:pt idx="65">
                  <c:v>3.2099999999999997E-2</c:v>
                </c:pt>
                <c:pt idx="66">
                  <c:v>2.8400000000000002E-2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2F-4B74-9F60-1EE2A5655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932481"/>
        <c:axId val="1773184090"/>
      </c:lineChart>
      <c:catAx>
        <c:axId val="1480932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3184090"/>
        <c:crosses val="autoZero"/>
        <c:auto val="1"/>
        <c:lblAlgn val="ctr"/>
        <c:lblOffset val="100"/>
        <c:noMultiLvlLbl val="1"/>
      </c:catAx>
      <c:valAx>
        <c:axId val="1773184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09324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Sivoso!$C$1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Sivoso!$C$2:$C$67</c:f>
              <c:numCache>
                <c:formatCode>#,##0</c:formatCode>
                <c:ptCount val="66"/>
                <c:pt idx="0">
                  <c:v>21995332.392196439</c:v>
                </c:pt>
                <c:pt idx="1">
                  <c:v>21958003.785760645</c:v>
                </c:pt>
                <c:pt idx="2">
                  <c:v>21922927.102396809</c:v>
                </c:pt>
                <c:pt idx="3">
                  <c:v>21879168.764867075</c:v>
                </c:pt>
                <c:pt idx="4">
                  <c:v>21813727.582120717</c:v>
                </c:pt>
                <c:pt idx="5">
                  <c:v>21724656.490509626</c:v>
                </c:pt>
                <c:pt idx="6">
                  <c:v>21614422.933548525</c:v>
                </c:pt>
                <c:pt idx="7">
                  <c:v>21481239.250197303</c:v>
                </c:pt>
                <c:pt idx="8">
                  <c:v>21342512.916241731</c:v>
                </c:pt>
                <c:pt idx="9">
                  <c:v>21206789.463674217</c:v>
                </c:pt>
                <c:pt idx="10">
                  <c:v>21080307.617966417</c:v>
                </c:pt>
                <c:pt idx="11">
                  <c:v>20960830.881939363</c:v>
                </c:pt>
                <c:pt idx="12">
                  <c:v>20858623.626171127</c:v>
                </c:pt>
                <c:pt idx="13">
                  <c:v>20787944.614481889</c:v>
                </c:pt>
                <c:pt idx="14">
                  <c:v>20748522.421880316</c:v>
                </c:pt>
                <c:pt idx="15">
                  <c:v>20725724.125342436</c:v>
                </c:pt>
                <c:pt idx="16">
                  <c:v>20700883.065663639</c:v>
                </c:pt>
                <c:pt idx="17">
                  <c:v>20663688.426495947</c:v>
                </c:pt>
                <c:pt idx="18">
                  <c:v>20603937.009169359</c:v>
                </c:pt>
                <c:pt idx="19">
                  <c:v>20527983.470329139</c:v>
                </c:pt>
                <c:pt idx="20">
                  <c:v>20446198.675626632</c:v>
                </c:pt>
                <c:pt idx="21">
                  <c:v>20336382.211683538</c:v>
                </c:pt>
                <c:pt idx="22">
                  <c:v>20057581.824325413</c:v>
                </c:pt>
                <c:pt idx="23">
                  <c:v>19490410.868064731</c:v>
                </c:pt>
                <c:pt idx="24">
                  <c:v>18715585.623261694</c:v>
                </c:pt>
                <c:pt idx="25">
                  <c:v>18444452.176270518</c:v>
                </c:pt>
                <c:pt idx="26">
                  <c:v>18188001.357134916</c:v>
                </c:pt>
                <c:pt idx="27">
                  <c:v>17820891.002483752</c:v>
                </c:pt>
                <c:pt idx="28">
                  <c:v>17445806.169832356</c:v>
                </c:pt>
                <c:pt idx="29">
                  <c:v>17063581.934499566</c:v>
                </c:pt>
                <c:pt idx="30">
                  <c:v>16681573.892364422</c:v>
                </c:pt>
                <c:pt idx="31">
                  <c:v>16316093.400199944</c:v>
                </c:pt>
                <c:pt idx="32">
                  <c:v>15972680.763778701</c:v>
                </c:pt>
                <c:pt idx="33">
                  <c:v>15651818.484839492</c:v>
                </c:pt>
                <c:pt idx="34">
                  <c:v>15352445.791897489</c:v>
                </c:pt>
                <c:pt idx="35">
                  <c:v>15073584.479035337</c:v>
                </c:pt>
                <c:pt idx="36">
                  <c:v>14812877.8292407</c:v>
                </c:pt>
                <c:pt idx="37">
                  <c:v>14566700.589281838</c:v>
                </c:pt>
                <c:pt idx="38">
                  <c:v>14331661.343252499</c:v>
                </c:pt>
                <c:pt idx="39">
                  <c:v>14103189.670588957</c:v>
                </c:pt>
                <c:pt idx="40">
                  <c:v>13876994.657668954</c:v>
                </c:pt>
                <c:pt idx="41">
                  <c:v>13646370.987972224</c:v>
                </c:pt>
                <c:pt idx="42">
                  <c:v>13406396.490787134</c:v>
                </c:pt>
                <c:pt idx="43">
                  <c:v>13153842.710740907</c:v>
                </c:pt>
                <c:pt idx="44">
                  <c:v>12889605.792004809</c:v>
                </c:pt>
                <c:pt idx="45">
                  <c:v>12615842.020167179</c:v>
                </c:pt>
                <c:pt idx="46">
                  <c:v>12333406.999870153</c:v>
                </c:pt>
                <c:pt idx="47">
                  <c:v>12045519.093534674</c:v>
                </c:pt>
                <c:pt idx="48">
                  <c:v>11752872.566625696</c:v>
                </c:pt>
                <c:pt idx="49">
                  <c:v>11456158.072546735</c:v>
                </c:pt>
                <c:pt idx="50">
                  <c:v>11157146.545137063</c:v>
                </c:pt>
                <c:pt idx="51">
                  <c:v>10856423.611109333</c:v>
                </c:pt>
                <c:pt idx="52">
                  <c:v>10556615.724532608</c:v>
                </c:pt>
                <c:pt idx="53">
                  <c:v>10257108.166082986</c:v>
                </c:pt>
                <c:pt idx="54">
                  <c:v>9959324.3674948886</c:v>
                </c:pt>
                <c:pt idx="55">
                  <c:v>9662680.0887696613</c:v>
                </c:pt>
                <c:pt idx="56">
                  <c:v>9366692.6025297213</c:v>
                </c:pt>
                <c:pt idx="57">
                  <c:v>9071857.2421595361</c:v>
                </c:pt>
                <c:pt idx="58">
                  <c:v>8777800.9116202574</c:v>
                </c:pt>
                <c:pt idx="59">
                  <c:v>8485066.1301307473</c:v>
                </c:pt>
                <c:pt idx="60">
                  <c:v>8194172.989020519</c:v>
                </c:pt>
                <c:pt idx="61">
                  <c:v>7907143.6736664278</c:v>
                </c:pt>
                <c:pt idx="62">
                  <c:v>7627224.5332945194</c:v>
                </c:pt>
                <c:pt idx="63">
                  <c:v>7358634.3784799995</c:v>
                </c:pt>
                <c:pt idx="64">
                  <c:v>7109104.7999999998</c:v>
                </c:pt>
                <c:pt idx="65">
                  <c:v>6888000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8-4811-A6AF-25062B415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869901"/>
        <c:axId val="1979516888"/>
      </c:lineChart>
      <c:catAx>
        <c:axId val="262869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9516888"/>
        <c:crosses val="autoZero"/>
        <c:auto val="1"/>
        <c:lblAlgn val="ctr"/>
        <c:lblOffset val="100"/>
        <c:noMultiLvlLbl val="1"/>
      </c:catAx>
      <c:valAx>
        <c:axId val="1979516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28699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Slyiaduun!$D$1:$D$67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5.4999999999999997E-3</c:v>
                </c:pt>
                <c:pt idx="2">
                  <c:v>5.5999999999999999E-3</c:v>
                </c:pt>
                <c:pt idx="3">
                  <c:v>5.8999999999999999E-3</c:v>
                </c:pt>
                <c:pt idx="4">
                  <c:v>6.1999999999999998E-3</c:v>
                </c:pt>
                <c:pt idx="5">
                  <c:v>6.1000000000000004E-3</c:v>
                </c:pt>
                <c:pt idx="6">
                  <c:v>5.7000000000000002E-3</c:v>
                </c:pt>
                <c:pt idx="7">
                  <c:v>5.1000000000000004E-3</c:v>
                </c:pt>
                <c:pt idx="8">
                  <c:v>4.4000000000000003E-3</c:v>
                </c:pt>
                <c:pt idx="9">
                  <c:v>4.1000000000000003E-3</c:v>
                </c:pt>
                <c:pt idx="10">
                  <c:v>4.1000000000000003E-3</c:v>
                </c:pt>
                <c:pt idx="11">
                  <c:v>4.4999999999999997E-3</c:v>
                </c:pt>
                <c:pt idx="12">
                  <c:v>5.0000000000000001E-3</c:v>
                </c:pt>
                <c:pt idx="13">
                  <c:v>5.3E-3</c:v>
                </c:pt>
                <c:pt idx="14">
                  <c:v>5.3E-3</c:v>
                </c:pt>
                <c:pt idx="15">
                  <c:v>5.0000000000000001E-3</c:v>
                </c:pt>
                <c:pt idx="16">
                  <c:v>4.5999999999999999E-3</c:v>
                </c:pt>
                <c:pt idx="17">
                  <c:v>4.3E-3</c:v>
                </c:pt>
                <c:pt idx="18">
                  <c:v>4.4000000000000003E-3</c:v>
                </c:pt>
                <c:pt idx="19">
                  <c:v>4.7999999999999996E-3</c:v>
                </c:pt>
                <c:pt idx="20">
                  <c:v>5.4999999999999997E-3</c:v>
                </c:pt>
                <c:pt idx="21">
                  <c:v>6.4999999999999997E-3</c:v>
                </c:pt>
                <c:pt idx="22">
                  <c:v>7.7999999999999996E-3</c:v>
                </c:pt>
                <c:pt idx="23">
                  <c:v>9.2999999999999992E-3</c:v>
                </c:pt>
                <c:pt idx="24">
                  <c:v>1.09E-2</c:v>
                </c:pt>
                <c:pt idx="25">
                  <c:v>1.23E-2</c:v>
                </c:pt>
                <c:pt idx="26">
                  <c:v>1.3299999999999999E-2</c:v>
                </c:pt>
                <c:pt idx="27">
                  <c:v>1.41E-2</c:v>
                </c:pt>
                <c:pt idx="28">
                  <c:v>1.47E-2</c:v>
                </c:pt>
                <c:pt idx="29">
                  <c:v>1.55E-2</c:v>
                </c:pt>
                <c:pt idx="30">
                  <c:v>1.6400000000000001E-2</c:v>
                </c:pt>
                <c:pt idx="31">
                  <c:v>1.7399999999999999E-2</c:v>
                </c:pt>
                <c:pt idx="32">
                  <c:v>1.84E-2</c:v>
                </c:pt>
                <c:pt idx="33">
                  <c:v>1.9300000000000001E-2</c:v>
                </c:pt>
                <c:pt idx="34">
                  <c:v>2.01E-2</c:v>
                </c:pt>
                <c:pt idx="35">
                  <c:v>2.0799999999999999E-2</c:v>
                </c:pt>
                <c:pt idx="36">
                  <c:v>2.1499999999999998E-2</c:v>
                </c:pt>
                <c:pt idx="37">
                  <c:v>2.2100000000000002E-2</c:v>
                </c:pt>
                <c:pt idx="38">
                  <c:v>2.2700000000000001E-2</c:v>
                </c:pt>
                <c:pt idx="39">
                  <c:v>2.3300000000000001E-2</c:v>
                </c:pt>
                <c:pt idx="40">
                  <c:v>2.4E-2</c:v>
                </c:pt>
                <c:pt idx="41">
                  <c:v>2.4799999999999999E-2</c:v>
                </c:pt>
                <c:pt idx="42">
                  <c:v>2.5499999999999998E-2</c:v>
                </c:pt>
                <c:pt idx="43">
                  <c:v>2.6200000000000001E-2</c:v>
                </c:pt>
                <c:pt idx="44">
                  <c:v>2.6700000000000002E-2</c:v>
                </c:pt>
                <c:pt idx="45">
                  <c:v>2.7199999999999998E-2</c:v>
                </c:pt>
                <c:pt idx="46">
                  <c:v>2.75E-2</c:v>
                </c:pt>
                <c:pt idx="47">
                  <c:v>2.7799999999999998E-2</c:v>
                </c:pt>
                <c:pt idx="48">
                  <c:v>2.81E-2</c:v>
                </c:pt>
                <c:pt idx="49">
                  <c:v>2.8299999999999999E-2</c:v>
                </c:pt>
                <c:pt idx="50">
                  <c:v>2.8400000000000002E-2</c:v>
                </c:pt>
                <c:pt idx="51">
                  <c:v>2.8400000000000002E-2</c:v>
                </c:pt>
                <c:pt idx="52">
                  <c:v>2.8299999999999999E-2</c:v>
                </c:pt>
                <c:pt idx="53">
                  <c:v>2.8199999999999999E-2</c:v>
                </c:pt>
                <c:pt idx="54">
                  <c:v>2.81E-2</c:v>
                </c:pt>
                <c:pt idx="55">
                  <c:v>2.81E-2</c:v>
                </c:pt>
                <c:pt idx="56">
                  <c:v>2.81E-2</c:v>
                </c:pt>
                <c:pt idx="57">
                  <c:v>2.8199999999999999E-2</c:v>
                </c:pt>
                <c:pt idx="58">
                  <c:v>2.8299999999999999E-2</c:v>
                </c:pt>
                <c:pt idx="59">
                  <c:v>2.8299999999999999E-2</c:v>
                </c:pt>
                <c:pt idx="60">
                  <c:v>2.8199999999999999E-2</c:v>
                </c:pt>
                <c:pt idx="61">
                  <c:v>2.8000000000000001E-2</c:v>
                </c:pt>
                <c:pt idx="62">
                  <c:v>2.76E-2</c:v>
                </c:pt>
                <c:pt idx="63">
                  <c:v>2.7E-2</c:v>
                </c:pt>
                <c:pt idx="64">
                  <c:v>2.6100000000000002E-2</c:v>
                </c:pt>
                <c:pt idx="65">
                  <c:v>2.5000000000000001E-2</c:v>
                </c:pt>
                <c:pt idx="66">
                  <c:v>2.3900000000000001E-2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F4-40AD-B066-ED155DF5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434292"/>
        <c:axId val="1688529220"/>
      </c:lineChart>
      <c:catAx>
        <c:axId val="1623434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8529220"/>
        <c:crosses val="autoZero"/>
        <c:auto val="1"/>
        <c:lblAlgn val="ctr"/>
        <c:lblOffset val="100"/>
        <c:noMultiLvlLbl val="1"/>
      </c:catAx>
      <c:valAx>
        <c:axId val="1688529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34342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Slyiaduun!$C$1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Slyiaduun!$C$2:$C$67</c:f>
              <c:numCache>
                <c:formatCode>#,##0</c:formatCode>
                <c:ptCount val="66"/>
                <c:pt idx="0">
                  <c:v>2166325.6440770118</c:v>
                </c:pt>
                <c:pt idx="1">
                  <c:v>2154476.0259343726</c:v>
                </c:pt>
                <c:pt idx="2">
                  <c:v>2142478.1483038706</c:v>
                </c:pt>
                <c:pt idx="3">
                  <c:v>2129911.6694540912</c:v>
                </c:pt>
                <c:pt idx="4">
                  <c:v>2116787.5864182976</c:v>
                </c:pt>
                <c:pt idx="5">
                  <c:v>2103953.4702497739</c:v>
                </c:pt>
                <c:pt idx="6">
                  <c:v>2092028.9054884894</c:v>
                </c:pt>
                <c:pt idx="7">
                  <c:v>2081413.6956407216</c:v>
                </c:pt>
                <c:pt idx="8">
                  <c:v>2072295.595022622</c:v>
                </c:pt>
                <c:pt idx="9">
                  <c:v>2063833.8761304871</c:v>
                </c:pt>
                <c:pt idx="10">
                  <c:v>2055406.7086251241</c:v>
                </c:pt>
                <c:pt idx="11">
                  <c:v>2046198.8139622938</c:v>
                </c:pt>
                <c:pt idx="12">
                  <c:v>2036018.7203604917</c:v>
                </c:pt>
                <c:pt idx="13">
                  <c:v>2025284.7113901239</c:v>
                </c:pt>
                <c:pt idx="14">
                  <c:v>2014607.2927386092</c:v>
                </c:pt>
                <c:pt idx="15">
                  <c:v>2004584.3708841885</c:v>
                </c:pt>
                <c:pt idx="16">
                  <c:v>1995405.505558619</c:v>
                </c:pt>
                <c:pt idx="17">
                  <c:v>1986861.9989630778</c:v>
                </c:pt>
                <c:pt idx="18">
                  <c:v>1978158.1033085203</c:v>
                </c:pt>
                <c:pt idx="19">
                  <c:v>1968708.3034519511</c:v>
                </c:pt>
                <c:pt idx="20">
                  <c:v>1957939.6354569378</c:v>
                </c:pt>
                <c:pt idx="21">
                  <c:v>1945295.2165493669</c:v>
                </c:pt>
                <c:pt idx="22">
                  <c:v>1930239.3496223129</c:v>
                </c:pt>
                <c:pt idx="23">
                  <c:v>1912453.5317767886</c:v>
                </c:pt>
                <c:pt idx="24">
                  <c:v>1891832.5569065078</c:v>
                </c:pt>
                <c:pt idx="25">
                  <c:v>1868845.7541307001</c:v>
                </c:pt>
                <c:pt idx="26">
                  <c:v>1844316.3467193327</c:v>
                </c:pt>
                <c:pt idx="27">
                  <c:v>1818673.0566209769</c:v>
                </c:pt>
                <c:pt idx="28">
                  <c:v>1792325.8663851158</c:v>
                </c:pt>
                <c:pt idx="29">
                  <c:v>1764968.8492221721</c:v>
                </c:pt>
                <c:pt idx="30">
                  <c:v>1736490.4065546754</c:v>
                </c:pt>
                <c:pt idx="31">
                  <c:v>1706792.2218937245</c:v>
                </c:pt>
                <c:pt idx="32">
                  <c:v>1675954.6562192896</c:v>
                </c:pt>
                <c:pt idx="33">
                  <c:v>1644221.1873043161</c:v>
                </c:pt>
                <c:pt idx="34">
                  <c:v>1611823.534265578</c:v>
                </c:pt>
                <c:pt idx="35">
                  <c:v>1578980.7349780351</c:v>
                </c:pt>
                <c:pt idx="36">
                  <c:v>1545747.1708057122</c:v>
                </c:pt>
                <c:pt idx="37">
                  <c:v>1512324.792882998</c:v>
                </c:pt>
                <c:pt idx="38">
                  <c:v>1478757.0087836101</c:v>
                </c:pt>
                <c:pt idx="39">
                  <c:v>1445086.4934854002</c:v>
                </c:pt>
                <c:pt idx="40">
                  <c:v>1411217.2787943361</c:v>
                </c:pt>
                <c:pt idx="41">
                  <c:v>1377066.0409780799</c:v>
                </c:pt>
                <c:pt idx="42">
                  <c:v>1342824.0282575132</c:v>
                </c:pt>
                <c:pt idx="43">
                  <c:v>1308540.2731022346</c:v>
                </c:pt>
                <c:pt idx="44">
                  <c:v>1274510.8338387404</c:v>
                </c:pt>
                <c:pt idx="45">
                  <c:v>1240762.1045937894</c:v>
                </c:pt>
                <c:pt idx="46">
                  <c:v>1207554.3597019848</c:v>
                </c:pt>
                <c:pt idx="47">
                  <c:v>1174892.3523078272</c:v>
                </c:pt>
                <c:pt idx="48">
                  <c:v>1142780.2279037323</c:v>
                </c:pt>
                <c:pt idx="49">
                  <c:v>1111329.600217575</c:v>
                </c:pt>
                <c:pt idx="50">
                  <c:v>1080639.4401182176</c:v>
                </c:pt>
                <c:pt idx="51">
                  <c:v>1050796.8106944941</c:v>
                </c:pt>
                <c:pt idx="52">
                  <c:v>1021877.6725610172</c:v>
                </c:pt>
                <c:pt idx="53">
                  <c:v>993851.07232154952</c:v>
                </c:pt>
                <c:pt idx="54">
                  <c:v>966687.16304012213</c:v>
                </c:pt>
                <c:pt idx="55">
                  <c:v>940265.69695566781</c:v>
                </c:pt>
                <c:pt idx="56">
                  <c:v>914566.38163181383</c:v>
                </c:pt>
                <c:pt idx="57">
                  <c:v>889482.96210057754</c:v>
                </c:pt>
                <c:pt idx="58">
                  <c:v>865003.36681958335</c:v>
                </c:pt>
                <c:pt idx="59">
                  <c:v>841197.47818689421</c:v>
                </c:pt>
                <c:pt idx="60">
                  <c:v>818126.31607361813</c:v>
                </c:pt>
                <c:pt idx="61">
                  <c:v>795842.71991597093</c:v>
                </c:pt>
                <c:pt idx="62">
                  <c:v>774467.41914749984</c:v>
                </c:pt>
                <c:pt idx="63">
                  <c:v>754106.54249999986</c:v>
                </c:pt>
                <c:pt idx="64">
                  <c:v>734924.99999999988</c:v>
                </c:pt>
                <c:pt idx="65">
                  <c:v>717000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C-43E4-B993-AAE57EEE5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212731"/>
        <c:axId val="349332857"/>
      </c:lineChart>
      <c:catAx>
        <c:axId val="491212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9332857"/>
        <c:crosses val="autoZero"/>
        <c:auto val="1"/>
        <c:lblAlgn val="ctr"/>
        <c:lblOffset val="100"/>
        <c:noMultiLvlLbl val="1"/>
      </c:catAx>
      <c:valAx>
        <c:axId val="349332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12127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Stinebar!$D$1:$D$67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-1.6000000000000001E-3</c:v>
                </c:pt>
                <c:pt idx="2">
                  <c:v>-1.2999999999999999E-3</c:v>
                </c:pt>
                <c:pt idx="3">
                  <c:v>-1.5E-3</c:v>
                </c:pt>
                <c:pt idx="4">
                  <c:v>-1.6000000000000001E-3</c:v>
                </c:pt>
                <c:pt idx="5">
                  <c:v>-1.5E-3</c:v>
                </c:pt>
                <c:pt idx="6">
                  <c:v>-1.1000000000000001E-3</c:v>
                </c:pt>
                <c:pt idx="7">
                  <c:v>-5.0000000000000001E-4</c:v>
                </c:pt>
                <c:pt idx="8">
                  <c:v>-1E-4</c:v>
                </c:pt>
                <c:pt idx="9">
                  <c:v>5.0000000000000001E-4</c:v>
                </c:pt>
                <c:pt idx="10">
                  <c:v>8.9999999999999998E-4</c:v>
                </c:pt>
                <c:pt idx="11">
                  <c:v>5.9999999999999995E-4</c:v>
                </c:pt>
                <c:pt idx="12">
                  <c:v>-2.9999999999999997E-4</c:v>
                </c:pt>
                <c:pt idx="13">
                  <c:v>-8.0000000000000004E-4</c:v>
                </c:pt>
                <c:pt idx="14">
                  <c:v>-8.9999999999999998E-4</c:v>
                </c:pt>
                <c:pt idx="15">
                  <c:v>-6.9999999999999999E-4</c:v>
                </c:pt>
                <c:pt idx="16">
                  <c:v>-1E-4</c:v>
                </c:pt>
                <c:pt idx="17">
                  <c:v>5.9999999999999995E-4</c:v>
                </c:pt>
                <c:pt idx="18">
                  <c:v>1E-3</c:v>
                </c:pt>
                <c:pt idx="19">
                  <c:v>1E-3</c:v>
                </c:pt>
                <c:pt idx="20">
                  <c:v>2.9999999999999997E-4</c:v>
                </c:pt>
                <c:pt idx="21">
                  <c:v>-1.1000000000000001E-3</c:v>
                </c:pt>
                <c:pt idx="22">
                  <c:v>-3.3999999999999998E-3</c:v>
                </c:pt>
                <c:pt idx="23">
                  <c:v>-6.1999999999999998E-3</c:v>
                </c:pt>
                <c:pt idx="24">
                  <c:v>-8.8999999999999999E-3</c:v>
                </c:pt>
                <c:pt idx="25">
                  <c:v>-1.12E-2</c:v>
                </c:pt>
                <c:pt idx="26">
                  <c:v>-1.32E-2</c:v>
                </c:pt>
                <c:pt idx="27">
                  <c:v>-1.4999999999999999E-2</c:v>
                </c:pt>
                <c:pt idx="28">
                  <c:v>-1.6299999999999999E-2</c:v>
                </c:pt>
                <c:pt idx="29">
                  <c:v>-1.7399999999999999E-2</c:v>
                </c:pt>
                <c:pt idx="30">
                  <c:v>-1.77E-2</c:v>
                </c:pt>
                <c:pt idx="31">
                  <c:v>-1.3299999999999999E-2</c:v>
                </c:pt>
                <c:pt idx="32">
                  <c:v>-5.4000000000000003E-3</c:v>
                </c:pt>
                <c:pt idx="33">
                  <c:v>2.3999999999999998E-3</c:v>
                </c:pt>
                <c:pt idx="34">
                  <c:v>9.9000000000000008E-3</c:v>
                </c:pt>
                <c:pt idx="35">
                  <c:v>1.72E-2</c:v>
                </c:pt>
                <c:pt idx="36">
                  <c:v>2.4799999999999999E-2</c:v>
                </c:pt>
                <c:pt idx="37">
                  <c:v>3.2599999999999997E-2</c:v>
                </c:pt>
                <c:pt idx="38">
                  <c:v>4.0800000000000003E-2</c:v>
                </c:pt>
                <c:pt idx="39">
                  <c:v>4.9200000000000001E-2</c:v>
                </c:pt>
                <c:pt idx="40">
                  <c:v>5.74E-2</c:v>
                </c:pt>
                <c:pt idx="41">
                  <c:v>6.5500000000000003E-2</c:v>
                </c:pt>
                <c:pt idx="42">
                  <c:v>7.2999999999999995E-2</c:v>
                </c:pt>
                <c:pt idx="43">
                  <c:v>7.8200000000000006E-2</c:v>
                </c:pt>
                <c:pt idx="44">
                  <c:v>8.0199999999999994E-2</c:v>
                </c:pt>
                <c:pt idx="45">
                  <c:v>7.6600000000000001E-2</c:v>
                </c:pt>
                <c:pt idx="46">
                  <c:v>6.59E-2</c:v>
                </c:pt>
                <c:pt idx="47">
                  <c:v>5.5599999999999997E-2</c:v>
                </c:pt>
                <c:pt idx="48">
                  <c:v>5.04E-2</c:v>
                </c:pt>
                <c:pt idx="49">
                  <c:v>5.4199999999999998E-2</c:v>
                </c:pt>
                <c:pt idx="50">
                  <c:v>6.6900000000000001E-2</c:v>
                </c:pt>
                <c:pt idx="51">
                  <c:v>7.2999999999999995E-2</c:v>
                </c:pt>
                <c:pt idx="52">
                  <c:v>5.6800000000000003E-2</c:v>
                </c:pt>
                <c:pt idx="53">
                  <c:v>3.7900000000000003E-2</c:v>
                </c:pt>
                <c:pt idx="54">
                  <c:v>2.6700000000000002E-2</c:v>
                </c:pt>
                <c:pt idx="55">
                  <c:v>2.1700000000000001E-2</c:v>
                </c:pt>
                <c:pt idx="56">
                  <c:v>1.8100000000000002E-2</c:v>
                </c:pt>
                <c:pt idx="57">
                  <c:v>1.5900000000000001E-2</c:v>
                </c:pt>
                <c:pt idx="58">
                  <c:v>1.6E-2</c:v>
                </c:pt>
                <c:pt idx="59">
                  <c:v>1.7100000000000001E-2</c:v>
                </c:pt>
                <c:pt idx="60">
                  <c:v>1.78E-2</c:v>
                </c:pt>
                <c:pt idx="61">
                  <c:v>1.61E-2</c:v>
                </c:pt>
                <c:pt idx="62">
                  <c:v>1.6299999999999999E-2</c:v>
                </c:pt>
                <c:pt idx="63">
                  <c:v>1.7000000000000001E-2</c:v>
                </c:pt>
                <c:pt idx="64">
                  <c:v>1.84E-2</c:v>
                </c:pt>
                <c:pt idx="65">
                  <c:v>1.9099999999999999E-2</c:v>
                </c:pt>
                <c:pt idx="66">
                  <c:v>1.9099999999999999E-2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8C-4A14-AB12-82EC62DE5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479370"/>
        <c:axId val="1966855063"/>
      </c:lineChart>
      <c:catAx>
        <c:axId val="207347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6855063"/>
        <c:crosses val="autoZero"/>
        <c:auto val="1"/>
        <c:lblAlgn val="ctr"/>
        <c:lblOffset val="100"/>
        <c:noMultiLvlLbl val="1"/>
      </c:catAx>
      <c:valAx>
        <c:axId val="1966855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34793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Stinebar!$C$1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Stinebar!$C$2:$C$67</c:f>
              <c:numCache>
                <c:formatCode>#,##0</c:formatCode>
                <c:ptCount val="66"/>
                <c:pt idx="0">
                  <c:v>345185.74208120658</c:v>
                </c:pt>
                <c:pt idx="1">
                  <c:v>345738.92436018289</c:v>
                </c:pt>
                <c:pt idx="2">
                  <c:v>346188.97002121044</c:v>
                </c:pt>
                <c:pt idx="3">
                  <c:v>346709.03357156779</c:v>
                </c:pt>
                <c:pt idx="4">
                  <c:v>347264.65702280431</c:v>
                </c:pt>
                <c:pt idx="5">
                  <c:v>347786.3365275957</c:v>
                </c:pt>
                <c:pt idx="6">
                  <c:v>348169.32278265664</c:v>
                </c:pt>
                <c:pt idx="7">
                  <c:v>348343.49452992156</c:v>
                </c:pt>
                <c:pt idx="8">
                  <c:v>348378.33236315788</c:v>
                </c:pt>
                <c:pt idx="9">
                  <c:v>348204.23024803388</c:v>
                </c:pt>
                <c:pt idx="10">
                  <c:v>347891.12823262456</c:v>
                </c:pt>
                <c:pt idx="11">
                  <c:v>347682.51872139174</c:v>
                </c:pt>
                <c:pt idx="12">
                  <c:v>347786.85477782506</c:v>
                </c:pt>
                <c:pt idx="13">
                  <c:v>348065.30702344381</c:v>
                </c:pt>
                <c:pt idx="14">
                  <c:v>348378.84798663179</c:v>
                </c:pt>
                <c:pt idx="15">
                  <c:v>348622.88400543563</c:v>
                </c:pt>
                <c:pt idx="16">
                  <c:v>348657.74978041364</c:v>
                </c:pt>
                <c:pt idx="17">
                  <c:v>348448.68057207041</c:v>
                </c:pt>
                <c:pt idx="18">
                  <c:v>348100.57999207836</c:v>
                </c:pt>
                <c:pt idx="19">
                  <c:v>347752.82716491347</c:v>
                </c:pt>
                <c:pt idx="20">
                  <c:v>347648.53260513191</c:v>
                </c:pt>
                <c:pt idx="21">
                  <c:v>348031.36710895173</c:v>
                </c:pt>
                <c:pt idx="22">
                  <c:v>349218.71072541812</c:v>
                </c:pt>
                <c:pt idx="23">
                  <c:v>351397.37444698944</c:v>
                </c:pt>
                <c:pt idx="24">
                  <c:v>354552.89521439758</c:v>
                </c:pt>
                <c:pt idx="25">
                  <c:v>358568.86651941499</c:v>
                </c:pt>
                <c:pt idx="26">
                  <c:v>363365.28832530905</c:v>
                </c:pt>
                <c:pt idx="27">
                  <c:v>368898.76987341023</c:v>
                </c:pt>
                <c:pt idx="28">
                  <c:v>375011.45661625516</c:v>
                </c:pt>
                <c:pt idx="29">
                  <c:v>381652.20498295862</c:v>
                </c:pt>
                <c:pt idx="30">
                  <c:v>388529.17131523835</c:v>
                </c:pt>
                <c:pt idx="31">
                  <c:v>393766.26260792371</c:v>
                </c:pt>
                <c:pt idx="32">
                  <c:v>395904.1449908744</c:v>
                </c:pt>
                <c:pt idx="33">
                  <c:v>394956.24999089626</c:v>
                </c:pt>
                <c:pt idx="34">
                  <c:v>391084.5133091358</c:v>
                </c:pt>
                <c:pt idx="35">
                  <c:v>384471.60175888299</c:v>
                </c:pt>
                <c:pt idx="36">
                  <c:v>375167.44902310986</c:v>
                </c:pt>
                <c:pt idx="37">
                  <c:v>363323.11545914185</c:v>
                </c:pt>
                <c:pt idx="38">
                  <c:v>349080.62592154293</c:v>
                </c:pt>
                <c:pt idx="39">
                  <c:v>332711.23324584728</c:v>
                </c:pt>
                <c:pt idx="40">
                  <c:v>314650.30569873966</c:v>
                </c:pt>
                <c:pt idx="41">
                  <c:v>295307.65433950222</c:v>
                </c:pt>
                <c:pt idx="42">
                  <c:v>275216.8260386787</c:v>
                </c:pt>
                <c:pt idx="43">
                  <c:v>255255.8208483386</c:v>
                </c:pt>
                <c:pt idx="44">
                  <c:v>236304.22222582725</c:v>
                </c:pt>
                <c:pt idx="45">
                  <c:v>219491.19656866734</c:v>
                </c:pt>
                <c:pt idx="46">
                  <c:v>205921.00250367512</c:v>
                </c:pt>
                <c:pt idx="47">
                  <c:v>195074.84132595215</c:v>
                </c:pt>
                <c:pt idx="48">
                  <c:v>185714.81466674805</c:v>
                </c:pt>
                <c:pt idx="49">
                  <c:v>176166.58572068682</c:v>
                </c:pt>
                <c:pt idx="50">
                  <c:v>165120.05410130924</c:v>
                </c:pt>
                <c:pt idx="51">
                  <c:v>153886.35051380174</c:v>
                </c:pt>
                <c:pt idx="52">
                  <c:v>145615.39601987295</c:v>
                </c:pt>
                <c:pt idx="53">
                  <c:v>140298.09810181419</c:v>
                </c:pt>
                <c:pt idx="54">
                  <c:v>136649.55498374812</c:v>
                </c:pt>
                <c:pt idx="55">
                  <c:v>133747.2398783871</c:v>
                </c:pt>
                <c:pt idx="56">
                  <c:v>131369.45278301454</c:v>
                </c:pt>
                <c:pt idx="57">
                  <c:v>129313.37019688408</c:v>
                </c:pt>
                <c:pt idx="58">
                  <c:v>127276.93917016149</c:v>
                </c:pt>
                <c:pt idx="59">
                  <c:v>125137.09484825633</c:v>
                </c:pt>
                <c:pt idx="60">
                  <c:v>122948.60959742221</c:v>
                </c:pt>
                <c:pt idx="61">
                  <c:v>121000.50152290346</c:v>
                </c:pt>
                <c:pt idx="62">
                  <c:v>119059.82635334396</c:v>
                </c:pt>
                <c:pt idx="63">
                  <c:v>117069.64243199998</c:v>
                </c:pt>
                <c:pt idx="64">
                  <c:v>114954.47999999998</c:v>
                </c:pt>
                <c:pt idx="65">
                  <c:v>112800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8-4B90-8EA4-A8AB1804E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741111"/>
        <c:axId val="1500456321"/>
      </c:lineChart>
      <c:catAx>
        <c:axId val="173174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0456321"/>
        <c:crosses val="autoZero"/>
        <c:auto val="1"/>
        <c:lblAlgn val="ctr"/>
        <c:lblOffset val="100"/>
        <c:noMultiLvlLbl val="1"/>
      </c:catAx>
      <c:valAx>
        <c:axId val="1500456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17411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Suenan!$D$1:$D$67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0.02</c:v>
                </c:pt>
                <c:pt idx="2">
                  <c:v>1.8499999999999999E-2</c:v>
                </c:pt>
                <c:pt idx="3">
                  <c:v>1.9199999999999998E-2</c:v>
                </c:pt>
                <c:pt idx="4">
                  <c:v>1.9099999999999999E-2</c:v>
                </c:pt>
                <c:pt idx="5">
                  <c:v>1.9400000000000001E-2</c:v>
                </c:pt>
                <c:pt idx="6">
                  <c:v>1.9199999999999998E-2</c:v>
                </c:pt>
                <c:pt idx="7">
                  <c:v>2.12E-2</c:v>
                </c:pt>
                <c:pt idx="8">
                  <c:v>2.0799999999999999E-2</c:v>
                </c:pt>
                <c:pt idx="9">
                  <c:v>2.0400000000000001E-2</c:v>
                </c:pt>
                <c:pt idx="10">
                  <c:v>2.01E-2</c:v>
                </c:pt>
                <c:pt idx="11">
                  <c:v>2.0299999999999999E-2</c:v>
                </c:pt>
                <c:pt idx="12">
                  <c:v>0.02</c:v>
                </c:pt>
                <c:pt idx="13">
                  <c:v>1.9099999999999999E-2</c:v>
                </c:pt>
                <c:pt idx="14">
                  <c:v>1.7899999999999999E-2</c:v>
                </c:pt>
                <c:pt idx="15">
                  <c:v>1.7100000000000001E-2</c:v>
                </c:pt>
                <c:pt idx="16">
                  <c:v>1.6299999999999999E-2</c:v>
                </c:pt>
                <c:pt idx="17">
                  <c:v>1.5800000000000002E-2</c:v>
                </c:pt>
                <c:pt idx="18">
                  <c:v>1.55E-2</c:v>
                </c:pt>
                <c:pt idx="19">
                  <c:v>1.52E-2</c:v>
                </c:pt>
                <c:pt idx="20">
                  <c:v>1.49E-2</c:v>
                </c:pt>
                <c:pt idx="21">
                  <c:v>1.55E-2</c:v>
                </c:pt>
                <c:pt idx="22">
                  <c:v>1.7500000000000002E-2</c:v>
                </c:pt>
                <c:pt idx="23">
                  <c:v>1.9199999999999998E-2</c:v>
                </c:pt>
                <c:pt idx="24">
                  <c:v>2.06E-2</c:v>
                </c:pt>
                <c:pt idx="25">
                  <c:v>2.1499999999999998E-2</c:v>
                </c:pt>
                <c:pt idx="26">
                  <c:v>2.24E-2</c:v>
                </c:pt>
                <c:pt idx="27">
                  <c:v>2.3800000000000002E-2</c:v>
                </c:pt>
                <c:pt idx="28">
                  <c:v>2.5399999999999999E-2</c:v>
                </c:pt>
                <c:pt idx="29">
                  <c:v>2.7E-2</c:v>
                </c:pt>
                <c:pt idx="30">
                  <c:v>2.86E-2</c:v>
                </c:pt>
                <c:pt idx="31">
                  <c:v>3.0200000000000001E-2</c:v>
                </c:pt>
                <c:pt idx="32">
                  <c:v>3.1800000000000002E-2</c:v>
                </c:pt>
                <c:pt idx="33">
                  <c:v>3.3399999999999999E-2</c:v>
                </c:pt>
                <c:pt idx="34">
                  <c:v>3.5000000000000003E-2</c:v>
                </c:pt>
                <c:pt idx="35">
                  <c:v>3.6600000000000001E-2</c:v>
                </c:pt>
                <c:pt idx="36">
                  <c:v>3.8199999999999998E-2</c:v>
                </c:pt>
                <c:pt idx="37">
                  <c:v>3.9100000000000003E-2</c:v>
                </c:pt>
                <c:pt idx="38">
                  <c:v>3.9100000000000003E-2</c:v>
                </c:pt>
                <c:pt idx="39">
                  <c:v>3.8300000000000001E-2</c:v>
                </c:pt>
                <c:pt idx="40">
                  <c:v>3.7100000000000001E-2</c:v>
                </c:pt>
                <c:pt idx="41">
                  <c:v>3.5400000000000001E-2</c:v>
                </c:pt>
                <c:pt idx="42">
                  <c:v>3.3599999999999998E-2</c:v>
                </c:pt>
                <c:pt idx="43">
                  <c:v>3.2099999999999997E-2</c:v>
                </c:pt>
                <c:pt idx="44">
                  <c:v>3.09E-2</c:v>
                </c:pt>
                <c:pt idx="45">
                  <c:v>2.9700000000000001E-2</c:v>
                </c:pt>
                <c:pt idx="46">
                  <c:v>2.87E-2</c:v>
                </c:pt>
                <c:pt idx="47">
                  <c:v>2.7799999999999998E-2</c:v>
                </c:pt>
                <c:pt idx="48">
                  <c:v>2.69E-2</c:v>
                </c:pt>
                <c:pt idx="49">
                  <c:v>2.6100000000000002E-2</c:v>
                </c:pt>
                <c:pt idx="50">
                  <c:v>2.5100000000000001E-2</c:v>
                </c:pt>
                <c:pt idx="51">
                  <c:v>2.3900000000000001E-2</c:v>
                </c:pt>
                <c:pt idx="52">
                  <c:v>2.2499999999999999E-2</c:v>
                </c:pt>
                <c:pt idx="53">
                  <c:v>2.12E-2</c:v>
                </c:pt>
                <c:pt idx="54">
                  <c:v>0.02</c:v>
                </c:pt>
                <c:pt idx="55">
                  <c:v>1.89E-2</c:v>
                </c:pt>
                <c:pt idx="56">
                  <c:v>1.7999999999999999E-2</c:v>
                </c:pt>
                <c:pt idx="57">
                  <c:v>1.7100000000000001E-2</c:v>
                </c:pt>
                <c:pt idx="58">
                  <c:v>1.61E-2</c:v>
                </c:pt>
                <c:pt idx="59">
                  <c:v>1.4999999999999999E-2</c:v>
                </c:pt>
                <c:pt idx="60">
                  <c:v>1.4200000000000001E-2</c:v>
                </c:pt>
                <c:pt idx="61">
                  <c:v>1.3299999999999999E-2</c:v>
                </c:pt>
                <c:pt idx="62">
                  <c:v>1.2500000000000001E-2</c:v>
                </c:pt>
                <c:pt idx="63">
                  <c:v>1.18E-2</c:v>
                </c:pt>
                <c:pt idx="64">
                  <c:v>1.11E-2</c:v>
                </c:pt>
                <c:pt idx="65">
                  <c:v>1.0500000000000001E-2</c:v>
                </c:pt>
                <c:pt idx="66">
                  <c:v>9.9000000000000008E-3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E0-41B5-A5F2-2C2AF33DD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29833"/>
        <c:axId val="1918048920"/>
      </c:lineChart>
      <c:catAx>
        <c:axId val="470529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8048920"/>
        <c:crosses val="autoZero"/>
        <c:auto val="1"/>
        <c:lblAlgn val="ctr"/>
        <c:lblOffset val="100"/>
        <c:noMultiLvlLbl val="1"/>
      </c:catAx>
      <c:valAx>
        <c:axId val="1918048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05298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Suenan!$C$1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Suenan!$C$2:$C$67</c:f>
              <c:numCache>
                <c:formatCode>#,##0</c:formatCode>
                <c:ptCount val="66"/>
                <c:pt idx="0">
                  <c:v>54705418.575097799</c:v>
                </c:pt>
                <c:pt idx="1">
                  <c:v>53632763.308919407</c:v>
                </c:pt>
                <c:pt idx="2">
                  <c:v>52658579.586567901</c:v>
                </c:pt>
                <c:pt idx="3">
                  <c:v>51666581.227009319</c:v>
                </c:pt>
                <c:pt idx="4">
                  <c:v>50698244.752241515</c:v>
                </c:pt>
                <c:pt idx="5">
                  <c:v>49733416.47267168</c:v>
                </c:pt>
                <c:pt idx="6">
                  <c:v>48796523.226718679</c:v>
                </c:pt>
                <c:pt idx="7">
                  <c:v>47783512.756285422</c:v>
                </c:pt>
                <c:pt idx="8">
                  <c:v>46809867.512035094</c:v>
                </c:pt>
                <c:pt idx="9">
                  <c:v>45874037.154091626</c:v>
                </c:pt>
                <c:pt idx="10">
                  <c:v>44970137.39250233</c:v>
                </c:pt>
                <c:pt idx="11">
                  <c:v>44075406.637755886</c:v>
                </c:pt>
                <c:pt idx="12">
                  <c:v>43211182.978192046</c:v>
                </c:pt>
                <c:pt idx="13">
                  <c:v>42401317.808058143</c:v>
                </c:pt>
                <c:pt idx="14">
                  <c:v>41655681.116080306</c:v>
                </c:pt>
                <c:pt idx="15">
                  <c:v>40955344.721345305</c:v>
                </c:pt>
                <c:pt idx="16">
                  <c:v>40298479.505407169</c:v>
                </c:pt>
                <c:pt idx="17">
                  <c:v>39671667.164212607</c:v>
                </c:pt>
                <c:pt idx="18">
                  <c:v>39066141.963774107</c:v>
                </c:pt>
                <c:pt idx="19">
                  <c:v>38481227.308682136</c:v>
                </c:pt>
                <c:pt idx="20">
                  <c:v>37916274.813954219</c:v>
                </c:pt>
                <c:pt idx="21">
                  <c:v>37337542.899019413</c:v>
                </c:pt>
                <c:pt idx="22">
                  <c:v>36695373.85653013</c:v>
                </c:pt>
                <c:pt idx="23">
                  <c:v>36004095.228149652</c:v>
                </c:pt>
                <c:pt idx="24">
                  <c:v>35277381.17592559</c:v>
                </c:pt>
                <c:pt idx="25">
                  <c:v>34534881.229491517</c:v>
                </c:pt>
                <c:pt idx="26">
                  <c:v>33778248.463900156</c:v>
                </c:pt>
                <c:pt idx="27">
                  <c:v>32993014.713713769</c:v>
                </c:pt>
                <c:pt idx="28">
                  <c:v>32175750.64727303</c:v>
                </c:pt>
                <c:pt idx="29">
                  <c:v>31329844.836682603</c:v>
                </c:pt>
                <c:pt idx="30">
                  <c:v>30458725.293294385</c:v>
                </c:pt>
                <c:pt idx="31">
                  <c:v>29565837.015428446</c:v>
                </c:pt>
                <c:pt idx="32">
                  <c:v>28654620.096364066</c:v>
                </c:pt>
                <c:pt idx="33">
                  <c:v>27728488.577863425</c:v>
                </c:pt>
                <c:pt idx="34">
                  <c:v>26790810.220157899</c:v>
                </c:pt>
                <c:pt idx="35">
                  <c:v>25844887.343389831</c:v>
                </c:pt>
                <c:pt idx="36">
                  <c:v>24893938.878241025</c:v>
                </c:pt>
                <c:pt idx="37">
                  <c:v>23957211.893216271</c:v>
                </c:pt>
                <c:pt idx="38">
                  <c:v>23055732.742966291</c:v>
                </c:pt>
                <c:pt idx="39">
                  <c:v>22205270.868695263</c:v>
                </c:pt>
                <c:pt idx="40">
                  <c:v>21410925.531477451</c:v>
                </c:pt>
                <c:pt idx="41">
                  <c:v>20678892.728875265</c:v>
                </c:pt>
                <c:pt idx="42">
                  <c:v>20006668.661837522</c:v>
                </c:pt>
                <c:pt idx="43">
                  <c:v>19384428.506770197</c:v>
                </c:pt>
                <c:pt idx="44">
                  <c:v>18803403.343457367</c:v>
                </c:pt>
                <c:pt idx="45">
                  <c:v>18261050.153886925</c:v>
                </c:pt>
                <c:pt idx="46">
                  <c:v>17751579.813246746</c:v>
                </c:pt>
                <c:pt idx="47">
                  <c:v>17271433.949451979</c:v>
                </c:pt>
                <c:pt idx="48">
                  <c:v>16819002.774809603</c:v>
                </c:pt>
                <c:pt idx="49">
                  <c:v>16391192.64672995</c:v>
                </c:pt>
                <c:pt idx="50">
                  <c:v>15989847.47510482</c:v>
                </c:pt>
                <c:pt idx="51">
                  <c:v>15616610.48452468</c:v>
                </c:pt>
                <c:pt idx="52">
                  <c:v>15272968.689021694</c:v>
                </c:pt>
                <c:pt idx="53">
                  <c:v>14955903.534098797</c:v>
                </c:pt>
                <c:pt idx="54">
                  <c:v>14662650.523626272</c:v>
                </c:pt>
                <c:pt idx="55">
                  <c:v>14390666.918859823</c:v>
                </c:pt>
                <c:pt idx="56">
                  <c:v>14136215.047995897</c:v>
                </c:pt>
                <c:pt idx="57">
                  <c:v>13898549.845635531</c:v>
                </c:pt>
                <c:pt idx="58">
                  <c:v>13678328.752716791</c:v>
                </c:pt>
                <c:pt idx="59">
                  <c:v>13476185.963267775</c:v>
                </c:pt>
                <c:pt idx="60">
                  <c:v>13287503.414777929</c:v>
                </c:pt>
                <c:pt idx="61">
                  <c:v>13113099.195478069</c:v>
                </c:pt>
                <c:pt idx="62">
                  <c:v>12951209.081953648</c:v>
                </c:pt>
                <c:pt idx="63">
                  <c:v>12800167.110055</c:v>
                </c:pt>
                <c:pt idx="64">
                  <c:v>12659645.049999999</c:v>
                </c:pt>
                <c:pt idx="65">
                  <c:v>12528100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9-4EA6-8BB6-098D2C8B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889412"/>
        <c:axId val="1580573489"/>
      </c:lineChart>
      <c:catAx>
        <c:axId val="1224889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0573489"/>
        <c:crosses val="autoZero"/>
        <c:auto val="1"/>
        <c:lblAlgn val="ctr"/>
        <c:lblOffset val="100"/>
        <c:noMultiLvlLbl val="1"/>
      </c:catAx>
      <c:valAx>
        <c:axId val="1580573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48894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Sunsokua!$D$1:$D$67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3.3999999999999998E-3</c:v>
                </c:pt>
                <c:pt idx="2">
                  <c:v>3.8E-3</c:v>
                </c:pt>
                <c:pt idx="3">
                  <c:v>4.3E-3</c:v>
                </c:pt>
                <c:pt idx="4">
                  <c:v>4.8999999999999998E-3</c:v>
                </c:pt>
                <c:pt idx="5">
                  <c:v>5.4000000000000003E-3</c:v>
                </c:pt>
                <c:pt idx="6">
                  <c:v>6.1000000000000004E-3</c:v>
                </c:pt>
                <c:pt idx="7">
                  <c:v>6.4999999999999997E-3</c:v>
                </c:pt>
                <c:pt idx="8">
                  <c:v>6.8999999999999999E-3</c:v>
                </c:pt>
                <c:pt idx="9">
                  <c:v>7.1999999999999998E-3</c:v>
                </c:pt>
                <c:pt idx="10">
                  <c:v>7.4999999999999997E-3</c:v>
                </c:pt>
                <c:pt idx="11">
                  <c:v>7.9000000000000008E-3</c:v>
                </c:pt>
                <c:pt idx="12">
                  <c:v>8.2000000000000007E-3</c:v>
                </c:pt>
                <c:pt idx="13">
                  <c:v>8.6E-3</c:v>
                </c:pt>
                <c:pt idx="14">
                  <c:v>8.9999999999999993E-3</c:v>
                </c:pt>
                <c:pt idx="15">
                  <c:v>9.4000000000000004E-3</c:v>
                </c:pt>
                <c:pt idx="16">
                  <c:v>9.7999999999999997E-3</c:v>
                </c:pt>
                <c:pt idx="17">
                  <c:v>1.03E-2</c:v>
                </c:pt>
                <c:pt idx="18">
                  <c:v>1.0800000000000001E-2</c:v>
                </c:pt>
                <c:pt idx="19">
                  <c:v>1.14E-2</c:v>
                </c:pt>
                <c:pt idx="20">
                  <c:v>1.21E-2</c:v>
                </c:pt>
                <c:pt idx="21">
                  <c:v>1.2800000000000001E-2</c:v>
                </c:pt>
                <c:pt idx="22">
                  <c:v>1.3599999999999999E-2</c:v>
                </c:pt>
                <c:pt idx="23">
                  <c:v>1.44E-2</c:v>
                </c:pt>
                <c:pt idx="24">
                  <c:v>1.5299999999999999E-2</c:v>
                </c:pt>
                <c:pt idx="25">
                  <c:v>1.6400000000000001E-2</c:v>
                </c:pt>
                <c:pt idx="26">
                  <c:v>1.7600000000000001E-2</c:v>
                </c:pt>
                <c:pt idx="27">
                  <c:v>1.89E-2</c:v>
                </c:pt>
                <c:pt idx="28">
                  <c:v>2.0400000000000001E-2</c:v>
                </c:pt>
                <c:pt idx="29">
                  <c:v>2.1999999999999999E-2</c:v>
                </c:pt>
                <c:pt idx="30">
                  <c:v>2.3699999999999999E-2</c:v>
                </c:pt>
                <c:pt idx="31">
                  <c:v>2.5399999999999999E-2</c:v>
                </c:pt>
                <c:pt idx="32">
                  <c:v>2.69E-2</c:v>
                </c:pt>
                <c:pt idx="33">
                  <c:v>2.81E-2</c:v>
                </c:pt>
                <c:pt idx="34">
                  <c:v>2.8899999999999999E-2</c:v>
                </c:pt>
                <c:pt idx="35">
                  <c:v>2.92E-2</c:v>
                </c:pt>
                <c:pt idx="36">
                  <c:v>2.9000000000000001E-2</c:v>
                </c:pt>
                <c:pt idx="37">
                  <c:v>2.8400000000000002E-2</c:v>
                </c:pt>
                <c:pt idx="38">
                  <c:v>2.7799999999999998E-2</c:v>
                </c:pt>
                <c:pt idx="39">
                  <c:v>2.7400000000000001E-2</c:v>
                </c:pt>
                <c:pt idx="40">
                  <c:v>2.7300000000000001E-2</c:v>
                </c:pt>
                <c:pt idx="41">
                  <c:v>2.76E-2</c:v>
                </c:pt>
                <c:pt idx="42">
                  <c:v>2.8299999999999999E-2</c:v>
                </c:pt>
                <c:pt idx="43">
                  <c:v>2.92E-2</c:v>
                </c:pt>
                <c:pt idx="44">
                  <c:v>3.0300000000000001E-2</c:v>
                </c:pt>
                <c:pt idx="45">
                  <c:v>3.1300000000000001E-2</c:v>
                </c:pt>
                <c:pt idx="46">
                  <c:v>3.2099999999999997E-2</c:v>
                </c:pt>
                <c:pt idx="47">
                  <c:v>3.2399999999999998E-2</c:v>
                </c:pt>
                <c:pt idx="48">
                  <c:v>3.2399999999999998E-2</c:v>
                </c:pt>
                <c:pt idx="49">
                  <c:v>3.2099999999999997E-2</c:v>
                </c:pt>
                <c:pt idx="50">
                  <c:v>3.1600000000000003E-2</c:v>
                </c:pt>
                <c:pt idx="51">
                  <c:v>3.1E-2</c:v>
                </c:pt>
                <c:pt idx="52">
                  <c:v>3.04E-2</c:v>
                </c:pt>
                <c:pt idx="53">
                  <c:v>2.9700000000000001E-2</c:v>
                </c:pt>
                <c:pt idx="54">
                  <c:v>2.9000000000000001E-2</c:v>
                </c:pt>
                <c:pt idx="55">
                  <c:v>2.8400000000000002E-2</c:v>
                </c:pt>
                <c:pt idx="56">
                  <c:v>2.7699999999999999E-2</c:v>
                </c:pt>
                <c:pt idx="57">
                  <c:v>2.7099999999999999E-2</c:v>
                </c:pt>
                <c:pt idx="58">
                  <c:v>2.64E-2</c:v>
                </c:pt>
                <c:pt idx="59">
                  <c:v>2.5700000000000001E-2</c:v>
                </c:pt>
                <c:pt idx="60">
                  <c:v>2.5000000000000001E-2</c:v>
                </c:pt>
                <c:pt idx="61">
                  <c:v>2.4299999999999999E-2</c:v>
                </c:pt>
                <c:pt idx="62">
                  <c:v>2.3699999999999999E-2</c:v>
                </c:pt>
                <c:pt idx="63">
                  <c:v>2.3300000000000001E-2</c:v>
                </c:pt>
                <c:pt idx="64">
                  <c:v>2.3199999999999998E-2</c:v>
                </c:pt>
                <c:pt idx="65">
                  <c:v>2.35E-2</c:v>
                </c:pt>
                <c:pt idx="66">
                  <c:v>2.4199999999999999E-2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B1-45B0-BA5F-E0CF14552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854312"/>
        <c:axId val="1861004829"/>
      </c:lineChart>
      <c:catAx>
        <c:axId val="232854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1004829"/>
        <c:crosses val="autoZero"/>
        <c:auto val="1"/>
        <c:lblAlgn val="ctr"/>
        <c:lblOffset val="100"/>
        <c:noMultiLvlLbl val="1"/>
      </c:catAx>
      <c:valAx>
        <c:axId val="1861004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28543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Sunsokua!$C$1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Sunsokua!$C$2:$C$67</c:f>
              <c:numCache>
                <c:formatCode>#,##0</c:formatCode>
                <c:ptCount val="66"/>
                <c:pt idx="0">
                  <c:v>79558708.221049875</c:v>
                </c:pt>
                <c:pt idx="1">
                  <c:v>79289125.19538556</c:v>
                </c:pt>
                <c:pt idx="2">
                  <c:v>78988967.120328307</c:v>
                </c:pt>
                <c:pt idx="3">
                  <c:v>78650768.814426273</c:v>
                </c:pt>
                <c:pt idx="4">
                  <c:v>78267259.244130045</c:v>
                </c:pt>
                <c:pt idx="5">
                  <c:v>77846886.059409231</c:v>
                </c:pt>
                <c:pt idx="6">
                  <c:v>77374899.174445122</c:v>
                </c:pt>
                <c:pt idx="7">
                  <c:v>76875210.307446718</c:v>
                </c:pt>
                <c:pt idx="8">
                  <c:v>76348406.303949475</c:v>
                </c:pt>
                <c:pt idx="9">
                  <c:v>75802627.386764765</c:v>
                </c:pt>
                <c:pt idx="10">
                  <c:v>75238339.837979913</c:v>
                </c:pt>
                <c:pt idx="11">
                  <c:v>74648615.773370281</c:v>
                </c:pt>
                <c:pt idx="12">
                  <c:v>74041475.672852889</c:v>
                </c:pt>
                <c:pt idx="13">
                  <c:v>73410148.396641776</c:v>
                </c:pt>
                <c:pt idx="14">
                  <c:v>72755350.244441807</c:v>
                </c:pt>
                <c:pt idx="15">
                  <c:v>72077818.748208642</c:v>
                </c:pt>
                <c:pt idx="16">
                  <c:v>71378311.297493204</c:v>
                </c:pt>
                <c:pt idx="17">
                  <c:v>70650610.014345452</c:v>
                </c:pt>
                <c:pt idx="18">
                  <c:v>69895736.06484513</c:v>
                </c:pt>
                <c:pt idx="19">
                  <c:v>69107905.93716149</c:v>
                </c:pt>
                <c:pt idx="20">
                  <c:v>68281697.398637965</c:v>
                </c:pt>
                <c:pt idx="21">
                  <c:v>67418737.557896897</c:v>
                </c:pt>
                <c:pt idx="22">
                  <c:v>66514145.18340262</c:v>
                </c:pt>
                <c:pt idx="23">
                  <c:v>65569938.075120881</c:v>
                </c:pt>
                <c:pt idx="24">
                  <c:v>64581835.984557152</c:v>
                </c:pt>
                <c:pt idx="25">
                  <c:v>63539783.534589879</c:v>
                </c:pt>
                <c:pt idx="26">
                  <c:v>62440825.014337532</c:v>
                </c:pt>
                <c:pt idx="27">
                  <c:v>61282584.173459157</c:v>
                </c:pt>
                <c:pt idx="28">
                  <c:v>60057412.949293569</c:v>
                </c:pt>
                <c:pt idx="29">
                  <c:v>58764591.926901728</c:v>
                </c:pt>
                <c:pt idx="30">
                  <c:v>57404114.415260062</c:v>
                </c:pt>
                <c:pt idx="31">
                  <c:v>55982167.364209145</c:v>
                </c:pt>
                <c:pt idx="32">
                  <c:v>54515695.164289758</c:v>
                </c:pt>
                <c:pt idx="33">
                  <c:v>53025673.73240906</c:v>
                </c:pt>
                <c:pt idx="34">
                  <c:v>51536275.374097645</c:v>
                </c:pt>
                <c:pt idx="35">
                  <c:v>50074111.32345283</c:v>
                </c:pt>
                <c:pt idx="36">
                  <c:v>48662887.583530448</c:v>
                </c:pt>
                <c:pt idx="37">
                  <c:v>47319027.210745282</c:v>
                </c:pt>
                <c:pt idx="38">
                  <c:v>46039139.142581515</c:v>
                </c:pt>
                <c:pt idx="39">
                  <c:v>44811309.268621288</c:v>
                </c:pt>
                <c:pt idx="40">
                  <c:v>43620470.425991707</c:v>
                </c:pt>
                <c:pt idx="41">
                  <c:v>42448881.302054986</c:v>
                </c:pt>
                <c:pt idx="42">
                  <c:v>41280639.212345608</c:v>
                </c:pt>
                <c:pt idx="43">
                  <c:v>40109443.463219598</c:v>
                </c:pt>
                <c:pt idx="44">
                  <c:v>38929868.44920858</c:v>
                </c:pt>
                <c:pt idx="45">
                  <c:v>37748345.243099563</c:v>
                </c:pt>
                <c:pt idx="46">
                  <c:v>36574309.895455442</c:v>
                </c:pt>
                <c:pt idx="47">
                  <c:v>35426491.568631776</c:v>
                </c:pt>
                <c:pt idx="48">
                  <c:v>34314695.436489515</c:v>
                </c:pt>
                <c:pt idx="49">
                  <c:v>33247452.220220439</c:v>
                </c:pt>
                <c:pt idx="50">
                  <c:v>32229015.335615002</c:v>
                </c:pt>
                <c:pt idx="51">
                  <c:v>31259956.678579055</c:v>
                </c:pt>
                <c:pt idx="52">
                  <c:v>30337690.875950169</c:v>
                </c:pt>
                <c:pt idx="53">
                  <c:v>29462650.166019391</c:v>
                </c:pt>
                <c:pt idx="54">
                  <c:v>28632313.086510587</c:v>
                </c:pt>
                <c:pt idx="55">
                  <c:v>27841611.324883886</c:v>
                </c:pt>
                <c:pt idx="56">
                  <c:v>27091185.486896843</c:v>
                </c:pt>
                <c:pt idx="57">
                  <c:v>26376385.441433985</c:v>
                </c:pt>
                <c:pt idx="58">
                  <c:v>25697959.315504663</c:v>
                </c:pt>
                <c:pt idx="59">
                  <c:v>25054069.723607939</c:v>
                </c:pt>
                <c:pt idx="60">
                  <c:v>24442994.852300432</c:v>
                </c:pt>
                <c:pt idx="61">
                  <c:v>23863121.01171574</c:v>
                </c:pt>
                <c:pt idx="62">
                  <c:v>23310658.407458961</c:v>
                </c:pt>
                <c:pt idx="63">
                  <c:v>22779887.039440006</c:v>
                </c:pt>
                <c:pt idx="64">
                  <c:v>22263376.700000003</c:v>
                </c:pt>
                <c:pt idx="65">
                  <c:v>21752200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293-8822-67D33CDAC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319647"/>
        <c:axId val="2124610702"/>
      </c:lineChart>
      <c:catAx>
        <c:axId val="55031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4610702"/>
        <c:crosses val="autoZero"/>
        <c:auto val="1"/>
        <c:lblAlgn val="ctr"/>
        <c:lblOffset val="100"/>
        <c:noMultiLvlLbl val="1"/>
      </c:catAx>
      <c:valAx>
        <c:axId val="2124610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03196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Taing!$D$1:$D$67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-1.4200000000000001E-2</c:v>
                </c:pt>
                <c:pt idx="2">
                  <c:v>-1.3100000000000001E-2</c:v>
                </c:pt>
                <c:pt idx="3">
                  <c:v>-1.37E-2</c:v>
                </c:pt>
                <c:pt idx="4">
                  <c:v>-1.4800000000000001E-2</c:v>
                </c:pt>
                <c:pt idx="5">
                  <c:v>-1.4800000000000001E-2</c:v>
                </c:pt>
                <c:pt idx="6">
                  <c:v>-1.18E-2</c:v>
                </c:pt>
                <c:pt idx="7">
                  <c:v>-4.4999999999999997E-3</c:v>
                </c:pt>
                <c:pt idx="8">
                  <c:v>6.4999999999999997E-3</c:v>
                </c:pt>
                <c:pt idx="9">
                  <c:v>1.89E-2</c:v>
                </c:pt>
                <c:pt idx="10">
                  <c:v>3.04E-2</c:v>
                </c:pt>
                <c:pt idx="11">
                  <c:v>3.9399999999999998E-2</c:v>
                </c:pt>
                <c:pt idx="12">
                  <c:v>4.6199999999999998E-2</c:v>
                </c:pt>
                <c:pt idx="13">
                  <c:v>4.9099999999999998E-2</c:v>
                </c:pt>
                <c:pt idx="14">
                  <c:v>4.8599999999999997E-2</c:v>
                </c:pt>
                <c:pt idx="15">
                  <c:v>4.4699999999999997E-2</c:v>
                </c:pt>
                <c:pt idx="16">
                  <c:v>3.9199999999999999E-2</c:v>
                </c:pt>
                <c:pt idx="17">
                  <c:v>3.5099999999999999E-2</c:v>
                </c:pt>
                <c:pt idx="18">
                  <c:v>3.5400000000000001E-2</c:v>
                </c:pt>
                <c:pt idx="19">
                  <c:v>3.8800000000000001E-2</c:v>
                </c:pt>
                <c:pt idx="20">
                  <c:v>4.3099999999999999E-2</c:v>
                </c:pt>
                <c:pt idx="21">
                  <c:v>4.6399999999999997E-2</c:v>
                </c:pt>
                <c:pt idx="22">
                  <c:v>4.8300000000000003E-2</c:v>
                </c:pt>
                <c:pt idx="23">
                  <c:v>4.9099999999999998E-2</c:v>
                </c:pt>
                <c:pt idx="24">
                  <c:v>4.9599999999999998E-2</c:v>
                </c:pt>
                <c:pt idx="25">
                  <c:v>4.9799999999999997E-2</c:v>
                </c:pt>
                <c:pt idx="26">
                  <c:v>5.0099999999999999E-2</c:v>
                </c:pt>
                <c:pt idx="27">
                  <c:v>5.0299999999999997E-2</c:v>
                </c:pt>
                <c:pt idx="28">
                  <c:v>5.0200000000000002E-2</c:v>
                </c:pt>
                <c:pt idx="29">
                  <c:v>4.9599999999999998E-2</c:v>
                </c:pt>
                <c:pt idx="30">
                  <c:v>4.87E-2</c:v>
                </c:pt>
                <c:pt idx="31">
                  <c:v>4.7600000000000003E-2</c:v>
                </c:pt>
                <c:pt idx="32">
                  <c:v>4.6199999999999998E-2</c:v>
                </c:pt>
                <c:pt idx="33">
                  <c:v>4.4400000000000002E-2</c:v>
                </c:pt>
                <c:pt idx="34">
                  <c:v>4.2700000000000002E-2</c:v>
                </c:pt>
                <c:pt idx="35">
                  <c:v>4.0099999999999997E-2</c:v>
                </c:pt>
                <c:pt idx="36">
                  <c:v>3.7400000000000003E-2</c:v>
                </c:pt>
                <c:pt idx="37">
                  <c:v>3.4700000000000002E-2</c:v>
                </c:pt>
                <c:pt idx="38">
                  <c:v>3.3000000000000002E-2</c:v>
                </c:pt>
                <c:pt idx="39">
                  <c:v>3.2500000000000001E-2</c:v>
                </c:pt>
                <c:pt idx="40">
                  <c:v>3.3700000000000001E-2</c:v>
                </c:pt>
                <c:pt idx="41">
                  <c:v>3.6299999999999999E-2</c:v>
                </c:pt>
                <c:pt idx="42">
                  <c:v>3.9899999999999998E-2</c:v>
                </c:pt>
                <c:pt idx="43">
                  <c:v>4.4200000000000003E-2</c:v>
                </c:pt>
                <c:pt idx="44">
                  <c:v>4.8800000000000003E-2</c:v>
                </c:pt>
                <c:pt idx="45">
                  <c:v>5.3499999999999999E-2</c:v>
                </c:pt>
                <c:pt idx="46">
                  <c:v>5.8099999999999999E-2</c:v>
                </c:pt>
                <c:pt idx="47">
                  <c:v>6.25E-2</c:v>
                </c:pt>
                <c:pt idx="48">
                  <c:v>6.6699999999999995E-2</c:v>
                </c:pt>
                <c:pt idx="49">
                  <c:v>7.0999999999999994E-2</c:v>
                </c:pt>
                <c:pt idx="50">
                  <c:v>7.5399999999999995E-2</c:v>
                </c:pt>
                <c:pt idx="51">
                  <c:v>7.9600000000000004E-2</c:v>
                </c:pt>
                <c:pt idx="52">
                  <c:v>8.3599999999999994E-2</c:v>
                </c:pt>
                <c:pt idx="53">
                  <c:v>8.72E-2</c:v>
                </c:pt>
                <c:pt idx="54">
                  <c:v>9.0200000000000002E-2</c:v>
                </c:pt>
                <c:pt idx="55">
                  <c:v>9.2700000000000005E-2</c:v>
                </c:pt>
                <c:pt idx="56">
                  <c:v>9.4399999999999998E-2</c:v>
                </c:pt>
                <c:pt idx="57">
                  <c:v>9.5500000000000002E-2</c:v>
                </c:pt>
                <c:pt idx="58">
                  <c:v>9.5600000000000004E-2</c:v>
                </c:pt>
                <c:pt idx="59">
                  <c:v>9.3899999999999997E-2</c:v>
                </c:pt>
                <c:pt idx="60">
                  <c:v>8.8800000000000004E-2</c:v>
                </c:pt>
                <c:pt idx="61">
                  <c:v>0.08</c:v>
                </c:pt>
                <c:pt idx="62">
                  <c:v>7.0000000000000007E-2</c:v>
                </c:pt>
                <c:pt idx="63">
                  <c:v>6.1600000000000002E-2</c:v>
                </c:pt>
                <c:pt idx="64">
                  <c:v>5.5599999999999997E-2</c:v>
                </c:pt>
                <c:pt idx="65">
                  <c:v>5.2400000000000002E-2</c:v>
                </c:pt>
                <c:pt idx="66">
                  <c:v>5.1400000000000001E-2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BB-42EE-9F28-E95FBBC22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23610"/>
        <c:axId val="5122985"/>
      </c:lineChart>
      <c:catAx>
        <c:axId val="1413523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22985"/>
        <c:crosses val="autoZero"/>
        <c:auto val="1"/>
        <c:lblAlgn val="ctr"/>
        <c:lblOffset val="100"/>
        <c:noMultiLvlLbl val="1"/>
      </c:catAx>
      <c:valAx>
        <c:axId val="5122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35236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Taing!$C$1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Taing!$C$2:$C$67</c:f>
              <c:numCache>
                <c:formatCode>#,##0</c:formatCode>
                <c:ptCount val="66"/>
                <c:pt idx="0">
                  <c:v>2162590.4836562523</c:v>
                </c:pt>
                <c:pt idx="1">
                  <c:v>2193741.6145833358</c:v>
                </c:pt>
                <c:pt idx="2">
                  <c:v>2222861.0949268779</c:v>
                </c:pt>
                <c:pt idx="3">
                  <c:v>2253737.2958804402</c:v>
                </c:pt>
                <c:pt idx="4">
                  <c:v>2287593.6823796593</c:v>
                </c:pt>
                <c:pt idx="5">
                  <c:v>2321958.6707061096</c:v>
                </c:pt>
                <c:pt idx="6">
                  <c:v>2349684.9531533187</c:v>
                </c:pt>
                <c:pt idx="7">
                  <c:v>2360306.3316457244</c:v>
                </c:pt>
                <c:pt idx="8">
                  <c:v>2345063.4194194977</c:v>
                </c:pt>
                <c:pt idx="9">
                  <c:v>2301563.8624197645</c:v>
                </c:pt>
                <c:pt idx="10">
                  <c:v>2233660.5807645232</c:v>
                </c:pt>
                <c:pt idx="11">
                  <c:v>2148990.3605585173</c:v>
                </c:pt>
                <c:pt idx="12">
                  <c:v>2054091.3406217906</c:v>
                </c:pt>
                <c:pt idx="13">
                  <c:v>1957955.715014575</c:v>
                </c:pt>
                <c:pt idx="14">
                  <c:v>1867209.3410400297</c:v>
                </c:pt>
                <c:pt idx="15">
                  <c:v>1787316.302326055</c:v>
                </c:pt>
                <c:pt idx="16">
                  <c:v>1719896.3648249183</c:v>
                </c:pt>
                <c:pt idx="17">
                  <c:v>1661575.0795332997</c:v>
                </c:pt>
                <c:pt idx="18">
                  <c:v>1604766.3507178864</c:v>
                </c:pt>
                <c:pt idx="19">
                  <c:v>1544827.0607603835</c:v>
                </c:pt>
                <c:pt idx="20">
                  <c:v>1480996.1276583103</c:v>
                </c:pt>
                <c:pt idx="21">
                  <c:v>1415325.0455450213</c:v>
                </c:pt>
                <c:pt idx="22">
                  <c:v>1350114.5144949169</c:v>
                </c:pt>
                <c:pt idx="23">
                  <c:v>1286926.4269325298</c:v>
                </c:pt>
                <c:pt idx="24">
                  <c:v>1226111.3061476082</c:v>
                </c:pt>
                <c:pt idx="25">
                  <c:v>1167947.5196681351</c:v>
                </c:pt>
                <c:pt idx="26">
                  <c:v>1112225.0449177555</c:v>
                </c:pt>
                <c:pt idx="27">
                  <c:v>1058959.3877156579</c:v>
                </c:pt>
                <c:pt idx="28">
                  <c:v>1008340.6853129478</c:v>
                </c:pt>
                <c:pt idx="29">
                  <c:v>960690.4395130981</c:v>
                </c:pt>
                <c:pt idx="30">
                  <c:v>916077.4668762259</c:v>
                </c:pt>
                <c:pt idx="31">
                  <c:v>874453.48117241869</c:v>
                </c:pt>
                <c:pt idx="32">
                  <c:v>835837.77592469763</c:v>
                </c:pt>
                <c:pt idx="33">
                  <c:v>800304.26649243361</c:v>
                </c:pt>
                <c:pt idx="34">
                  <c:v>767530.70537300629</c:v>
                </c:pt>
                <c:pt idx="35">
                  <c:v>737939.33792232117</c:v>
                </c:pt>
                <c:pt idx="36">
                  <c:v>711335.39417998947</c:v>
                </c:pt>
                <c:pt idx="37">
                  <c:v>687479.84360683244</c:v>
                </c:pt>
                <c:pt idx="38">
                  <c:v>665517.75760583975</c:v>
                </c:pt>
                <c:pt idx="39">
                  <c:v>644569.25676110387</c:v>
                </c:pt>
                <c:pt idx="40">
                  <c:v>623555.43848418677</c:v>
                </c:pt>
                <c:pt idx="41">
                  <c:v>601713.24759643618</c:v>
                </c:pt>
                <c:pt idx="42">
                  <c:v>578626.06750306394</c:v>
                </c:pt>
                <c:pt idx="43">
                  <c:v>554133.37244116445</c:v>
                </c:pt>
                <c:pt idx="44">
                  <c:v>528349.89744580898</c:v>
                </c:pt>
                <c:pt idx="45">
                  <c:v>501518.64968752622</c:v>
                </c:pt>
                <c:pt idx="46">
                  <c:v>473980.38908186957</c:v>
                </c:pt>
                <c:pt idx="47">
                  <c:v>446099.18972411251</c:v>
                </c:pt>
                <c:pt idx="48">
                  <c:v>418204.92146255978</c:v>
                </c:pt>
                <c:pt idx="49">
                  <c:v>390480.78567932756</c:v>
                </c:pt>
                <c:pt idx="50">
                  <c:v>363102.83213625406</c:v>
                </c:pt>
                <c:pt idx="51">
                  <c:v>336330.89304951282</c:v>
                </c:pt>
                <c:pt idx="52">
                  <c:v>310382.88395119313</c:v>
                </c:pt>
                <c:pt idx="53">
                  <c:v>285488.30385503417</c:v>
                </c:pt>
                <c:pt idx="54">
                  <c:v>261867.82595398475</c:v>
                </c:pt>
                <c:pt idx="55">
                  <c:v>239652.07829595017</c:v>
                </c:pt>
                <c:pt idx="56">
                  <c:v>218980.33470024687</c:v>
                </c:pt>
                <c:pt idx="57">
                  <c:v>199890.76649954074</c:v>
                </c:pt>
                <c:pt idx="58">
                  <c:v>182448.6733292632</c:v>
                </c:pt>
                <c:pt idx="59">
                  <c:v>166787.34192271979</c:v>
                </c:pt>
                <c:pt idx="60">
                  <c:v>153184.55356605418</c:v>
                </c:pt>
                <c:pt idx="61">
                  <c:v>141837.5495981983</c:v>
                </c:pt>
                <c:pt idx="62">
                  <c:v>132558.45756840962</c:v>
                </c:pt>
                <c:pt idx="63">
                  <c:v>124866.670656</c:v>
                </c:pt>
                <c:pt idx="64">
                  <c:v>118289.76</c:v>
                </c:pt>
                <c:pt idx="65">
                  <c:v>112400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6-4D72-A958-DB95DC81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584947"/>
        <c:axId val="1469750868"/>
      </c:lineChart>
      <c:catAx>
        <c:axId val="718584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9750868"/>
        <c:crosses val="autoZero"/>
        <c:auto val="1"/>
        <c:lblAlgn val="ctr"/>
        <c:lblOffset val="100"/>
        <c:noMultiLvlLbl val="1"/>
      </c:catAx>
      <c:valAx>
        <c:axId val="1469750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85849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Taniduna!$D$1:$D$67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3.5400000000000001E-2</c:v>
                </c:pt>
                <c:pt idx="2">
                  <c:v>3.5099999999999999E-2</c:v>
                </c:pt>
                <c:pt idx="3">
                  <c:v>3.4700000000000002E-2</c:v>
                </c:pt>
                <c:pt idx="4">
                  <c:v>3.4099999999999998E-2</c:v>
                </c:pt>
                <c:pt idx="5">
                  <c:v>3.3399999999999999E-2</c:v>
                </c:pt>
                <c:pt idx="6">
                  <c:v>3.2599999999999997E-2</c:v>
                </c:pt>
                <c:pt idx="7">
                  <c:v>3.2099999999999997E-2</c:v>
                </c:pt>
                <c:pt idx="8">
                  <c:v>3.1699999999999999E-2</c:v>
                </c:pt>
                <c:pt idx="9">
                  <c:v>3.1600000000000003E-2</c:v>
                </c:pt>
                <c:pt idx="10">
                  <c:v>3.1600000000000003E-2</c:v>
                </c:pt>
                <c:pt idx="11">
                  <c:v>3.1699999999999999E-2</c:v>
                </c:pt>
                <c:pt idx="12">
                  <c:v>3.1800000000000002E-2</c:v>
                </c:pt>
                <c:pt idx="13">
                  <c:v>3.2099999999999997E-2</c:v>
                </c:pt>
                <c:pt idx="14">
                  <c:v>3.2399999999999998E-2</c:v>
                </c:pt>
                <c:pt idx="15">
                  <c:v>3.2599999999999997E-2</c:v>
                </c:pt>
                <c:pt idx="16">
                  <c:v>3.2800000000000003E-2</c:v>
                </c:pt>
                <c:pt idx="17">
                  <c:v>3.3000000000000002E-2</c:v>
                </c:pt>
                <c:pt idx="18">
                  <c:v>3.32E-2</c:v>
                </c:pt>
                <c:pt idx="19">
                  <c:v>3.3399999999999999E-2</c:v>
                </c:pt>
                <c:pt idx="20">
                  <c:v>3.3500000000000002E-2</c:v>
                </c:pt>
                <c:pt idx="21">
                  <c:v>3.3500000000000002E-2</c:v>
                </c:pt>
                <c:pt idx="22">
                  <c:v>3.32E-2</c:v>
                </c:pt>
                <c:pt idx="23">
                  <c:v>3.2599999999999997E-2</c:v>
                </c:pt>
                <c:pt idx="24">
                  <c:v>3.1800000000000002E-2</c:v>
                </c:pt>
                <c:pt idx="25">
                  <c:v>3.0800000000000001E-2</c:v>
                </c:pt>
                <c:pt idx="26">
                  <c:v>2.9499999999999998E-2</c:v>
                </c:pt>
                <c:pt idx="27">
                  <c:v>2.81E-2</c:v>
                </c:pt>
                <c:pt idx="28">
                  <c:v>2.6700000000000002E-2</c:v>
                </c:pt>
                <c:pt idx="29">
                  <c:v>2.52E-2</c:v>
                </c:pt>
                <c:pt idx="30">
                  <c:v>2.4E-2</c:v>
                </c:pt>
                <c:pt idx="31">
                  <c:v>2.3300000000000001E-2</c:v>
                </c:pt>
                <c:pt idx="32">
                  <c:v>2.35E-2</c:v>
                </c:pt>
                <c:pt idx="33">
                  <c:v>2.4799999999999999E-2</c:v>
                </c:pt>
                <c:pt idx="34">
                  <c:v>2.69E-2</c:v>
                </c:pt>
                <c:pt idx="35">
                  <c:v>2.93E-2</c:v>
                </c:pt>
                <c:pt idx="36">
                  <c:v>3.15E-2</c:v>
                </c:pt>
                <c:pt idx="37">
                  <c:v>3.3099999999999997E-2</c:v>
                </c:pt>
                <c:pt idx="38">
                  <c:v>3.4099999999999998E-2</c:v>
                </c:pt>
                <c:pt idx="39">
                  <c:v>3.4299999999999997E-2</c:v>
                </c:pt>
                <c:pt idx="40">
                  <c:v>3.4000000000000002E-2</c:v>
                </c:pt>
                <c:pt idx="41">
                  <c:v>3.3399999999999999E-2</c:v>
                </c:pt>
                <c:pt idx="42">
                  <c:v>3.27E-2</c:v>
                </c:pt>
                <c:pt idx="43">
                  <c:v>3.2099999999999997E-2</c:v>
                </c:pt>
                <c:pt idx="44">
                  <c:v>3.1600000000000003E-2</c:v>
                </c:pt>
                <c:pt idx="45">
                  <c:v>3.1300000000000001E-2</c:v>
                </c:pt>
                <c:pt idx="46">
                  <c:v>3.1099999999999999E-2</c:v>
                </c:pt>
                <c:pt idx="47">
                  <c:v>3.1E-2</c:v>
                </c:pt>
                <c:pt idx="48">
                  <c:v>3.09E-2</c:v>
                </c:pt>
                <c:pt idx="49">
                  <c:v>3.0800000000000001E-2</c:v>
                </c:pt>
                <c:pt idx="50">
                  <c:v>3.0599999999999999E-2</c:v>
                </c:pt>
                <c:pt idx="51">
                  <c:v>3.0300000000000001E-2</c:v>
                </c:pt>
                <c:pt idx="52">
                  <c:v>2.9899999999999999E-2</c:v>
                </c:pt>
                <c:pt idx="53">
                  <c:v>2.9499999999999998E-2</c:v>
                </c:pt>
                <c:pt idx="54">
                  <c:v>2.92E-2</c:v>
                </c:pt>
                <c:pt idx="55">
                  <c:v>2.9100000000000001E-2</c:v>
                </c:pt>
                <c:pt idx="56">
                  <c:v>2.92E-2</c:v>
                </c:pt>
                <c:pt idx="57">
                  <c:v>2.92E-2</c:v>
                </c:pt>
                <c:pt idx="58">
                  <c:v>2.9100000000000001E-2</c:v>
                </c:pt>
                <c:pt idx="59">
                  <c:v>2.9000000000000001E-2</c:v>
                </c:pt>
                <c:pt idx="60">
                  <c:v>2.8899999999999999E-2</c:v>
                </c:pt>
                <c:pt idx="61">
                  <c:v>2.8899999999999999E-2</c:v>
                </c:pt>
                <c:pt idx="62">
                  <c:v>2.8899999999999999E-2</c:v>
                </c:pt>
                <c:pt idx="63">
                  <c:v>2.8899999999999999E-2</c:v>
                </c:pt>
                <c:pt idx="64">
                  <c:v>2.8799999999999999E-2</c:v>
                </c:pt>
                <c:pt idx="65">
                  <c:v>2.87E-2</c:v>
                </c:pt>
                <c:pt idx="66">
                  <c:v>2.8400000000000002E-2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D6-4525-BF42-358DFC2E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180102"/>
        <c:axId val="2034744520"/>
      </c:lineChart>
      <c:catAx>
        <c:axId val="841180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4744520"/>
        <c:crosses val="autoZero"/>
        <c:auto val="1"/>
        <c:lblAlgn val="ctr"/>
        <c:lblOffset val="100"/>
        <c:noMultiLvlLbl val="1"/>
      </c:catAx>
      <c:valAx>
        <c:axId val="2034744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11801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Taniduna!$C$1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Taniduna!$C$2:$C$67</c:f>
              <c:numCache>
                <c:formatCode>#,##0</c:formatCode>
                <c:ptCount val="66"/>
                <c:pt idx="0">
                  <c:v>45062459.972715989</c:v>
                </c:pt>
                <c:pt idx="1">
                  <c:v>43521788.654351927</c:v>
                </c:pt>
                <c:pt idx="2">
                  <c:v>42045974.934162818</c:v>
                </c:pt>
                <c:pt idx="3">
                  <c:v>40635908.895489343</c:v>
                </c:pt>
                <c:pt idx="4">
                  <c:v>39295918.088665836</c:v>
                </c:pt>
                <c:pt idx="5">
                  <c:v>38025854.546802625</c:v>
                </c:pt>
                <c:pt idx="6">
                  <c:v>36825348.195625246</c:v>
                </c:pt>
                <c:pt idx="7">
                  <c:v>35680019.567508228</c:v>
                </c:pt>
                <c:pt idx="8">
                  <c:v>34583715.777365729</c:v>
                </c:pt>
                <c:pt idx="9">
                  <c:v>33524346.430172283</c:v>
                </c:pt>
                <c:pt idx="10">
                  <c:v>32497427.714397326</c:v>
                </c:pt>
                <c:pt idx="11">
                  <c:v>31498912.197729304</c:v>
                </c:pt>
                <c:pt idx="12">
                  <c:v>30528118.043932255</c:v>
                </c:pt>
                <c:pt idx="13">
                  <c:v>29578643.584858302</c:v>
                </c:pt>
                <c:pt idx="14">
                  <c:v>28650371.546743803</c:v>
                </c:pt>
                <c:pt idx="15">
                  <c:v>27745856.620902386</c:v>
                </c:pt>
                <c:pt idx="16">
                  <c:v>26864694.636814859</c:v>
                </c:pt>
                <c:pt idx="17">
                  <c:v>26006480.77135998</c:v>
                </c:pt>
                <c:pt idx="18">
                  <c:v>25170809.883236531</c:v>
                </c:pt>
                <c:pt idx="19">
                  <c:v>24357276.836884584</c:v>
                </c:pt>
                <c:pt idx="20">
                  <c:v>23567756.978117641</c:v>
                </c:pt>
                <c:pt idx="21">
                  <c:v>22803828.716127373</c:v>
                </c:pt>
                <c:pt idx="22">
                  <c:v>22071069.218086891</c:v>
                </c:pt>
                <c:pt idx="23">
                  <c:v>21374268.078720599</c:v>
                </c:pt>
                <c:pt idx="24">
                  <c:v>20715514.710913546</c:v>
                </c:pt>
                <c:pt idx="25">
                  <c:v>20096541.240699988</c:v>
                </c:pt>
                <c:pt idx="26">
                  <c:v>19520681.146867398</c:v>
                </c:pt>
                <c:pt idx="27">
                  <c:v>18987142.444185778</c:v>
                </c:pt>
                <c:pt idx="28">
                  <c:v>18493369.479093969</c:v>
                </c:pt>
                <c:pt idx="29">
                  <c:v>18038791.92264336</c:v>
                </c:pt>
                <c:pt idx="30">
                  <c:v>17616007.736956406</c:v>
                </c:pt>
                <c:pt idx="31">
                  <c:v>17214900.554047108</c:v>
                </c:pt>
                <c:pt idx="32">
                  <c:v>16819639.036685009</c:v>
                </c:pt>
                <c:pt idx="33">
                  <c:v>16412606.398014257</c:v>
                </c:pt>
                <c:pt idx="34">
                  <c:v>15982672.50756087</c:v>
                </c:pt>
                <c:pt idx="35">
                  <c:v>15527710.587351469</c:v>
                </c:pt>
                <c:pt idx="36">
                  <c:v>15053524.563598126</c:v>
                </c:pt>
                <c:pt idx="37">
                  <c:v>14571217.271898294</c:v>
                </c:pt>
                <c:pt idx="38">
                  <c:v>14090723.59723266</c:v>
                </c:pt>
                <c:pt idx="39">
                  <c:v>13623439.618324142</c:v>
                </c:pt>
                <c:pt idx="40">
                  <c:v>13175473.518688725</c:v>
                </c:pt>
                <c:pt idx="41">
                  <c:v>12749635.686751233</c:v>
                </c:pt>
                <c:pt idx="42">
                  <c:v>12345923.972839385</c:v>
                </c:pt>
                <c:pt idx="43">
                  <c:v>11961945.521596149</c:v>
                </c:pt>
                <c:pt idx="44">
                  <c:v>11595526.872427441</c:v>
                </c:pt>
                <c:pt idx="45">
                  <c:v>11243602.125887172</c:v>
                </c:pt>
                <c:pt idx="46">
                  <c:v>10904473.015117034</c:v>
                </c:pt>
                <c:pt idx="47">
                  <c:v>10576598.462771131</c:v>
                </c:pt>
                <c:pt idx="48">
                  <c:v>10259577.517480969</c:v>
                </c:pt>
                <c:pt idx="49">
                  <c:v>9953024.3669780456</c:v>
                </c:pt>
                <c:pt idx="50">
                  <c:v>9657504.7224704493</c:v>
                </c:pt>
                <c:pt idx="51">
                  <c:v>9373488.0350096561</c:v>
                </c:pt>
                <c:pt idx="52">
                  <c:v>9101357.4473343585</c:v>
                </c:pt>
                <c:pt idx="53">
                  <c:v>8840560.9007618818</c:v>
                </c:pt>
                <c:pt idx="54">
                  <c:v>8589740.4787814636</c:v>
                </c:pt>
                <c:pt idx="55">
                  <c:v>8346847.2245471422</c:v>
                </c:pt>
                <c:pt idx="56">
                  <c:v>8110034.2251721174</c:v>
                </c:pt>
                <c:pt idx="57">
                  <c:v>7879939.9778197808</c:v>
                </c:pt>
                <c:pt idx="58">
                  <c:v>7657117.8484304557</c:v>
                </c:pt>
                <c:pt idx="59">
                  <c:v>7441319.5805932516</c:v>
                </c:pt>
                <c:pt idx="60">
                  <c:v>7232305.9389573839</c:v>
                </c:pt>
                <c:pt idx="61">
                  <c:v>7029163.1246548593</c:v>
                </c:pt>
                <c:pt idx="62">
                  <c:v>6831726.2364222566</c:v>
                </c:pt>
                <c:pt idx="63">
                  <c:v>6639835.0047839992</c:v>
                </c:pt>
                <c:pt idx="64">
                  <c:v>6453960.9299999997</c:v>
                </c:pt>
                <c:pt idx="65">
                  <c:v>6273900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8-401B-ABE0-46A4E6E9D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27365"/>
        <c:axId val="15107725"/>
      </c:lineChart>
      <c:catAx>
        <c:axId val="139527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07725"/>
        <c:crosses val="autoZero"/>
        <c:auto val="1"/>
        <c:lblAlgn val="ctr"/>
        <c:lblOffset val="100"/>
        <c:noMultiLvlLbl val="1"/>
      </c:catAx>
      <c:valAx>
        <c:axId val="15107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5273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Taoisia!$D$1:$D$67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2.7199999999999998E-2</c:v>
                </c:pt>
                <c:pt idx="2">
                  <c:v>2.7199999999999998E-2</c:v>
                </c:pt>
                <c:pt idx="3">
                  <c:v>2.76E-2</c:v>
                </c:pt>
                <c:pt idx="4">
                  <c:v>2.8400000000000002E-2</c:v>
                </c:pt>
                <c:pt idx="5">
                  <c:v>2.8799999999999999E-2</c:v>
                </c:pt>
                <c:pt idx="6">
                  <c:v>2.8799999999999999E-2</c:v>
                </c:pt>
                <c:pt idx="7">
                  <c:v>2.8799999999999999E-2</c:v>
                </c:pt>
                <c:pt idx="8">
                  <c:v>2.9399999999999999E-2</c:v>
                </c:pt>
                <c:pt idx="9">
                  <c:v>2.9700000000000001E-2</c:v>
                </c:pt>
                <c:pt idx="10">
                  <c:v>2.98E-2</c:v>
                </c:pt>
                <c:pt idx="11">
                  <c:v>3.0099999999999998E-2</c:v>
                </c:pt>
                <c:pt idx="12">
                  <c:v>3.04E-2</c:v>
                </c:pt>
                <c:pt idx="13">
                  <c:v>3.0700000000000002E-2</c:v>
                </c:pt>
                <c:pt idx="14">
                  <c:v>3.09E-2</c:v>
                </c:pt>
                <c:pt idx="15">
                  <c:v>3.0800000000000001E-2</c:v>
                </c:pt>
                <c:pt idx="16">
                  <c:v>3.1199999999999999E-2</c:v>
                </c:pt>
                <c:pt idx="17">
                  <c:v>3.1699999999999999E-2</c:v>
                </c:pt>
                <c:pt idx="18">
                  <c:v>3.1899999999999998E-2</c:v>
                </c:pt>
                <c:pt idx="19">
                  <c:v>3.2599999999999997E-2</c:v>
                </c:pt>
                <c:pt idx="20">
                  <c:v>3.3500000000000002E-2</c:v>
                </c:pt>
                <c:pt idx="21">
                  <c:v>3.4599999999999999E-2</c:v>
                </c:pt>
                <c:pt idx="22">
                  <c:v>3.5400000000000001E-2</c:v>
                </c:pt>
                <c:pt idx="23">
                  <c:v>3.5799999999999998E-2</c:v>
                </c:pt>
                <c:pt idx="24">
                  <c:v>4.2999999999999997E-2</c:v>
                </c:pt>
                <c:pt idx="25">
                  <c:v>4.4299999999999999E-2</c:v>
                </c:pt>
                <c:pt idx="26">
                  <c:v>3.7699999999999997E-2</c:v>
                </c:pt>
                <c:pt idx="27">
                  <c:v>3.9199999999999999E-2</c:v>
                </c:pt>
                <c:pt idx="28">
                  <c:v>3.9800000000000002E-2</c:v>
                </c:pt>
                <c:pt idx="29">
                  <c:v>3.4700000000000002E-2</c:v>
                </c:pt>
                <c:pt idx="30">
                  <c:v>0.03</c:v>
                </c:pt>
                <c:pt idx="31">
                  <c:v>2.86E-2</c:v>
                </c:pt>
                <c:pt idx="32">
                  <c:v>2.64E-2</c:v>
                </c:pt>
                <c:pt idx="33">
                  <c:v>2.8299999999999999E-2</c:v>
                </c:pt>
                <c:pt idx="34">
                  <c:v>3.9600000000000003E-2</c:v>
                </c:pt>
                <c:pt idx="35">
                  <c:v>2.5399999999999999E-2</c:v>
                </c:pt>
                <c:pt idx="36">
                  <c:v>5.4999999999999997E-3</c:v>
                </c:pt>
                <c:pt idx="37">
                  <c:v>1.49E-2</c:v>
                </c:pt>
                <c:pt idx="38">
                  <c:v>1.7100000000000001E-2</c:v>
                </c:pt>
                <c:pt idx="39">
                  <c:v>1.95E-2</c:v>
                </c:pt>
                <c:pt idx="40">
                  <c:v>2.5600000000000001E-2</c:v>
                </c:pt>
                <c:pt idx="41">
                  <c:v>2.47E-2</c:v>
                </c:pt>
                <c:pt idx="42">
                  <c:v>2.6200000000000001E-2</c:v>
                </c:pt>
                <c:pt idx="43">
                  <c:v>2.7E-2</c:v>
                </c:pt>
                <c:pt idx="44">
                  <c:v>2.7099999999999999E-2</c:v>
                </c:pt>
                <c:pt idx="45">
                  <c:v>2.7699999999999999E-2</c:v>
                </c:pt>
                <c:pt idx="46">
                  <c:v>2.7900000000000001E-2</c:v>
                </c:pt>
                <c:pt idx="47">
                  <c:v>2.7900000000000001E-2</c:v>
                </c:pt>
                <c:pt idx="48">
                  <c:v>2.8000000000000001E-2</c:v>
                </c:pt>
                <c:pt idx="49">
                  <c:v>2.6800000000000001E-2</c:v>
                </c:pt>
                <c:pt idx="50">
                  <c:v>2.64E-2</c:v>
                </c:pt>
                <c:pt idx="51">
                  <c:v>2.7199999999999998E-2</c:v>
                </c:pt>
                <c:pt idx="52">
                  <c:v>2.6700000000000002E-2</c:v>
                </c:pt>
                <c:pt idx="53">
                  <c:v>2.6100000000000002E-2</c:v>
                </c:pt>
                <c:pt idx="54">
                  <c:v>2.5499999999999998E-2</c:v>
                </c:pt>
                <c:pt idx="55">
                  <c:v>2.4799999999999999E-2</c:v>
                </c:pt>
                <c:pt idx="56">
                  <c:v>2.3900000000000001E-2</c:v>
                </c:pt>
                <c:pt idx="57">
                  <c:v>1.9400000000000001E-2</c:v>
                </c:pt>
                <c:pt idx="58">
                  <c:v>1.52E-2</c:v>
                </c:pt>
                <c:pt idx="59">
                  <c:v>1.7899999999999999E-2</c:v>
                </c:pt>
                <c:pt idx="60">
                  <c:v>2.06E-2</c:v>
                </c:pt>
                <c:pt idx="61">
                  <c:v>2.01E-2</c:v>
                </c:pt>
                <c:pt idx="62">
                  <c:v>1.95E-2</c:v>
                </c:pt>
                <c:pt idx="63">
                  <c:v>1.9E-2</c:v>
                </c:pt>
                <c:pt idx="64">
                  <c:v>1.8700000000000001E-2</c:v>
                </c:pt>
                <c:pt idx="65">
                  <c:v>1.8499999999999999E-2</c:v>
                </c:pt>
                <c:pt idx="66">
                  <c:v>1.83E-2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F5-4C64-A256-713D7B148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489869"/>
        <c:axId val="544112311"/>
      </c:lineChart>
      <c:catAx>
        <c:axId val="1370489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4112311"/>
        <c:crosses val="autoZero"/>
        <c:auto val="1"/>
        <c:lblAlgn val="ctr"/>
        <c:lblOffset val="100"/>
        <c:noMultiLvlLbl val="1"/>
      </c:catAx>
      <c:valAx>
        <c:axId val="544112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4898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Taoisia!$C$1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Taoisia!$C$2:$C$67</c:f>
              <c:numCache>
                <c:formatCode>#,##0</c:formatCode>
                <c:ptCount val="66"/>
                <c:pt idx="0">
                  <c:v>11247548.07240485</c:v>
                </c:pt>
                <c:pt idx="1">
                  <c:v>10949715.802574817</c:v>
                </c:pt>
                <c:pt idx="2">
                  <c:v>10659770.057023771</c:v>
                </c:pt>
                <c:pt idx="3">
                  <c:v>10373462.492238002</c:v>
                </c:pt>
                <c:pt idx="4">
                  <c:v>10086991.92166278</c:v>
                </c:pt>
                <c:pt idx="5">
                  <c:v>9804618.8974171653</c:v>
                </c:pt>
                <c:pt idx="6">
                  <c:v>9530150.5612530764</c:v>
                </c:pt>
                <c:pt idx="7">
                  <c:v>9263365.6310780291</c:v>
                </c:pt>
                <c:pt idx="8">
                  <c:v>8998800.8850573432</c:v>
                </c:pt>
                <c:pt idx="9">
                  <c:v>8739245.2996575143</c:v>
                </c:pt>
                <c:pt idx="10">
                  <c:v>8486352.0097664725</c:v>
                </c:pt>
                <c:pt idx="11">
                  <c:v>8238376.8660969539</c:v>
                </c:pt>
                <c:pt idx="12">
                  <c:v>7995319.1635257704</c:v>
                </c:pt>
                <c:pt idx="13">
                  <c:v>7757173.9240572145</c:v>
                </c:pt>
                <c:pt idx="14">
                  <c:v>7524661.8722060481</c:v>
                </c:pt>
                <c:pt idx="15">
                  <c:v>7299827.1946119992</c:v>
                </c:pt>
                <c:pt idx="16">
                  <c:v>7078963.5324010858</c:v>
                </c:pt>
                <c:pt idx="17">
                  <c:v>6861455.3963371962</c:v>
                </c:pt>
                <c:pt idx="18">
                  <c:v>6649341.4055016916</c:v>
                </c:pt>
                <c:pt idx="19">
                  <c:v>6439416.4298873637</c:v>
                </c:pt>
                <c:pt idx="20">
                  <c:v>6230688.3695088178</c:v>
                </c:pt>
                <c:pt idx="21">
                  <c:v>6022316.2280193483</c:v>
                </c:pt>
                <c:pt idx="22">
                  <c:v>5816415.1323346999</c:v>
                </c:pt>
                <c:pt idx="23">
                  <c:v>5615384.3718234207</c:v>
                </c:pt>
                <c:pt idx="24">
                  <c:v>5383877.6335795028</c:v>
                </c:pt>
                <c:pt idx="25">
                  <c:v>5155489.4509044364</c:v>
                </c:pt>
                <c:pt idx="26">
                  <c:v>4968188.7355733216</c:v>
                </c:pt>
                <c:pt idx="27">
                  <c:v>4780782.0781113571</c:v>
                </c:pt>
                <c:pt idx="28">
                  <c:v>4597790.0347291371</c:v>
                </c:pt>
                <c:pt idx="29">
                  <c:v>4443597.2114904197</c:v>
                </c:pt>
                <c:pt idx="30">
                  <c:v>4314172.0499906987</c:v>
                </c:pt>
                <c:pt idx="31">
                  <c:v>4194217.4314511949</c:v>
                </c:pt>
                <c:pt idx="32">
                  <c:v>4086338.1054668697</c:v>
                </c:pt>
                <c:pt idx="33">
                  <c:v>3973877.3757336084</c:v>
                </c:pt>
                <c:pt idx="34">
                  <c:v>3822506.1328718816</c:v>
                </c:pt>
                <c:pt idx="35">
                  <c:v>3727819.5171366115</c:v>
                </c:pt>
                <c:pt idx="36">
                  <c:v>3707428.65950931</c:v>
                </c:pt>
                <c:pt idx="37">
                  <c:v>3652998.9747850136</c:v>
                </c:pt>
                <c:pt idx="38">
                  <c:v>3591582.9070740477</c:v>
                </c:pt>
                <c:pt idx="39">
                  <c:v>3522886.6180226067</c:v>
                </c:pt>
                <c:pt idx="40">
                  <c:v>3434951.8506460669</c:v>
                </c:pt>
                <c:pt idx="41">
                  <c:v>3352153.6553587071</c:v>
                </c:pt>
                <c:pt idx="42">
                  <c:v>3266569.5335789388</c:v>
                </c:pt>
                <c:pt idx="43">
                  <c:v>3180690.8798236991</c:v>
                </c:pt>
                <c:pt idx="44">
                  <c:v>3096768.4547012942</c:v>
                </c:pt>
                <c:pt idx="45">
                  <c:v>3013300.0434964425</c:v>
                </c:pt>
                <c:pt idx="46">
                  <c:v>2931510.8896745234</c:v>
                </c:pt>
                <c:pt idx="47">
                  <c:v>2851941.7158036027</c:v>
                </c:pt>
                <c:pt idx="48">
                  <c:v>2774262.3694587573</c:v>
                </c:pt>
                <c:pt idx="49">
                  <c:v>2701852.7166524711</c:v>
                </c:pt>
                <c:pt idx="50">
                  <c:v>2632358.4534805836</c:v>
                </c:pt>
                <c:pt idx="51">
                  <c:v>2562654.257671908</c:v>
                </c:pt>
                <c:pt idx="52">
                  <c:v>2496010.770109972</c:v>
                </c:pt>
                <c:pt idx="53">
                  <c:v>2432521.9472858123</c:v>
                </c:pt>
                <c:pt idx="54">
                  <c:v>2372035.0534235127</c:v>
                </c:pt>
                <c:pt idx="55">
                  <c:v>2314632.175471812</c:v>
                </c:pt>
                <c:pt idx="56">
                  <c:v>2260603.7459437563</c:v>
                </c:pt>
                <c:pt idx="57">
                  <c:v>2217582.642675845</c:v>
                </c:pt>
                <c:pt idx="58">
                  <c:v>2184380.065677546</c:v>
                </c:pt>
                <c:pt idx="59">
                  <c:v>2145967.2518690894</c:v>
                </c:pt>
                <c:pt idx="60">
                  <c:v>2102652.6081413771</c:v>
                </c:pt>
                <c:pt idx="61">
                  <c:v>2061222.0450361506</c:v>
                </c:pt>
                <c:pt idx="62">
                  <c:v>2021797.0034685144</c:v>
                </c:pt>
                <c:pt idx="63">
                  <c:v>1984099.1201849997</c:v>
                </c:pt>
                <c:pt idx="64">
                  <c:v>1947677.5499999998</c:v>
                </c:pt>
                <c:pt idx="65">
                  <c:v>1912300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0-4B47-A1C8-8BB69FFC4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672249"/>
        <c:axId val="1254927378"/>
      </c:lineChart>
      <c:catAx>
        <c:axId val="746672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4927378"/>
        <c:crosses val="autoZero"/>
        <c:auto val="1"/>
        <c:lblAlgn val="ctr"/>
        <c:lblOffset val="100"/>
        <c:noMultiLvlLbl val="1"/>
      </c:catAx>
      <c:valAx>
        <c:axId val="1254927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66722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Taval!$D$1:$D$67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-8.0000000000000004E-4</c:v>
                </c:pt>
                <c:pt idx="2">
                  <c:v>-1E-3</c:v>
                </c:pt>
                <c:pt idx="3">
                  <c:v>1.1000000000000001E-3</c:v>
                </c:pt>
                <c:pt idx="4">
                  <c:v>3.3999999999999998E-3</c:v>
                </c:pt>
                <c:pt idx="5">
                  <c:v>4.7000000000000002E-3</c:v>
                </c:pt>
                <c:pt idx="6">
                  <c:v>6.1000000000000004E-3</c:v>
                </c:pt>
                <c:pt idx="7">
                  <c:v>8.2000000000000007E-3</c:v>
                </c:pt>
                <c:pt idx="8">
                  <c:v>1.09E-2</c:v>
                </c:pt>
                <c:pt idx="9">
                  <c:v>1.34E-2</c:v>
                </c:pt>
                <c:pt idx="10">
                  <c:v>1.55E-2</c:v>
                </c:pt>
                <c:pt idx="11">
                  <c:v>1.6799999999999999E-2</c:v>
                </c:pt>
                <c:pt idx="12">
                  <c:v>1.72E-2</c:v>
                </c:pt>
                <c:pt idx="13">
                  <c:v>1.6400000000000001E-2</c:v>
                </c:pt>
                <c:pt idx="14">
                  <c:v>1.49E-2</c:v>
                </c:pt>
                <c:pt idx="15">
                  <c:v>1.2699999999999999E-2</c:v>
                </c:pt>
                <c:pt idx="16">
                  <c:v>1.0200000000000001E-2</c:v>
                </c:pt>
                <c:pt idx="17">
                  <c:v>7.7999999999999996E-3</c:v>
                </c:pt>
                <c:pt idx="18">
                  <c:v>6.1000000000000004E-3</c:v>
                </c:pt>
                <c:pt idx="19">
                  <c:v>5.1999999999999998E-3</c:v>
                </c:pt>
                <c:pt idx="20">
                  <c:v>4.7999999999999996E-3</c:v>
                </c:pt>
                <c:pt idx="21">
                  <c:v>4.3E-3</c:v>
                </c:pt>
                <c:pt idx="22">
                  <c:v>3.8E-3</c:v>
                </c:pt>
                <c:pt idx="23">
                  <c:v>3.0999999999999999E-3</c:v>
                </c:pt>
                <c:pt idx="24">
                  <c:v>2.3999999999999998E-3</c:v>
                </c:pt>
                <c:pt idx="25">
                  <c:v>1.6000000000000001E-3</c:v>
                </c:pt>
                <c:pt idx="26">
                  <c:v>1.1000000000000001E-3</c:v>
                </c:pt>
                <c:pt idx="27">
                  <c:v>1.5E-3</c:v>
                </c:pt>
                <c:pt idx="28">
                  <c:v>2.3999999999999998E-3</c:v>
                </c:pt>
                <c:pt idx="29">
                  <c:v>3.2000000000000002E-3</c:v>
                </c:pt>
                <c:pt idx="30">
                  <c:v>3.8E-3</c:v>
                </c:pt>
                <c:pt idx="31">
                  <c:v>4.4000000000000003E-3</c:v>
                </c:pt>
                <c:pt idx="32">
                  <c:v>5.0000000000000001E-3</c:v>
                </c:pt>
                <c:pt idx="33">
                  <c:v>5.7000000000000002E-3</c:v>
                </c:pt>
                <c:pt idx="34">
                  <c:v>6.4999999999999997E-3</c:v>
                </c:pt>
                <c:pt idx="35">
                  <c:v>7.4000000000000003E-3</c:v>
                </c:pt>
                <c:pt idx="36">
                  <c:v>8.5000000000000006E-3</c:v>
                </c:pt>
                <c:pt idx="37">
                  <c:v>9.5999999999999992E-3</c:v>
                </c:pt>
                <c:pt idx="38">
                  <c:v>1.0500000000000001E-2</c:v>
                </c:pt>
                <c:pt idx="39">
                  <c:v>1.11E-2</c:v>
                </c:pt>
                <c:pt idx="40">
                  <c:v>1.1299999999999999E-2</c:v>
                </c:pt>
                <c:pt idx="41">
                  <c:v>1.11E-2</c:v>
                </c:pt>
                <c:pt idx="42">
                  <c:v>1.06E-2</c:v>
                </c:pt>
                <c:pt idx="43">
                  <c:v>1.0200000000000001E-2</c:v>
                </c:pt>
                <c:pt idx="44">
                  <c:v>9.9000000000000008E-3</c:v>
                </c:pt>
                <c:pt idx="45">
                  <c:v>9.5999999999999992E-3</c:v>
                </c:pt>
                <c:pt idx="46">
                  <c:v>9.4999999999999998E-3</c:v>
                </c:pt>
                <c:pt idx="47">
                  <c:v>9.4999999999999998E-3</c:v>
                </c:pt>
                <c:pt idx="48">
                  <c:v>9.5999999999999992E-3</c:v>
                </c:pt>
                <c:pt idx="49">
                  <c:v>9.7999999999999997E-3</c:v>
                </c:pt>
                <c:pt idx="50">
                  <c:v>1.0200000000000001E-2</c:v>
                </c:pt>
                <c:pt idx="51">
                  <c:v>1.06E-2</c:v>
                </c:pt>
                <c:pt idx="52">
                  <c:v>1.0999999999999999E-2</c:v>
                </c:pt>
                <c:pt idx="53">
                  <c:v>1.12E-2</c:v>
                </c:pt>
                <c:pt idx="54">
                  <c:v>1.12E-2</c:v>
                </c:pt>
                <c:pt idx="55">
                  <c:v>1.0999999999999999E-2</c:v>
                </c:pt>
                <c:pt idx="56">
                  <c:v>1.06E-2</c:v>
                </c:pt>
                <c:pt idx="57">
                  <c:v>1.01E-2</c:v>
                </c:pt>
                <c:pt idx="58">
                  <c:v>9.4999999999999998E-3</c:v>
                </c:pt>
                <c:pt idx="59">
                  <c:v>8.8999999999999999E-3</c:v>
                </c:pt>
                <c:pt idx="60">
                  <c:v>8.3999999999999995E-3</c:v>
                </c:pt>
                <c:pt idx="61">
                  <c:v>8.0999999999999996E-3</c:v>
                </c:pt>
                <c:pt idx="62">
                  <c:v>7.9000000000000008E-3</c:v>
                </c:pt>
                <c:pt idx="63">
                  <c:v>7.7999999999999996E-3</c:v>
                </c:pt>
                <c:pt idx="64">
                  <c:v>7.6E-3</c:v>
                </c:pt>
                <c:pt idx="65">
                  <c:v>7.3000000000000001E-3</c:v>
                </c:pt>
                <c:pt idx="66">
                  <c:v>6.7999999999999996E-3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49-4CF9-9117-C32455A3C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023202"/>
        <c:axId val="1382747726"/>
      </c:lineChart>
      <c:catAx>
        <c:axId val="1871023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2747726"/>
        <c:crosses val="autoZero"/>
        <c:auto val="1"/>
        <c:lblAlgn val="ctr"/>
        <c:lblOffset val="100"/>
        <c:noMultiLvlLbl val="1"/>
      </c:catAx>
      <c:valAx>
        <c:axId val="1382747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10232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Taval!$C$1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Taval!$C$2:$C$67</c:f>
              <c:numCache>
                <c:formatCode>#,##0</c:formatCode>
                <c:ptCount val="66"/>
                <c:pt idx="0">
                  <c:v>44529500.910028689</c:v>
                </c:pt>
                <c:pt idx="1">
                  <c:v>44565153.032454655</c:v>
                </c:pt>
                <c:pt idx="2">
                  <c:v>44609762.795249902</c:v>
                </c:pt>
                <c:pt idx="3">
                  <c:v>44560745.974677749</c:v>
                </c:pt>
                <c:pt idx="4">
                  <c:v>44409752.815106384</c:v>
                </c:pt>
                <c:pt idx="5">
                  <c:v>44202003.399130471</c:v>
                </c:pt>
                <c:pt idx="6">
                  <c:v>43934005.962757647</c:v>
                </c:pt>
                <c:pt idx="7">
                  <c:v>43576677.20963861</c:v>
                </c:pt>
                <c:pt idx="8">
                  <c:v>43106812.948499963</c:v>
                </c:pt>
                <c:pt idx="9">
                  <c:v>42536819.566311389</c:v>
                </c:pt>
                <c:pt idx="10">
                  <c:v>41887562.349888124</c:v>
                </c:pt>
                <c:pt idx="11">
                  <c:v>41195478.314209409</c:v>
                </c:pt>
                <c:pt idx="12">
                  <c:v>40498897.280976608</c:v>
                </c:pt>
                <c:pt idx="13">
                  <c:v>39845432.193011224</c:v>
                </c:pt>
                <c:pt idx="14">
                  <c:v>39260451.466165364</c:v>
                </c:pt>
                <c:pt idx="15">
                  <c:v>38768096.638851948</c:v>
                </c:pt>
                <c:pt idx="16">
                  <c:v>38376654.760296918</c:v>
                </c:pt>
                <c:pt idx="17">
                  <c:v>38079633.618075922</c:v>
                </c:pt>
                <c:pt idx="18">
                  <c:v>37848756.205224052</c:v>
                </c:pt>
                <c:pt idx="19">
                  <c:v>37652960.809017159</c:v>
                </c:pt>
                <c:pt idx="20">
                  <c:v>37473089.977126956</c:v>
                </c:pt>
                <c:pt idx="21">
                  <c:v>37312645.601042472</c:v>
                </c:pt>
                <c:pt idx="22">
                  <c:v>37171394.302692242</c:v>
                </c:pt>
                <c:pt idx="23">
                  <c:v>37056519.09350238</c:v>
                </c:pt>
                <c:pt idx="24">
                  <c:v>36967796.382185139</c:v>
                </c:pt>
                <c:pt idx="25">
                  <c:v>36908742.394354172</c:v>
                </c:pt>
                <c:pt idx="26">
                  <c:v>36868187.38822712</c:v>
                </c:pt>
                <c:pt idx="27">
                  <c:v>36812967.936322637</c:v>
                </c:pt>
                <c:pt idx="28">
                  <c:v>36724828.348286748</c:v>
                </c:pt>
                <c:pt idx="29">
                  <c:v>36607683.760253929</c:v>
                </c:pt>
                <c:pt idx="30">
                  <c:v>36469101.175785944</c:v>
                </c:pt>
                <c:pt idx="31">
                  <c:v>36309340.079436421</c:v>
                </c:pt>
                <c:pt idx="32">
                  <c:v>36128696.596454151</c:v>
                </c:pt>
                <c:pt idx="33">
                  <c:v>35923930.194346376</c:v>
                </c:pt>
                <c:pt idx="34">
                  <c:v>35691932.632236838</c:v>
                </c:pt>
                <c:pt idx="35">
                  <c:v>35429752.464003213</c:v>
                </c:pt>
                <c:pt idx="36">
                  <c:v>35131137.792764716</c:v>
                </c:pt>
                <c:pt idx="37">
                  <c:v>34797085.769378677</c:v>
                </c:pt>
                <c:pt idx="38">
                  <c:v>34435512.884095676</c:v>
                </c:pt>
                <c:pt idx="39">
                  <c:v>34057474.912566185</c:v>
                </c:pt>
                <c:pt idx="40">
                  <c:v>33676925.652690776</c:v>
                </c:pt>
                <c:pt idx="41">
                  <c:v>33307215.55997505</c:v>
                </c:pt>
                <c:pt idx="42">
                  <c:v>32957862.220438406</c:v>
                </c:pt>
                <c:pt idx="43">
                  <c:v>32625086.339772724</c:v>
                </c:pt>
                <c:pt idx="44">
                  <c:v>32305264.223955564</c:v>
                </c:pt>
                <c:pt idx="45">
                  <c:v>31998082.630700834</c:v>
                </c:pt>
                <c:pt idx="46">
                  <c:v>31696961.496484231</c:v>
                </c:pt>
                <c:pt idx="47">
                  <c:v>31398674.092604488</c:v>
                </c:pt>
                <c:pt idx="48">
                  <c:v>31100113.007730275</c:v>
                </c:pt>
                <c:pt idx="49">
                  <c:v>30798289.768003836</c:v>
                </c:pt>
                <c:pt idx="50">
                  <c:v>30487319.113050718</c:v>
                </c:pt>
                <c:pt idx="51">
                  <c:v>30167543.155601345</c:v>
                </c:pt>
                <c:pt idx="52">
                  <c:v>29839310.73748897</c:v>
                </c:pt>
                <c:pt idx="53">
                  <c:v>29508812.042611714</c:v>
                </c:pt>
                <c:pt idx="54">
                  <c:v>29181973.934544809</c:v>
                </c:pt>
                <c:pt idx="55">
                  <c:v>28864464.821508221</c:v>
                </c:pt>
                <c:pt idx="56">
                  <c:v>28561710.688213162</c:v>
                </c:pt>
                <c:pt idx="57">
                  <c:v>28276121.857452888</c:v>
                </c:pt>
                <c:pt idx="58">
                  <c:v>28010026.604708157</c:v>
                </c:pt>
                <c:pt idx="59">
                  <c:v>27762936.470124055</c:v>
                </c:pt>
                <c:pt idx="60">
                  <c:v>27531670.43844115</c:v>
                </c:pt>
                <c:pt idx="61">
                  <c:v>27310455.746891331</c:v>
                </c:pt>
                <c:pt idx="62">
                  <c:v>27096394.232454937</c:v>
                </c:pt>
                <c:pt idx="63">
                  <c:v>26886678.142940003</c:v>
                </c:pt>
                <c:pt idx="64">
                  <c:v>26683880.650000002</c:v>
                </c:pt>
                <c:pt idx="65">
                  <c:v>26490500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C-4ECF-A8D7-309E90E43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347192"/>
        <c:axId val="36712823"/>
      </c:lineChart>
      <c:catAx>
        <c:axId val="150834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712823"/>
        <c:crosses val="autoZero"/>
        <c:auto val="1"/>
        <c:lblAlgn val="ctr"/>
        <c:lblOffset val="100"/>
        <c:noMultiLvlLbl val="1"/>
      </c:catAx>
      <c:valAx>
        <c:axId val="36712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83471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Terressin!$D$1:$D$67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1.1299999999999999E-2</c:v>
                </c:pt>
                <c:pt idx="2">
                  <c:v>1.14E-2</c:v>
                </c:pt>
                <c:pt idx="3">
                  <c:v>1.15E-2</c:v>
                </c:pt>
                <c:pt idx="4">
                  <c:v>1.18E-2</c:v>
                </c:pt>
                <c:pt idx="5">
                  <c:v>1.23E-2</c:v>
                </c:pt>
                <c:pt idx="6">
                  <c:v>1.29E-2</c:v>
                </c:pt>
                <c:pt idx="7">
                  <c:v>1.34E-2</c:v>
                </c:pt>
                <c:pt idx="8">
                  <c:v>1.38E-2</c:v>
                </c:pt>
                <c:pt idx="9">
                  <c:v>1.4200000000000001E-2</c:v>
                </c:pt>
                <c:pt idx="10">
                  <c:v>1.46E-2</c:v>
                </c:pt>
                <c:pt idx="11">
                  <c:v>1.49E-2</c:v>
                </c:pt>
                <c:pt idx="12">
                  <c:v>1.52E-2</c:v>
                </c:pt>
                <c:pt idx="13">
                  <c:v>1.5599999999999999E-2</c:v>
                </c:pt>
                <c:pt idx="14">
                  <c:v>1.6199999999999999E-2</c:v>
                </c:pt>
                <c:pt idx="15">
                  <c:v>1.7000000000000001E-2</c:v>
                </c:pt>
                <c:pt idx="16">
                  <c:v>1.8100000000000002E-2</c:v>
                </c:pt>
                <c:pt idx="17">
                  <c:v>1.9300000000000001E-2</c:v>
                </c:pt>
                <c:pt idx="18">
                  <c:v>2.0500000000000001E-2</c:v>
                </c:pt>
                <c:pt idx="19">
                  <c:v>2.1499999999999998E-2</c:v>
                </c:pt>
                <c:pt idx="20">
                  <c:v>2.2200000000000001E-2</c:v>
                </c:pt>
                <c:pt idx="21">
                  <c:v>2.2700000000000001E-2</c:v>
                </c:pt>
                <c:pt idx="22">
                  <c:v>2.3E-2</c:v>
                </c:pt>
                <c:pt idx="23">
                  <c:v>2.35E-2</c:v>
                </c:pt>
                <c:pt idx="24">
                  <c:v>2.41E-2</c:v>
                </c:pt>
                <c:pt idx="25">
                  <c:v>2.4899999999999999E-2</c:v>
                </c:pt>
                <c:pt idx="26">
                  <c:v>2.5600000000000001E-2</c:v>
                </c:pt>
                <c:pt idx="27">
                  <c:v>2.63E-2</c:v>
                </c:pt>
                <c:pt idx="28">
                  <c:v>2.7E-2</c:v>
                </c:pt>
                <c:pt idx="29">
                  <c:v>2.7699999999999999E-2</c:v>
                </c:pt>
                <c:pt idx="30">
                  <c:v>2.8400000000000002E-2</c:v>
                </c:pt>
                <c:pt idx="31">
                  <c:v>2.92E-2</c:v>
                </c:pt>
                <c:pt idx="32">
                  <c:v>3.0099999999999998E-2</c:v>
                </c:pt>
                <c:pt idx="33">
                  <c:v>3.1199999999999999E-2</c:v>
                </c:pt>
                <c:pt idx="34">
                  <c:v>3.2599999999999997E-2</c:v>
                </c:pt>
                <c:pt idx="35">
                  <c:v>3.4099999999999998E-2</c:v>
                </c:pt>
                <c:pt idx="36">
                  <c:v>3.4200000000000001E-2</c:v>
                </c:pt>
                <c:pt idx="37">
                  <c:v>3.1699999999999999E-2</c:v>
                </c:pt>
                <c:pt idx="38">
                  <c:v>2.7300000000000001E-2</c:v>
                </c:pt>
                <c:pt idx="39">
                  <c:v>2.41E-2</c:v>
                </c:pt>
                <c:pt idx="40">
                  <c:v>2.4E-2</c:v>
                </c:pt>
                <c:pt idx="41">
                  <c:v>2.7400000000000001E-2</c:v>
                </c:pt>
                <c:pt idx="42">
                  <c:v>3.1099999999999999E-2</c:v>
                </c:pt>
                <c:pt idx="43">
                  <c:v>3.3000000000000002E-2</c:v>
                </c:pt>
                <c:pt idx="44">
                  <c:v>3.2300000000000002E-2</c:v>
                </c:pt>
                <c:pt idx="45">
                  <c:v>3.1300000000000001E-2</c:v>
                </c:pt>
                <c:pt idx="46">
                  <c:v>3.1E-2</c:v>
                </c:pt>
                <c:pt idx="47">
                  <c:v>3.1099999999999999E-2</c:v>
                </c:pt>
                <c:pt idx="48">
                  <c:v>3.1199999999999999E-2</c:v>
                </c:pt>
                <c:pt idx="49">
                  <c:v>3.1199999999999999E-2</c:v>
                </c:pt>
                <c:pt idx="50">
                  <c:v>3.1199999999999999E-2</c:v>
                </c:pt>
                <c:pt idx="51">
                  <c:v>3.1099999999999999E-2</c:v>
                </c:pt>
                <c:pt idx="52">
                  <c:v>3.1E-2</c:v>
                </c:pt>
                <c:pt idx="53">
                  <c:v>3.0800000000000001E-2</c:v>
                </c:pt>
                <c:pt idx="54">
                  <c:v>3.0599999999999999E-2</c:v>
                </c:pt>
                <c:pt idx="55">
                  <c:v>3.04E-2</c:v>
                </c:pt>
                <c:pt idx="56">
                  <c:v>3.0300000000000001E-2</c:v>
                </c:pt>
                <c:pt idx="57">
                  <c:v>3.04E-2</c:v>
                </c:pt>
                <c:pt idx="58">
                  <c:v>3.04E-2</c:v>
                </c:pt>
                <c:pt idx="59">
                  <c:v>3.0200000000000001E-2</c:v>
                </c:pt>
                <c:pt idx="60">
                  <c:v>0.03</c:v>
                </c:pt>
                <c:pt idx="61">
                  <c:v>2.98E-2</c:v>
                </c:pt>
                <c:pt idx="62">
                  <c:v>2.9499999999999998E-2</c:v>
                </c:pt>
                <c:pt idx="63">
                  <c:v>2.92E-2</c:v>
                </c:pt>
                <c:pt idx="64">
                  <c:v>2.9000000000000001E-2</c:v>
                </c:pt>
                <c:pt idx="65">
                  <c:v>2.87E-2</c:v>
                </c:pt>
                <c:pt idx="66">
                  <c:v>2.8400000000000002E-2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C0-4C87-8BB9-24EE0B22F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957647"/>
        <c:axId val="2116230508"/>
      </c:lineChart>
      <c:catAx>
        <c:axId val="1783957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6230508"/>
        <c:crosses val="autoZero"/>
        <c:auto val="1"/>
        <c:lblAlgn val="ctr"/>
        <c:lblOffset val="100"/>
        <c:noMultiLvlLbl val="1"/>
      </c:catAx>
      <c:valAx>
        <c:axId val="2116230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39576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Terressin!$C$1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Terressin!$C$2:$C$67</c:f>
              <c:numCache>
                <c:formatCode>#,##0</c:formatCode>
                <c:ptCount val="66"/>
                <c:pt idx="0">
                  <c:v>74091162.229207247</c:v>
                </c:pt>
                <c:pt idx="1">
                  <c:v>73263287.085145101</c:v>
                </c:pt>
                <c:pt idx="2">
                  <c:v>72437499.58982113</c:v>
                </c:pt>
                <c:pt idx="3">
                  <c:v>71613939.288009018</c:v>
                </c:pt>
                <c:pt idx="4">
                  <c:v>70778750.037565738</c:v>
                </c:pt>
                <c:pt idx="5">
                  <c:v>69918749.419703394</c:v>
                </c:pt>
                <c:pt idx="6">
                  <c:v>69028284.549021035</c:v>
                </c:pt>
                <c:pt idx="7">
                  <c:v>68115536.361773267</c:v>
                </c:pt>
                <c:pt idx="8">
                  <c:v>67188337.306937531</c:v>
                </c:pt>
                <c:pt idx="9">
                  <c:v>66247621.087495103</c:v>
                </c:pt>
                <c:pt idx="10">
                  <c:v>65294323.957712501</c:v>
                </c:pt>
                <c:pt idx="11">
                  <c:v>64335721.704318166</c:v>
                </c:pt>
                <c:pt idx="12">
                  <c:v>63372460.307641998</c:v>
                </c:pt>
                <c:pt idx="13">
                  <c:v>62399035.356087036</c:v>
                </c:pt>
                <c:pt idx="14">
                  <c:v>61404285.924116351</c:v>
                </c:pt>
                <c:pt idx="15">
                  <c:v>60377862.265601136</c:v>
                </c:pt>
                <c:pt idx="16">
                  <c:v>59304451.690011919</c:v>
                </c:pt>
                <c:pt idx="17">
                  <c:v>58181547.817141093</c:v>
                </c:pt>
                <c:pt idx="18">
                  <c:v>57012785.710084364</c:v>
                </c:pt>
                <c:pt idx="19">
                  <c:v>55812810.288873576</c:v>
                </c:pt>
                <c:pt idx="20">
                  <c:v>54600675.29727409</c:v>
                </c:pt>
                <c:pt idx="21">
                  <c:v>53388750.657352202</c:v>
                </c:pt>
                <c:pt idx="22">
                  <c:v>52188417.064860418</c:v>
                </c:pt>
                <c:pt idx="23">
                  <c:v>50990148.57338585</c:v>
                </c:pt>
                <c:pt idx="24">
                  <c:v>49790204.641525097</c:v>
                </c:pt>
                <c:pt idx="25">
                  <c:v>48580548.972119331</c:v>
                </c:pt>
                <c:pt idx="26">
                  <c:v>47367929.965014942</c:v>
                </c:pt>
                <c:pt idx="27">
                  <c:v>46154077.720953859</c:v>
                </c:pt>
                <c:pt idx="28">
                  <c:v>44940679.377754495</c:v>
                </c:pt>
                <c:pt idx="29">
                  <c:v>43729375.671649791</c:v>
                </c:pt>
                <c:pt idx="30">
                  <c:v>42521757.751506992</c:v>
                </c:pt>
                <c:pt idx="31">
                  <c:v>41315349.544798866</c:v>
                </c:pt>
                <c:pt idx="32">
                  <c:v>40108095.859430023</c:v>
                </c:pt>
                <c:pt idx="33">
                  <c:v>38894584.813256428</c:v>
                </c:pt>
                <c:pt idx="34">
                  <c:v>37666651.959380619</c:v>
                </c:pt>
                <c:pt idx="35">
                  <c:v>36424573.986442916</c:v>
                </c:pt>
                <c:pt idx="36">
                  <c:v>35220048.333439291</c:v>
                </c:pt>
                <c:pt idx="37">
                  <c:v>34137877.613103896</c:v>
                </c:pt>
                <c:pt idx="38">
                  <c:v>33230680.047798984</c:v>
                </c:pt>
                <c:pt idx="39">
                  <c:v>32448667.16902547</c:v>
                </c:pt>
                <c:pt idx="40">
                  <c:v>31688151.532251436</c:v>
                </c:pt>
                <c:pt idx="41">
                  <c:v>30843051.909919634</c:v>
                </c:pt>
                <c:pt idx="42">
                  <c:v>29912764.920880262</c:v>
                </c:pt>
                <c:pt idx="43">
                  <c:v>28957178.045382638</c:v>
                </c:pt>
                <c:pt idx="44">
                  <c:v>28051126.654444095</c:v>
                </c:pt>
                <c:pt idx="45">
                  <c:v>27199773.736491896</c:v>
                </c:pt>
                <c:pt idx="46">
                  <c:v>26381933.789031908</c:v>
                </c:pt>
                <c:pt idx="47">
                  <c:v>25586202.879480079</c:v>
                </c:pt>
                <c:pt idx="48">
                  <c:v>24812066.407564081</c:v>
                </c:pt>
                <c:pt idx="49">
                  <c:v>24061352.218351517</c:v>
                </c:pt>
                <c:pt idx="50">
                  <c:v>23333351.646966174</c:v>
                </c:pt>
                <c:pt idx="51">
                  <c:v>22629571.959040031</c:v>
                </c:pt>
                <c:pt idx="52">
                  <c:v>21949148.35988364</c:v>
                </c:pt>
                <c:pt idx="53">
                  <c:v>21293314.280057859</c:v>
                </c:pt>
                <c:pt idx="54">
                  <c:v>20661085.076710518</c:v>
                </c:pt>
                <c:pt idx="55">
                  <c:v>20051518.90208707</c:v>
                </c:pt>
                <c:pt idx="56">
                  <c:v>19461825.586806823</c:v>
                </c:pt>
                <c:pt idx="57">
                  <c:v>18887641.29154389</c:v>
                </c:pt>
                <c:pt idx="58">
                  <c:v>18330397.216172252</c:v>
                </c:pt>
                <c:pt idx="59">
                  <c:v>17793047.191003934</c:v>
                </c:pt>
                <c:pt idx="60">
                  <c:v>17274803.098062072</c:v>
                </c:pt>
                <c:pt idx="61">
                  <c:v>16774910.757488903</c:v>
                </c:pt>
                <c:pt idx="62">
                  <c:v>16294230.944622537</c:v>
                </c:pt>
                <c:pt idx="63">
                  <c:v>15831938.344949998</c:v>
                </c:pt>
                <c:pt idx="64">
                  <c:v>15385751.549999999</c:v>
                </c:pt>
                <c:pt idx="65">
                  <c:v>14956500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7-47F6-9941-BE279609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315975"/>
        <c:axId val="1481129939"/>
      </c:lineChart>
      <c:catAx>
        <c:axId val="1084315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1129939"/>
        <c:crosses val="autoZero"/>
        <c:auto val="1"/>
        <c:lblAlgn val="ctr"/>
        <c:lblOffset val="100"/>
        <c:noMultiLvlLbl val="1"/>
      </c:catAx>
      <c:valAx>
        <c:axId val="1481129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43159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Tomscilus!$D$1:$D$67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1.18E-2</c:v>
                </c:pt>
                <c:pt idx="2">
                  <c:v>1.15E-2</c:v>
                </c:pt>
                <c:pt idx="3">
                  <c:v>1.09E-2</c:v>
                </c:pt>
                <c:pt idx="4">
                  <c:v>1.01E-2</c:v>
                </c:pt>
                <c:pt idx="5">
                  <c:v>8.8999999999999999E-3</c:v>
                </c:pt>
                <c:pt idx="6">
                  <c:v>7.7999999999999996E-3</c:v>
                </c:pt>
                <c:pt idx="7">
                  <c:v>7.3000000000000001E-3</c:v>
                </c:pt>
                <c:pt idx="8">
                  <c:v>6.7999999999999996E-3</c:v>
                </c:pt>
                <c:pt idx="9">
                  <c:v>4.1999999999999997E-3</c:v>
                </c:pt>
                <c:pt idx="10">
                  <c:v>-4.1000000000000003E-3</c:v>
                </c:pt>
                <c:pt idx="11">
                  <c:v>-9.1999999999999998E-3</c:v>
                </c:pt>
                <c:pt idx="12">
                  <c:v>-7.0000000000000001E-3</c:v>
                </c:pt>
                <c:pt idx="13">
                  <c:v>-4.7999999999999996E-3</c:v>
                </c:pt>
                <c:pt idx="14">
                  <c:v>-3.0999999999999999E-3</c:v>
                </c:pt>
                <c:pt idx="15">
                  <c:v>-1.5E-3</c:v>
                </c:pt>
                <c:pt idx="16">
                  <c:v>2.9999999999999997E-4</c:v>
                </c:pt>
                <c:pt idx="17">
                  <c:v>2.5999999999999999E-3</c:v>
                </c:pt>
                <c:pt idx="18">
                  <c:v>5.0000000000000001E-3</c:v>
                </c:pt>
                <c:pt idx="19">
                  <c:v>8.0000000000000002E-3</c:v>
                </c:pt>
                <c:pt idx="20">
                  <c:v>1.0800000000000001E-2</c:v>
                </c:pt>
                <c:pt idx="21">
                  <c:v>1.23E-2</c:v>
                </c:pt>
                <c:pt idx="22">
                  <c:v>1.3599999999999999E-2</c:v>
                </c:pt>
                <c:pt idx="23">
                  <c:v>1.52E-2</c:v>
                </c:pt>
                <c:pt idx="24">
                  <c:v>1.6799999999999999E-2</c:v>
                </c:pt>
                <c:pt idx="25">
                  <c:v>1.8100000000000002E-2</c:v>
                </c:pt>
                <c:pt idx="26">
                  <c:v>1.9300000000000001E-2</c:v>
                </c:pt>
                <c:pt idx="27">
                  <c:v>2.0500000000000001E-2</c:v>
                </c:pt>
                <c:pt idx="28">
                  <c:v>2.1399999999999999E-2</c:v>
                </c:pt>
                <c:pt idx="29">
                  <c:v>2.24E-2</c:v>
                </c:pt>
                <c:pt idx="30">
                  <c:v>2.5700000000000001E-2</c:v>
                </c:pt>
                <c:pt idx="31">
                  <c:v>2.87E-2</c:v>
                </c:pt>
                <c:pt idx="32">
                  <c:v>2.9000000000000001E-2</c:v>
                </c:pt>
                <c:pt idx="33">
                  <c:v>2.93E-2</c:v>
                </c:pt>
                <c:pt idx="34">
                  <c:v>2.9499999999999998E-2</c:v>
                </c:pt>
                <c:pt idx="35">
                  <c:v>2.9499999999999998E-2</c:v>
                </c:pt>
                <c:pt idx="36">
                  <c:v>2.9499999999999998E-2</c:v>
                </c:pt>
                <c:pt idx="37">
                  <c:v>2.93E-2</c:v>
                </c:pt>
                <c:pt idx="38">
                  <c:v>2.8899999999999999E-2</c:v>
                </c:pt>
                <c:pt idx="39">
                  <c:v>2.93E-2</c:v>
                </c:pt>
                <c:pt idx="40">
                  <c:v>3.2599999999999997E-2</c:v>
                </c:pt>
                <c:pt idx="41">
                  <c:v>3.5200000000000002E-2</c:v>
                </c:pt>
                <c:pt idx="42">
                  <c:v>3.5099999999999999E-2</c:v>
                </c:pt>
                <c:pt idx="43">
                  <c:v>3.5299999999999998E-2</c:v>
                </c:pt>
                <c:pt idx="44">
                  <c:v>3.5799999999999998E-2</c:v>
                </c:pt>
                <c:pt idx="45">
                  <c:v>3.6299999999999999E-2</c:v>
                </c:pt>
                <c:pt idx="46">
                  <c:v>3.6700000000000003E-2</c:v>
                </c:pt>
                <c:pt idx="47">
                  <c:v>3.6999999999999998E-2</c:v>
                </c:pt>
                <c:pt idx="48">
                  <c:v>3.73E-2</c:v>
                </c:pt>
                <c:pt idx="49">
                  <c:v>3.6400000000000002E-2</c:v>
                </c:pt>
                <c:pt idx="50">
                  <c:v>3.2500000000000001E-2</c:v>
                </c:pt>
                <c:pt idx="51">
                  <c:v>2.9700000000000001E-2</c:v>
                </c:pt>
                <c:pt idx="52">
                  <c:v>2.9899999999999999E-2</c:v>
                </c:pt>
                <c:pt idx="53">
                  <c:v>3.0099999999999998E-2</c:v>
                </c:pt>
                <c:pt idx="54">
                  <c:v>3.0300000000000001E-2</c:v>
                </c:pt>
                <c:pt idx="55">
                  <c:v>3.0300000000000001E-2</c:v>
                </c:pt>
                <c:pt idx="56">
                  <c:v>3.0099999999999998E-2</c:v>
                </c:pt>
                <c:pt idx="57">
                  <c:v>2.9700000000000001E-2</c:v>
                </c:pt>
                <c:pt idx="58">
                  <c:v>2.9100000000000001E-2</c:v>
                </c:pt>
                <c:pt idx="59">
                  <c:v>2.64E-2</c:v>
                </c:pt>
                <c:pt idx="60">
                  <c:v>2.35E-2</c:v>
                </c:pt>
                <c:pt idx="61">
                  <c:v>2.2800000000000001E-2</c:v>
                </c:pt>
                <c:pt idx="62">
                  <c:v>2.18E-2</c:v>
                </c:pt>
                <c:pt idx="63">
                  <c:v>2.0799999999999999E-2</c:v>
                </c:pt>
                <c:pt idx="64">
                  <c:v>1.9800000000000002E-2</c:v>
                </c:pt>
                <c:pt idx="65">
                  <c:v>1.8800000000000001E-2</c:v>
                </c:pt>
                <c:pt idx="66">
                  <c:v>1.8100000000000002E-2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9F-415A-B445-6689D4625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470398"/>
        <c:axId val="1298994526"/>
      </c:lineChart>
      <c:catAx>
        <c:axId val="819470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8994526"/>
        <c:crosses val="autoZero"/>
        <c:auto val="1"/>
        <c:lblAlgn val="ctr"/>
        <c:lblOffset val="100"/>
        <c:noMultiLvlLbl val="1"/>
      </c:catAx>
      <c:valAx>
        <c:axId val="1298994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94703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Tomscilus!$C$1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Tomscilus!$C$2:$C$67</c:f>
              <c:numCache>
                <c:formatCode>#,##0</c:formatCode>
                <c:ptCount val="66"/>
                <c:pt idx="0">
                  <c:v>1158652.1487606454</c:v>
                </c:pt>
                <c:pt idx="1">
                  <c:v>1145139.5026296158</c:v>
                </c:pt>
                <c:pt idx="2">
                  <c:v>1132120.1212354086</c:v>
                </c:pt>
                <c:pt idx="3">
                  <c:v>1119913.0687856451</c:v>
                </c:pt>
                <c:pt idx="4">
                  <c:v>1108715.0468128354</c:v>
                </c:pt>
                <c:pt idx="5">
                  <c:v>1098934.5295002831</c:v>
                </c:pt>
                <c:pt idx="6">
                  <c:v>1090429.1818816066</c:v>
                </c:pt>
                <c:pt idx="7">
                  <c:v>1082526.7367036697</c:v>
                </c:pt>
                <c:pt idx="8">
                  <c:v>1075215.2728483013</c:v>
                </c:pt>
                <c:pt idx="9">
                  <c:v>1070718.2561723774</c:v>
                </c:pt>
                <c:pt idx="10">
                  <c:v>1075126.2738953482</c:v>
                </c:pt>
                <c:pt idx="11">
                  <c:v>1085109.2792645823</c:v>
                </c:pt>
                <c:pt idx="12">
                  <c:v>1092758.5893903144</c:v>
                </c:pt>
                <c:pt idx="13">
                  <c:v>1098029.129210525</c:v>
                </c:pt>
                <c:pt idx="14">
                  <c:v>1101443.6043841157</c:v>
                </c:pt>
                <c:pt idx="15">
                  <c:v>1103098.2517617582</c:v>
                </c:pt>
                <c:pt idx="16">
                  <c:v>1102767.4215352978</c:v>
                </c:pt>
                <c:pt idx="17">
                  <c:v>1099907.6616150986</c:v>
                </c:pt>
                <c:pt idx="18">
                  <c:v>1094435.4841941281</c:v>
                </c:pt>
                <c:pt idx="19">
                  <c:v>1085749.4882878254</c:v>
                </c:pt>
                <c:pt idx="20">
                  <c:v>1074148.6825166456</c:v>
                </c:pt>
                <c:pt idx="21">
                  <c:v>1061097.1871151295</c:v>
                </c:pt>
                <c:pt idx="22">
                  <c:v>1046859.8925760946</c:v>
                </c:pt>
                <c:pt idx="23">
                  <c:v>1031185.8673917401</c:v>
                </c:pt>
                <c:pt idx="24">
                  <c:v>1014148.178001318</c:v>
                </c:pt>
                <c:pt idx="25">
                  <c:v>996118.43433976825</c:v>
                </c:pt>
                <c:pt idx="26">
                  <c:v>977257.36715370172</c:v>
                </c:pt>
                <c:pt idx="27">
                  <c:v>957626.03346761561</c:v>
                </c:pt>
                <c:pt idx="28">
                  <c:v>937562.20233759109</c:v>
                </c:pt>
                <c:pt idx="29">
                  <c:v>917020.93342878635</c:v>
                </c:pt>
                <c:pt idx="30">
                  <c:v>894044.00256291928</c:v>
                </c:pt>
                <c:pt idx="31">
                  <c:v>869100.80933500465</c:v>
                </c:pt>
                <c:pt idx="32">
                  <c:v>844607.20051992685</c:v>
                </c:pt>
                <c:pt idx="33">
                  <c:v>820564.656096305</c:v>
                </c:pt>
                <c:pt idx="34">
                  <c:v>797051.63292501692</c:v>
                </c:pt>
                <c:pt idx="35">
                  <c:v>774212.36806703918</c:v>
                </c:pt>
                <c:pt idx="36">
                  <c:v>752027.5551889647</c:v>
                </c:pt>
                <c:pt idx="37">
                  <c:v>730620.37811033195</c:v>
                </c:pt>
                <c:pt idx="38">
                  <c:v>710098.53057666635</c:v>
                </c:pt>
                <c:pt idx="39">
                  <c:v>689884.90292107873</c:v>
                </c:pt>
                <c:pt idx="40">
                  <c:v>668104.69002622389</c:v>
                </c:pt>
                <c:pt idx="41">
                  <c:v>645387.06532672327</c:v>
                </c:pt>
                <c:pt idx="42">
                  <c:v>623502.14020550996</c:v>
                </c:pt>
                <c:pt idx="43">
                  <c:v>602242.96359075629</c:v>
                </c:pt>
                <c:pt idx="44">
                  <c:v>581427.84667962568</c:v>
                </c:pt>
                <c:pt idx="45">
                  <c:v>561061.32073687704</c:v>
                </c:pt>
                <c:pt idx="46">
                  <c:v>541199.30619936052</c:v>
                </c:pt>
                <c:pt idx="47">
                  <c:v>521889.39845647116</c:v>
                </c:pt>
                <c:pt idx="48">
                  <c:v>503122.91377274762</c:v>
                </c:pt>
                <c:pt idx="49">
                  <c:v>485452.44478265883</c:v>
                </c:pt>
                <c:pt idx="50">
                  <c:v>470171.85935366474</c:v>
                </c:pt>
                <c:pt idx="51">
                  <c:v>456610.52671036683</c:v>
                </c:pt>
                <c:pt idx="52">
                  <c:v>443354.23508143198</c:v>
                </c:pt>
                <c:pt idx="53">
                  <c:v>430399.21860152605</c:v>
                </c:pt>
                <c:pt idx="54">
                  <c:v>417741.64670632442</c:v>
                </c:pt>
                <c:pt idx="55">
                  <c:v>405456.32020413899</c:v>
                </c:pt>
                <c:pt idx="56">
                  <c:v>393608.69838281622</c:v>
                </c:pt>
                <c:pt idx="57">
                  <c:v>382255.70397476567</c:v>
                </c:pt>
                <c:pt idx="58">
                  <c:v>371446.60769095883</c:v>
                </c:pt>
                <c:pt idx="59">
                  <c:v>361892.64194364659</c:v>
                </c:pt>
                <c:pt idx="60">
                  <c:v>353583.43130791065</c:v>
                </c:pt>
                <c:pt idx="61">
                  <c:v>345701.43850988528</c:v>
                </c:pt>
                <c:pt idx="62">
                  <c:v>338325.93316684797</c:v>
                </c:pt>
                <c:pt idx="63">
                  <c:v>331432.14455999999</c:v>
                </c:pt>
                <c:pt idx="64">
                  <c:v>324997.19999999995</c:v>
                </c:pt>
                <c:pt idx="65">
                  <c:v>319000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E1-4EB5-98C5-B0F1417E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861625"/>
        <c:axId val="597133705"/>
      </c:lineChart>
      <c:catAx>
        <c:axId val="2024861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7133705"/>
        <c:crosses val="autoZero"/>
        <c:auto val="1"/>
        <c:lblAlgn val="ctr"/>
        <c:lblOffset val="100"/>
        <c:noMultiLvlLbl val="1"/>
      </c:catAx>
      <c:valAx>
        <c:axId val="597133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48616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Tonder!$D$1:$D$67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6.7999999999999996E-3</c:v>
                </c:pt>
                <c:pt idx="2">
                  <c:v>5.8999999999999999E-3</c:v>
                </c:pt>
                <c:pt idx="3">
                  <c:v>4.7000000000000002E-3</c:v>
                </c:pt>
                <c:pt idx="4">
                  <c:v>4.5999999999999999E-3</c:v>
                </c:pt>
                <c:pt idx="5">
                  <c:v>2.3999999999999998E-3</c:v>
                </c:pt>
                <c:pt idx="6">
                  <c:v>-4.7999999999999996E-3</c:v>
                </c:pt>
                <c:pt idx="7">
                  <c:v>-4.4000000000000003E-3</c:v>
                </c:pt>
                <c:pt idx="8">
                  <c:v>-4.4999999999999997E-3</c:v>
                </c:pt>
                <c:pt idx="9">
                  <c:v>-4.7999999999999996E-3</c:v>
                </c:pt>
                <c:pt idx="10">
                  <c:v>-5.4000000000000003E-3</c:v>
                </c:pt>
                <c:pt idx="11">
                  <c:v>-4.7999999999999996E-3</c:v>
                </c:pt>
                <c:pt idx="12">
                  <c:v>-3.3999999999999998E-3</c:v>
                </c:pt>
                <c:pt idx="13">
                  <c:v>-2E-3</c:v>
                </c:pt>
                <c:pt idx="14">
                  <c:v>4.0000000000000001E-3</c:v>
                </c:pt>
                <c:pt idx="15">
                  <c:v>1.03E-2</c:v>
                </c:pt>
                <c:pt idx="16">
                  <c:v>1.10078181818182E-2</c:v>
                </c:pt>
                <c:pt idx="17">
                  <c:v>1.21927272727274E-2</c:v>
                </c:pt>
                <c:pt idx="18">
                  <c:v>1.33072727272729E-2</c:v>
                </c:pt>
                <c:pt idx="19">
                  <c:v>1.4221818181818301E-2</c:v>
                </c:pt>
                <c:pt idx="20">
                  <c:v>1.47363636363637E-2</c:v>
                </c:pt>
                <c:pt idx="21">
                  <c:v>1.52509090909092E-2</c:v>
                </c:pt>
                <c:pt idx="22">
                  <c:v>1.57654545454546E-2</c:v>
                </c:pt>
                <c:pt idx="23">
                  <c:v>1.62800000000001E-2</c:v>
                </c:pt>
                <c:pt idx="24">
                  <c:v>1.6794545454545499E-2</c:v>
                </c:pt>
                <c:pt idx="25">
                  <c:v>1.7309090909091E-2</c:v>
                </c:pt>
                <c:pt idx="26">
                  <c:v>1.7823636363636399E-2</c:v>
                </c:pt>
                <c:pt idx="27">
                  <c:v>1.8338181818181899E-2</c:v>
                </c:pt>
                <c:pt idx="28">
                  <c:v>1.8852727272727299E-2</c:v>
                </c:pt>
                <c:pt idx="29">
                  <c:v>1.9367272727272799E-2</c:v>
                </c:pt>
                <c:pt idx="30">
                  <c:v>1.9881818181818198E-2</c:v>
                </c:pt>
                <c:pt idx="31">
                  <c:v>2.0396363636363699E-2</c:v>
                </c:pt>
                <c:pt idx="32">
                  <c:v>2.0910909090909102E-2</c:v>
                </c:pt>
                <c:pt idx="33">
                  <c:v>2.1425454545454602E-2</c:v>
                </c:pt>
                <c:pt idx="34">
                  <c:v>2.1940000000000098E-2</c:v>
                </c:pt>
                <c:pt idx="35">
                  <c:v>2.2800000000000001E-2</c:v>
                </c:pt>
                <c:pt idx="36">
                  <c:v>2.3300000000000001E-2</c:v>
                </c:pt>
                <c:pt idx="37">
                  <c:v>2.3400000000000001E-2</c:v>
                </c:pt>
                <c:pt idx="38">
                  <c:v>2.3599999999999999E-2</c:v>
                </c:pt>
                <c:pt idx="39">
                  <c:v>2.41E-2</c:v>
                </c:pt>
                <c:pt idx="40">
                  <c:v>2.4799999999999999E-2</c:v>
                </c:pt>
                <c:pt idx="41">
                  <c:v>2.5499999999999998E-2</c:v>
                </c:pt>
                <c:pt idx="42">
                  <c:v>2.6200000000000001E-2</c:v>
                </c:pt>
                <c:pt idx="43">
                  <c:v>2.6700000000000002E-2</c:v>
                </c:pt>
                <c:pt idx="44">
                  <c:v>2.7199999999999998E-2</c:v>
                </c:pt>
                <c:pt idx="45">
                  <c:v>2.7699999999999999E-2</c:v>
                </c:pt>
                <c:pt idx="46">
                  <c:v>2.81E-2</c:v>
                </c:pt>
                <c:pt idx="47">
                  <c:v>2.8400000000000002E-2</c:v>
                </c:pt>
                <c:pt idx="48">
                  <c:v>2.8500000000000001E-2</c:v>
                </c:pt>
                <c:pt idx="49">
                  <c:v>2.87E-2</c:v>
                </c:pt>
                <c:pt idx="50">
                  <c:v>2.9000000000000001E-2</c:v>
                </c:pt>
                <c:pt idx="51">
                  <c:v>2.92E-2</c:v>
                </c:pt>
                <c:pt idx="52">
                  <c:v>2.93E-2</c:v>
                </c:pt>
                <c:pt idx="53">
                  <c:v>2.92E-2</c:v>
                </c:pt>
                <c:pt idx="54">
                  <c:v>2.8799999999999999E-2</c:v>
                </c:pt>
                <c:pt idx="55">
                  <c:v>2.8000000000000001E-2</c:v>
                </c:pt>
                <c:pt idx="56">
                  <c:v>2.7E-2</c:v>
                </c:pt>
                <c:pt idx="57">
                  <c:v>2.5600000000000001E-2</c:v>
                </c:pt>
                <c:pt idx="58">
                  <c:v>2.41E-2</c:v>
                </c:pt>
                <c:pt idx="59">
                  <c:v>2.24E-2</c:v>
                </c:pt>
                <c:pt idx="60">
                  <c:v>2.1000000000000001E-2</c:v>
                </c:pt>
                <c:pt idx="61">
                  <c:v>1.9800000000000002E-2</c:v>
                </c:pt>
                <c:pt idx="62">
                  <c:v>1.8800000000000001E-2</c:v>
                </c:pt>
                <c:pt idx="63">
                  <c:v>1.7899999999999999E-2</c:v>
                </c:pt>
                <c:pt idx="64">
                  <c:v>1.6899999999999998E-2</c:v>
                </c:pt>
                <c:pt idx="65">
                  <c:v>1.5900000000000001E-2</c:v>
                </c:pt>
                <c:pt idx="66">
                  <c:v>1.49E-2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08-41EC-9F19-6FC1E5EB4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577605"/>
        <c:axId val="2018564517"/>
      </c:lineChart>
      <c:catAx>
        <c:axId val="599577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8564517"/>
        <c:crosses val="autoZero"/>
        <c:auto val="1"/>
        <c:lblAlgn val="ctr"/>
        <c:lblOffset val="100"/>
        <c:noMultiLvlLbl val="1"/>
      </c:catAx>
      <c:valAx>
        <c:axId val="2018564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5776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Tonder!$C$1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Tonder!$C$2:$C$67</c:f>
              <c:numCache>
                <c:formatCode>#,##0</c:formatCode>
                <c:ptCount val="66"/>
                <c:pt idx="0">
                  <c:v>143923.67315868818</c:v>
                </c:pt>
                <c:pt idx="1">
                  <c:v>142951.60226329777</c:v>
                </c:pt>
                <c:pt idx="2">
                  <c:v>142113.13476816559</c:v>
                </c:pt>
                <c:pt idx="3">
                  <c:v>141448.32762831255</c:v>
                </c:pt>
                <c:pt idx="4">
                  <c:v>140800.64466286337</c:v>
                </c:pt>
                <c:pt idx="5">
                  <c:v>140463.53218561789</c:v>
                </c:pt>
                <c:pt idx="6">
                  <c:v>141141.00902895688</c:v>
                </c:pt>
                <c:pt idx="7">
                  <c:v>141764.77403470958</c:v>
                </c:pt>
                <c:pt idx="8">
                  <c:v>142405.59923125021</c:v>
                </c:pt>
                <c:pt idx="9">
                  <c:v>143092.44295744595</c:v>
                </c:pt>
                <c:pt idx="10">
                  <c:v>143869.33737929413</c:v>
                </c:pt>
                <c:pt idx="11">
                  <c:v>144563.2409357859</c:v>
                </c:pt>
                <c:pt idx="12">
                  <c:v>145056.43280733083</c:v>
                </c:pt>
                <c:pt idx="13">
                  <c:v>145347.12706145374</c:v>
                </c:pt>
                <c:pt idx="14">
                  <c:v>144768.0548420854</c:v>
                </c:pt>
                <c:pt idx="15">
                  <c:v>143292.14574095359</c:v>
                </c:pt>
                <c:pt idx="16">
                  <c:v>141731.98581060243</c:v>
                </c:pt>
                <c:pt idx="17">
                  <c:v>140024.70279794242</c:v>
                </c:pt>
                <c:pt idx="18">
                  <c:v>138185.82632005782</c:v>
                </c:pt>
                <c:pt idx="19">
                  <c:v>136248.13018495467</c:v>
                </c:pt>
                <c:pt idx="20">
                  <c:v>134269.48621088336</c:v>
                </c:pt>
                <c:pt idx="21">
                  <c:v>132252.51512565787</c:v>
                </c:pt>
                <c:pt idx="22">
                  <c:v>130199.85522626345</c:v>
                </c:pt>
                <c:pt idx="23">
                  <c:v>128114.15675430337</c:v>
                </c:pt>
                <c:pt idx="24">
                  <c:v>125998.07633412462</c:v>
                </c:pt>
                <c:pt idx="25">
                  <c:v>123854.27148943476</c:v>
                </c:pt>
                <c:pt idx="26">
                  <c:v>121685.39525366802</c:v>
                </c:pt>
                <c:pt idx="27">
                  <c:v>119494.09088875174</c:v>
                </c:pt>
                <c:pt idx="28">
                  <c:v>117282.98672627048</c:v>
                </c:pt>
                <c:pt idx="29">
                  <c:v>115054.69114432616</c:v>
                </c:pt>
                <c:pt idx="30">
                  <c:v>112811.78769265494</c:v>
                </c:pt>
                <c:pt idx="31">
                  <c:v>110556.83037778582</c:v>
                </c:pt>
                <c:pt idx="32">
                  <c:v>108292.33911922187</c:v>
                </c:pt>
                <c:pt idx="33">
                  <c:v>106020.79538678926</c:v>
                </c:pt>
                <c:pt idx="34">
                  <c:v>103744.63802844517</c:v>
                </c:pt>
                <c:pt idx="35">
                  <c:v>101431.98868639537</c:v>
                </c:pt>
                <c:pt idx="36">
                  <c:v>99122.435929243977</c:v>
                </c:pt>
                <c:pt idx="37">
                  <c:v>96856.005402818031</c:v>
                </c:pt>
                <c:pt idx="38">
                  <c:v>94622.904848395876</c:v>
                </c:pt>
                <c:pt idx="39">
                  <c:v>92396.157453760257</c:v>
                </c:pt>
                <c:pt idx="40">
                  <c:v>90160.184869008837</c:v>
                </c:pt>
                <c:pt idx="41">
                  <c:v>87918.269009272379</c:v>
                </c:pt>
                <c:pt idx="42">
                  <c:v>85673.620161052793</c:v>
                </c:pt>
                <c:pt idx="43">
                  <c:v>83445.622052257517</c:v>
                </c:pt>
                <c:pt idx="44">
                  <c:v>81236.002776730456</c:v>
                </c:pt>
                <c:pt idx="45">
                  <c:v>79046.417025134229</c:v>
                </c:pt>
                <c:pt idx="46">
                  <c:v>76885.922600072197</c:v>
                </c:pt>
                <c:pt idx="47">
                  <c:v>74762.662971676589</c:v>
                </c:pt>
                <c:pt idx="48">
                  <c:v>72690.970317624306</c:v>
                </c:pt>
                <c:pt idx="49">
                  <c:v>70662.943829711585</c:v>
                </c:pt>
                <c:pt idx="50">
                  <c:v>68671.471165900482</c:v>
                </c:pt>
                <c:pt idx="51">
                  <c:v>66723.155038768455</c:v>
                </c:pt>
                <c:pt idx="52">
                  <c:v>64823.817194956224</c:v>
                </c:pt>
                <c:pt idx="53">
                  <c:v>62984.664977610017</c:v>
                </c:pt>
                <c:pt idx="54">
                  <c:v>61221.486175748461</c:v>
                </c:pt>
                <c:pt idx="55">
                  <c:v>59553.974879132744</c:v>
                </c:pt>
                <c:pt idx="56">
                  <c:v>57988.291021550875</c:v>
                </c:pt>
                <c:pt idx="57">
                  <c:v>56540.845379827289</c:v>
                </c:pt>
                <c:pt idx="58">
                  <c:v>55210.277687557158</c:v>
                </c:pt>
                <c:pt idx="59">
                  <c:v>54000.662839942452</c:v>
                </c:pt>
                <c:pt idx="60">
                  <c:v>52889.973398572438</c:v>
                </c:pt>
                <c:pt idx="61">
                  <c:v>51863.08432886099</c:v>
                </c:pt>
                <c:pt idx="62">
                  <c:v>50906.050577994691</c:v>
                </c:pt>
                <c:pt idx="63">
                  <c:v>50010.856251099998</c:v>
                </c:pt>
                <c:pt idx="64">
                  <c:v>49179.719000000005</c:v>
                </c:pt>
                <c:pt idx="65">
                  <c:v>48410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F-4464-9C22-96515F940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213790"/>
        <c:axId val="497979334"/>
      </c:lineChart>
      <c:catAx>
        <c:axId val="477213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979334"/>
        <c:crosses val="autoZero"/>
        <c:auto val="1"/>
        <c:lblAlgn val="ctr"/>
        <c:lblOffset val="100"/>
        <c:noMultiLvlLbl val="1"/>
      </c:catAx>
      <c:valAx>
        <c:axId val="497979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72137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Trevilla!$D$1:$D$67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2.23E-2</c:v>
                </c:pt>
                <c:pt idx="2">
                  <c:v>2.24E-2</c:v>
                </c:pt>
                <c:pt idx="3">
                  <c:v>2.23E-2</c:v>
                </c:pt>
                <c:pt idx="4">
                  <c:v>2.1999999999999999E-2</c:v>
                </c:pt>
                <c:pt idx="5">
                  <c:v>2.1499999999999998E-2</c:v>
                </c:pt>
                <c:pt idx="6">
                  <c:v>2.1100000000000001E-2</c:v>
                </c:pt>
                <c:pt idx="7">
                  <c:v>2.0799999999999999E-2</c:v>
                </c:pt>
                <c:pt idx="8">
                  <c:v>2.06E-2</c:v>
                </c:pt>
                <c:pt idx="9">
                  <c:v>2.0299999999999999E-2</c:v>
                </c:pt>
                <c:pt idx="10">
                  <c:v>2.0199999999999999E-2</c:v>
                </c:pt>
                <c:pt idx="11">
                  <c:v>2.0299999999999999E-2</c:v>
                </c:pt>
                <c:pt idx="12">
                  <c:v>2.0799999999999999E-2</c:v>
                </c:pt>
                <c:pt idx="13">
                  <c:v>2.1499999999999998E-2</c:v>
                </c:pt>
                <c:pt idx="14">
                  <c:v>2.24E-2</c:v>
                </c:pt>
                <c:pt idx="15">
                  <c:v>2.35E-2</c:v>
                </c:pt>
                <c:pt idx="16">
                  <c:v>2.4500000000000001E-2</c:v>
                </c:pt>
                <c:pt idx="17">
                  <c:v>2.5399999999999999E-2</c:v>
                </c:pt>
                <c:pt idx="18">
                  <c:v>2.6100000000000002E-2</c:v>
                </c:pt>
                <c:pt idx="19">
                  <c:v>2.6700000000000002E-2</c:v>
                </c:pt>
                <c:pt idx="20">
                  <c:v>2.7099999999999999E-2</c:v>
                </c:pt>
                <c:pt idx="21">
                  <c:v>2.7199999999999998E-2</c:v>
                </c:pt>
                <c:pt idx="22">
                  <c:v>2.7199999999999998E-2</c:v>
                </c:pt>
                <c:pt idx="23">
                  <c:v>2.7099999999999999E-2</c:v>
                </c:pt>
                <c:pt idx="24">
                  <c:v>2.7199999999999998E-2</c:v>
                </c:pt>
                <c:pt idx="25">
                  <c:v>2.7400000000000001E-2</c:v>
                </c:pt>
                <c:pt idx="26">
                  <c:v>2.76E-2</c:v>
                </c:pt>
                <c:pt idx="27">
                  <c:v>2.76E-2</c:v>
                </c:pt>
                <c:pt idx="28">
                  <c:v>2.7099999999999999E-2</c:v>
                </c:pt>
                <c:pt idx="29">
                  <c:v>2.5899999999999999E-2</c:v>
                </c:pt>
                <c:pt idx="30">
                  <c:v>2.41E-2</c:v>
                </c:pt>
                <c:pt idx="31">
                  <c:v>2.1600000000000001E-2</c:v>
                </c:pt>
                <c:pt idx="32">
                  <c:v>1.9099999999999999E-2</c:v>
                </c:pt>
                <c:pt idx="33">
                  <c:v>1.6899999999999998E-2</c:v>
                </c:pt>
                <c:pt idx="34">
                  <c:v>1.52E-2</c:v>
                </c:pt>
                <c:pt idx="35">
                  <c:v>1.4200000000000001E-2</c:v>
                </c:pt>
                <c:pt idx="36">
                  <c:v>1.3599999999999999E-2</c:v>
                </c:pt>
                <c:pt idx="37">
                  <c:v>1.34E-2</c:v>
                </c:pt>
                <c:pt idx="38">
                  <c:v>1.34E-2</c:v>
                </c:pt>
                <c:pt idx="39">
                  <c:v>1.35E-2</c:v>
                </c:pt>
                <c:pt idx="40">
                  <c:v>1.34E-2</c:v>
                </c:pt>
                <c:pt idx="41">
                  <c:v>1.32E-2</c:v>
                </c:pt>
                <c:pt idx="42">
                  <c:v>1.2699999999999999E-2</c:v>
                </c:pt>
                <c:pt idx="43">
                  <c:v>1.2E-2</c:v>
                </c:pt>
                <c:pt idx="44">
                  <c:v>1.1299999999999999E-2</c:v>
                </c:pt>
                <c:pt idx="45">
                  <c:v>1.0699999999999999E-2</c:v>
                </c:pt>
                <c:pt idx="46">
                  <c:v>1.0200000000000001E-2</c:v>
                </c:pt>
                <c:pt idx="47">
                  <c:v>0.01</c:v>
                </c:pt>
                <c:pt idx="48">
                  <c:v>0.01</c:v>
                </c:pt>
                <c:pt idx="49">
                  <c:v>1.04E-2</c:v>
                </c:pt>
                <c:pt idx="50">
                  <c:v>1.11E-2</c:v>
                </c:pt>
                <c:pt idx="51">
                  <c:v>1.2E-2</c:v>
                </c:pt>
                <c:pt idx="52">
                  <c:v>1.29E-2</c:v>
                </c:pt>
                <c:pt idx="53">
                  <c:v>1.37E-2</c:v>
                </c:pt>
                <c:pt idx="54">
                  <c:v>1.43E-2</c:v>
                </c:pt>
                <c:pt idx="55">
                  <c:v>1.46E-2</c:v>
                </c:pt>
                <c:pt idx="56">
                  <c:v>1.4500000000000001E-2</c:v>
                </c:pt>
                <c:pt idx="57">
                  <c:v>1.41E-2</c:v>
                </c:pt>
                <c:pt idx="58">
                  <c:v>1.34E-2</c:v>
                </c:pt>
                <c:pt idx="59">
                  <c:v>1.24E-2</c:v>
                </c:pt>
                <c:pt idx="60">
                  <c:v>1.1299999999999999E-2</c:v>
                </c:pt>
                <c:pt idx="61">
                  <c:v>1.03E-2</c:v>
                </c:pt>
                <c:pt idx="62">
                  <c:v>9.5999999999999992E-3</c:v>
                </c:pt>
                <c:pt idx="63">
                  <c:v>9.4999999999999998E-3</c:v>
                </c:pt>
                <c:pt idx="64">
                  <c:v>1.01E-2</c:v>
                </c:pt>
                <c:pt idx="65">
                  <c:v>1.15E-2</c:v>
                </c:pt>
                <c:pt idx="66">
                  <c:v>1.35E-2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90-4A83-95DF-CFAC5DFE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189874"/>
        <c:axId val="1155996743"/>
      </c:lineChart>
      <c:catAx>
        <c:axId val="210418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5996743"/>
        <c:crosses val="autoZero"/>
        <c:auto val="1"/>
        <c:lblAlgn val="ctr"/>
        <c:lblOffset val="100"/>
        <c:noMultiLvlLbl val="1"/>
      </c:catAx>
      <c:valAx>
        <c:axId val="1155996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41898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Trevilla!$C$1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Trevilla!$C$2:$C$67</c:f>
              <c:numCache>
                <c:formatCode>#,##0</c:formatCode>
                <c:ptCount val="66"/>
                <c:pt idx="0">
                  <c:v>10353.827030039225</c:v>
                </c:pt>
                <c:pt idx="1">
                  <c:v>10127.973227075443</c:v>
                </c:pt>
                <c:pt idx="2">
                  <c:v>9906.0771000346667</c:v>
                </c:pt>
                <c:pt idx="3">
                  <c:v>9689.9903159881324</c:v>
                </c:pt>
                <c:pt idx="4">
                  <c:v>9481.3995264071746</c:v>
                </c:pt>
                <c:pt idx="5">
                  <c:v>9281.8399671142179</c:v>
                </c:pt>
                <c:pt idx="6">
                  <c:v>9090.0401205701874</c:v>
                </c:pt>
                <c:pt idx="7">
                  <c:v>8904.8198673297302</c:v>
                </c:pt>
                <c:pt idx="8">
                  <c:v>8725.083154350119</c:v>
                </c:pt>
                <c:pt idx="9">
                  <c:v>8551.4879489857085</c:v>
                </c:pt>
                <c:pt idx="10">
                  <c:v>8382.1681523090647</c:v>
                </c:pt>
                <c:pt idx="11">
                  <c:v>8215.3956211987297</c:v>
                </c:pt>
                <c:pt idx="12">
                  <c:v>8047.9972778200736</c:v>
                </c:pt>
                <c:pt idx="13">
                  <c:v>7878.6072225355583</c:v>
                </c:pt>
                <c:pt idx="14">
                  <c:v>7705.9929797883005</c:v>
                </c:pt>
                <c:pt idx="15">
                  <c:v>7529.0600681859305</c:v>
                </c:pt>
                <c:pt idx="16">
                  <c:v>7349.0093393713332</c:v>
                </c:pt>
                <c:pt idx="17">
                  <c:v>7166.9683434477593</c:v>
                </c:pt>
                <c:pt idx="18">
                  <c:v>6984.668495709735</c:v>
                </c:pt>
                <c:pt idx="19">
                  <c:v>6803.02765726087</c:v>
                </c:pt>
                <c:pt idx="20">
                  <c:v>6623.5299944122971</c:v>
                </c:pt>
                <c:pt idx="21">
                  <c:v>6448.1405708842467</c:v>
                </c:pt>
                <c:pt idx="22">
                  <c:v>6277.3954155804586</c:v>
                </c:pt>
                <c:pt idx="23">
                  <c:v>6111.7665422845475</c:v>
                </c:pt>
                <c:pt idx="24">
                  <c:v>5949.9284874265459</c:v>
                </c:pt>
                <c:pt idx="25">
                  <c:v>5791.2482844330789</c:v>
                </c:pt>
                <c:pt idx="26">
                  <c:v>5635.70288481226</c:v>
                </c:pt>
                <c:pt idx="27">
                  <c:v>5484.3352323980725</c:v>
                </c:pt>
                <c:pt idx="28">
                  <c:v>5339.6312261688963</c:v>
                </c:pt>
                <c:pt idx="29">
                  <c:v>5204.8262268923836</c:v>
                </c:pt>
                <c:pt idx="30">
                  <c:v>5082.3417897591871</c:v>
                </c:pt>
                <c:pt idx="31">
                  <c:v>4974.8842891143177</c:v>
                </c:pt>
                <c:pt idx="32">
                  <c:v>4881.6448720580102</c:v>
                </c:pt>
                <c:pt idx="33">
                  <c:v>4800.5161491375857</c:v>
                </c:pt>
                <c:pt idx="34">
                  <c:v>4728.640808843169</c:v>
                </c:pt>
                <c:pt idx="35">
                  <c:v>4662.4342425982732</c:v>
                </c:pt>
                <c:pt idx="36">
                  <c:v>4599.8759299509402</c:v>
                </c:pt>
                <c:pt idx="37">
                  <c:v>4539.0526247789021</c:v>
                </c:pt>
                <c:pt idx="38">
                  <c:v>4479.0335748755688</c:v>
                </c:pt>
                <c:pt idx="39">
                  <c:v>4419.3720521712567</c:v>
                </c:pt>
                <c:pt idx="40">
                  <c:v>4360.9355162534603</c:v>
                </c:pt>
                <c:pt idx="41">
                  <c:v>4304.1211175024282</c:v>
                </c:pt>
                <c:pt idx="42">
                  <c:v>4250.1442850818885</c:v>
                </c:pt>
                <c:pt idx="43">
                  <c:v>4199.7473172745931</c:v>
                </c:pt>
                <c:pt idx="44">
                  <c:v>4152.8204462321692</c:v>
                </c:pt>
                <c:pt idx="45">
                  <c:v>4108.8556903454728</c:v>
                </c:pt>
                <c:pt idx="46">
                  <c:v>4067.368531325948</c:v>
                </c:pt>
                <c:pt idx="47">
                  <c:v>4027.0975557682655</c:v>
                </c:pt>
                <c:pt idx="48">
                  <c:v>3987.2253027408569</c:v>
                </c:pt>
                <c:pt idx="49">
                  <c:v>3946.1849789596763</c:v>
                </c:pt>
                <c:pt idx="50">
                  <c:v>3902.8631974677833</c:v>
                </c:pt>
                <c:pt idx="51">
                  <c:v>3856.5841872211295</c:v>
                </c:pt>
                <c:pt idx="52">
                  <c:v>3807.467851931217</c:v>
                </c:pt>
                <c:pt idx="53">
                  <c:v>3756.0105079720006</c:v>
                </c:pt>
                <c:pt idx="54">
                  <c:v>3703.0567957921726</c:v>
                </c:pt>
                <c:pt idx="55">
                  <c:v>3649.7701515791177</c:v>
                </c:pt>
                <c:pt idx="56">
                  <c:v>3597.6048808074106</c:v>
                </c:pt>
                <c:pt idx="57">
                  <c:v>3547.5839471525596</c:v>
                </c:pt>
                <c:pt idx="58">
                  <c:v>3500.6749034463778</c:v>
                </c:pt>
                <c:pt idx="59">
                  <c:v>3457.7982056957508</c:v>
                </c:pt>
                <c:pt idx="60">
                  <c:v>3419.1616787261451</c:v>
                </c:pt>
                <c:pt idx="61">
                  <c:v>3384.3033541781106</c:v>
                </c:pt>
                <c:pt idx="62">
                  <c:v>3352.1229736312503</c:v>
                </c:pt>
                <c:pt idx="63">
                  <c:v>3320.5774875000002</c:v>
                </c:pt>
                <c:pt idx="64">
                  <c:v>3287.375</c:v>
                </c:pt>
                <c:pt idx="65">
                  <c:v>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A-40B8-B081-E9F477C6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470077"/>
        <c:axId val="1382081689"/>
      </c:lineChart>
      <c:catAx>
        <c:axId val="127047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2081689"/>
        <c:crosses val="autoZero"/>
        <c:auto val="1"/>
        <c:lblAlgn val="ctr"/>
        <c:lblOffset val="100"/>
        <c:noMultiLvlLbl val="1"/>
      </c:catAx>
      <c:valAx>
        <c:axId val="1382081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04700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Trian!$D$1:$D$67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8.9999999999999998E-4</c:v>
                </c:pt>
                <c:pt idx="2">
                  <c:v>1.1000000000000001E-3</c:v>
                </c:pt>
                <c:pt idx="3">
                  <c:v>1.5E-3</c:v>
                </c:pt>
                <c:pt idx="4">
                  <c:v>2.0999999999999999E-3</c:v>
                </c:pt>
                <c:pt idx="5">
                  <c:v>2.8E-3</c:v>
                </c:pt>
                <c:pt idx="6">
                  <c:v>3.3999999999999998E-3</c:v>
                </c:pt>
                <c:pt idx="7">
                  <c:v>4.1000000000000003E-3</c:v>
                </c:pt>
                <c:pt idx="8">
                  <c:v>4.7000000000000002E-3</c:v>
                </c:pt>
                <c:pt idx="9">
                  <c:v>5.3E-3</c:v>
                </c:pt>
                <c:pt idx="10">
                  <c:v>5.7999999999999996E-3</c:v>
                </c:pt>
                <c:pt idx="11">
                  <c:v>6.1000000000000004E-3</c:v>
                </c:pt>
                <c:pt idx="12">
                  <c:v>6.4000000000000003E-3</c:v>
                </c:pt>
                <c:pt idx="13">
                  <c:v>6.7000000000000002E-3</c:v>
                </c:pt>
                <c:pt idx="14">
                  <c:v>7.1000000000000004E-3</c:v>
                </c:pt>
                <c:pt idx="15">
                  <c:v>7.7000000000000002E-3</c:v>
                </c:pt>
                <c:pt idx="16">
                  <c:v>8.6999999999999994E-3</c:v>
                </c:pt>
                <c:pt idx="17">
                  <c:v>9.9000000000000008E-3</c:v>
                </c:pt>
                <c:pt idx="18">
                  <c:v>1.1299999999999999E-2</c:v>
                </c:pt>
                <c:pt idx="19">
                  <c:v>1.2699999999999999E-2</c:v>
                </c:pt>
                <c:pt idx="20">
                  <c:v>1.4200000000000001E-2</c:v>
                </c:pt>
                <c:pt idx="21">
                  <c:v>1.55E-2</c:v>
                </c:pt>
                <c:pt idx="22">
                  <c:v>1.6500000000000001E-2</c:v>
                </c:pt>
                <c:pt idx="23">
                  <c:v>1.72E-2</c:v>
                </c:pt>
                <c:pt idx="24">
                  <c:v>1.7500000000000002E-2</c:v>
                </c:pt>
                <c:pt idx="25">
                  <c:v>1.7299999999999999E-2</c:v>
                </c:pt>
                <c:pt idx="26">
                  <c:v>1.6799999999999999E-2</c:v>
                </c:pt>
                <c:pt idx="27">
                  <c:v>1.61E-2</c:v>
                </c:pt>
                <c:pt idx="28">
                  <c:v>1.5599999999999999E-2</c:v>
                </c:pt>
                <c:pt idx="29">
                  <c:v>1.5599999999999999E-2</c:v>
                </c:pt>
                <c:pt idx="30">
                  <c:v>1.6199999999999999E-2</c:v>
                </c:pt>
                <c:pt idx="31">
                  <c:v>1.7399999999999999E-2</c:v>
                </c:pt>
                <c:pt idx="32">
                  <c:v>1.9099999999999999E-2</c:v>
                </c:pt>
                <c:pt idx="33">
                  <c:v>2.1100000000000001E-2</c:v>
                </c:pt>
                <c:pt idx="34">
                  <c:v>2.3E-2</c:v>
                </c:pt>
                <c:pt idx="35">
                  <c:v>2.47E-2</c:v>
                </c:pt>
                <c:pt idx="36">
                  <c:v>2.5899999999999999E-2</c:v>
                </c:pt>
                <c:pt idx="37">
                  <c:v>2.63E-2</c:v>
                </c:pt>
                <c:pt idx="38">
                  <c:v>2.5999999999999999E-2</c:v>
                </c:pt>
                <c:pt idx="39">
                  <c:v>2.4899999999999999E-2</c:v>
                </c:pt>
                <c:pt idx="40">
                  <c:v>2.3400000000000001E-2</c:v>
                </c:pt>
                <c:pt idx="41">
                  <c:v>2.1499999999999998E-2</c:v>
                </c:pt>
                <c:pt idx="42">
                  <c:v>1.9300000000000001E-2</c:v>
                </c:pt>
                <c:pt idx="43">
                  <c:v>1.7100000000000001E-2</c:v>
                </c:pt>
                <c:pt idx="44">
                  <c:v>1.49E-2</c:v>
                </c:pt>
                <c:pt idx="45">
                  <c:v>1.2999999999999999E-2</c:v>
                </c:pt>
                <c:pt idx="46">
                  <c:v>1.14E-2</c:v>
                </c:pt>
                <c:pt idx="47">
                  <c:v>1.03E-2</c:v>
                </c:pt>
                <c:pt idx="48">
                  <c:v>9.5999999999999992E-3</c:v>
                </c:pt>
                <c:pt idx="49">
                  <c:v>9.4000000000000004E-3</c:v>
                </c:pt>
                <c:pt idx="50">
                  <c:v>9.4999999999999998E-3</c:v>
                </c:pt>
                <c:pt idx="51">
                  <c:v>9.7000000000000003E-3</c:v>
                </c:pt>
                <c:pt idx="52">
                  <c:v>0.01</c:v>
                </c:pt>
                <c:pt idx="53">
                  <c:v>1.01E-2</c:v>
                </c:pt>
                <c:pt idx="54">
                  <c:v>1.0200000000000001E-2</c:v>
                </c:pt>
                <c:pt idx="55">
                  <c:v>1.03E-2</c:v>
                </c:pt>
                <c:pt idx="56">
                  <c:v>1.0699999999999999E-2</c:v>
                </c:pt>
                <c:pt idx="57">
                  <c:v>1.1299999999999999E-2</c:v>
                </c:pt>
                <c:pt idx="58">
                  <c:v>1.2200000000000001E-2</c:v>
                </c:pt>
                <c:pt idx="59">
                  <c:v>1.32E-2</c:v>
                </c:pt>
                <c:pt idx="60">
                  <c:v>1.43E-2</c:v>
                </c:pt>
                <c:pt idx="61">
                  <c:v>1.5299999999999999E-2</c:v>
                </c:pt>
                <c:pt idx="62">
                  <c:v>1.61E-2</c:v>
                </c:pt>
                <c:pt idx="63">
                  <c:v>1.67E-2</c:v>
                </c:pt>
                <c:pt idx="64">
                  <c:v>1.7100000000000001E-2</c:v>
                </c:pt>
                <c:pt idx="65">
                  <c:v>1.7500000000000002E-2</c:v>
                </c:pt>
                <c:pt idx="66">
                  <c:v>1.7999999999999999E-2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A2-4252-9370-C502BB55D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229476"/>
        <c:axId val="700187060"/>
      </c:lineChart>
      <c:catAx>
        <c:axId val="1857229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0187060"/>
        <c:crosses val="autoZero"/>
        <c:auto val="1"/>
        <c:lblAlgn val="ctr"/>
        <c:lblOffset val="100"/>
        <c:noMultiLvlLbl val="1"/>
      </c:catAx>
      <c:valAx>
        <c:axId val="700187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72294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Trian!$C$1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Trian!$C$2:$C$67</c:f>
              <c:numCache>
                <c:formatCode>#,##0</c:formatCode>
                <c:ptCount val="66"/>
                <c:pt idx="0">
                  <c:v>27844494.037598766</c:v>
                </c:pt>
                <c:pt idx="1">
                  <c:v>27819456.526724719</c:v>
                </c:pt>
                <c:pt idx="2">
                  <c:v>27788888.749100704</c:v>
                </c:pt>
                <c:pt idx="3">
                  <c:v>27747267.847329706</c:v>
                </c:pt>
                <c:pt idx="4">
                  <c:v>27689120.693872575</c:v>
                </c:pt>
                <c:pt idx="5">
                  <c:v>27611807.632501572</c:v>
                </c:pt>
                <c:pt idx="6">
                  <c:v>27518245.597470172</c:v>
                </c:pt>
                <c:pt idx="7">
                  <c:v>27405881.483388279</c:v>
                </c:pt>
                <c:pt idx="8">
                  <c:v>27277676.404288128</c:v>
                </c:pt>
                <c:pt idx="9">
                  <c:v>27133866.909666892</c:v>
                </c:pt>
                <c:pt idx="10">
                  <c:v>26977398.001259584</c:v>
                </c:pt>
                <c:pt idx="11">
                  <c:v>26813833.61620076</c:v>
                </c:pt>
                <c:pt idx="12">
                  <c:v>26643316.391296465</c:v>
                </c:pt>
                <c:pt idx="13">
                  <c:v>26465994.229955763</c:v>
                </c:pt>
                <c:pt idx="14">
                  <c:v>26279410.416002143</c:v>
                </c:pt>
                <c:pt idx="15">
                  <c:v>26078605.156298641</c:v>
                </c:pt>
                <c:pt idx="16">
                  <c:v>25853678.156338498</c:v>
                </c:pt>
                <c:pt idx="17">
                  <c:v>25600235.821703631</c:v>
                </c:pt>
                <c:pt idx="18">
                  <c:v>25314185.5252681</c:v>
                </c:pt>
                <c:pt idx="19">
                  <c:v>24996727.091209739</c:v>
                </c:pt>
                <c:pt idx="20">
                  <c:v>24646743.335840799</c:v>
                </c:pt>
                <c:pt idx="21">
                  <c:v>24270549.813728012</c:v>
                </c:pt>
                <c:pt idx="22">
                  <c:v>23876586.142378762</c:v>
                </c:pt>
                <c:pt idx="23">
                  <c:v>23472853.069581952</c:v>
                </c:pt>
                <c:pt idx="24">
                  <c:v>23069143.065928206</c:v>
                </c:pt>
                <c:pt idx="25">
                  <c:v>22676833.840487767</c:v>
                </c:pt>
                <c:pt idx="26">
                  <c:v>22302157.592926603</c:v>
                </c:pt>
                <c:pt idx="27">
                  <c:v>21948782.199514419</c:v>
                </c:pt>
                <c:pt idx="28">
                  <c:v>21611640.606059883</c:v>
                </c:pt>
                <c:pt idx="29">
                  <c:v>21279677.63495459</c:v>
                </c:pt>
                <c:pt idx="30">
                  <c:v>20940442.466989364</c:v>
                </c:pt>
                <c:pt idx="31">
                  <c:v>20582310.268320583</c:v>
                </c:pt>
                <c:pt idx="32">
                  <c:v>20196556.047807463</c:v>
                </c:pt>
                <c:pt idx="33">
                  <c:v>19779214.619339403</c:v>
                </c:pt>
                <c:pt idx="34">
                  <c:v>19334520.644515548</c:v>
                </c:pt>
                <c:pt idx="35">
                  <c:v>18868469.449122231</c:v>
                </c:pt>
                <c:pt idx="36">
                  <c:v>18392113.704183869</c:v>
                </c:pt>
                <c:pt idx="37">
                  <c:v>17920796.749667611</c:v>
                </c:pt>
                <c:pt idx="38">
                  <c:v>17466663.498701375</c:v>
                </c:pt>
                <c:pt idx="39">
                  <c:v>17042309.980194531</c:v>
                </c:pt>
                <c:pt idx="40">
                  <c:v>16652638.24525555</c:v>
                </c:pt>
                <c:pt idx="41">
                  <c:v>16302142.188209055</c:v>
                </c:pt>
                <c:pt idx="42">
                  <c:v>15993468.25096542</c:v>
                </c:pt>
                <c:pt idx="43">
                  <c:v>15724577.967717454</c:v>
                </c:pt>
                <c:pt idx="44">
                  <c:v>15493721.517112479</c:v>
                </c:pt>
                <c:pt idx="45">
                  <c:v>15294887.973457532</c:v>
                </c:pt>
                <c:pt idx="46">
                  <c:v>15122491.569564495</c:v>
                </c:pt>
                <c:pt idx="47">
                  <c:v>14968317.895243488</c:v>
                </c:pt>
                <c:pt idx="48">
                  <c:v>14825988.406540697</c:v>
                </c:pt>
                <c:pt idx="49">
                  <c:v>14687921.94030186</c:v>
                </c:pt>
                <c:pt idx="50">
                  <c:v>14549699.792275244</c:v>
                </c:pt>
                <c:pt idx="51">
                  <c:v>14409923.533995487</c:v>
                </c:pt>
                <c:pt idx="52">
                  <c:v>14267251.023757908</c:v>
                </c:pt>
                <c:pt idx="53">
                  <c:v>14124592.638112968</c:v>
                </c:pt>
                <c:pt idx="54">
                  <c:v>13981976.47803699</c:v>
                </c:pt>
                <c:pt idx="55">
                  <c:v>13839430.345478561</c:v>
                </c:pt>
                <c:pt idx="56">
                  <c:v>13692916.142751124</c:v>
                </c:pt>
                <c:pt idx="57">
                  <c:v>13539915.102097422</c:v>
                </c:pt>
                <c:pt idx="58">
                  <c:v>13376719.128726954</c:v>
                </c:pt>
                <c:pt idx="59">
                  <c:v>13202446.830563514</c:v>
                </c:pt>
                <c:pt idx="60">
                  <c:v>13016313.54684365</c:v>
                </c:pt>
                <c:pt idx="61">
                  <c:v>12820165.022006942</c:v>
                </c:pt>
                <c:pt idx="62">
                  <c:v>12617030.825712964</c:v>
                </c:pt>
                <c:pt idx="63">
                  <c:v>12409787.376524998</c:v>
                </c:pt>
                <c:pt idx="64">
                  <c:v>12201147.75</c:v>
                </c:pt>
                <c:pt idx="65">
                  <c:v>11991300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0-413E-BC0E-DBE6CDCED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376384"/>
        <c:axId val="2027731148"/>
      </c:lineChart>
      <c:catAx>
        <c:axId val="20763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7731148"/>
        <c:crosses val="autoZero"/>
        <c:auto val="1"/>
        <c:lblAlgn val="ctr"/>
        <c:lblOffset val="100"/>
        <c:noMultiLvlLbl val="1"/>
      </c:catAx>
      <c:valAx>
        <c:axId val="2027731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63763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Tvecoca!$D$1:$D$67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-1E-3</c:v>
                </c:pt>
                <c:pt idx="2">
                  <c:v>-1E-3</c:v>
                </c:pt>
                <c:pt idx="3">
                  <c:v>-6.9999999999999999E-4</c:v>
                </c:pt>
                <c:pt idx="4">
                  <c:v>-4.0000000000000002E-4</c:v>
                </c:pt>
                <c:pt idx="5">
                  <c:v>1E-4</c:v>
                </c:pt>
                <c:pt idx="6">
                  <c:v>8.9999999999999998E-4</c:v>
                </c:pt>
                <c:pt idx="7">
                  <c:v>1.8E-3</c:v>
                </c:pt>
                <c:pt idx="8">
                  <c:v>2.7000000000000001E-3</c:v>
                </c:pt>
                <c:pt idx="9">
                  <c:v>3.3999999999999998E-3</c:v>
                </c:pt>
                <c:pt idx="10">
                  <c:v>4.0000000000000001E-3</c:v>
                </c:pt>
                <c:pt idx="11">
                  <c:v>4.1999999999999997E-3</c:v>
                </c:pt>
                <c:pt idx="12">
                  <c:v>4.3E-3</c:v>
                </c:pt>
                <c:pt idx="13">
                  <c:v>4.3E-3</c:v>
                </c:pt>
                <c:pt idx="14">
                  <c:v>4.3E-3</c:v>
                </c:pt>
                <c:pt idx="15">
                  <c:v>4.5999999999999999E-3</c:v>
                </c:pt>
                <c:pt idx="16">
                  <c:v>5.3E-3</c:v>
                </c:pt>
                <c:pt idx="17">
                  <c:v>6.1000000000000004E-3</c:v>
                </c:pt>
                <c:pt idx="18">
                  <c:v>7.1000000000000004E-3</c:v>
                </c:pt>
                <c:pt idx="19">
                  <c:v>7.9000000000000008E-3</c:v>
                </c:pt>
                <c:pt idx="20">
                  <c:v>8.6999999999999994E-3</c:v>
                </c:pt>
                <c:pt idx="21">
                  <c:v>9.2999999999999992E-3</c:v>
                </c:pt>
                <c:pt idx="22">
                  <c:v>9.7000000000000003E-3</c:v>
                </c:pt>
                <c:pt idx="23">
                  <c:v>0.01</c:v>
                </c:pt>
                <c:pt idx="24">
                  <c:v>1.04E-2</c:v>
                </c:pt>
                <c:pt idx="25">
                  <c:v>1.11E-2</c:v>
                </c:pt>
                <c:pt idx="26">
                  <c:v>1.21E-2</c:v>
                </c:pt>
                <c:pt idx="27">
                  <c:v>1.34E-2</c:v>
                </c:pt>
                <c:pt idx="28">
                  <c:v>1.49E-2</c:v>
                </c:pt>
                <c:pt idx="29">
                  <c:v>1.6400000000000001E-2</c:v>
                </c:pt>
                <c:pt idx="30">
                  <c:v>1.7600000000000001E-2</c:v>
                </c:pt>
                <c:pt idx="31">
                  <c:v>1.8499999999999999E-2</c:v>
                </c:pt>
                <c:pt idx="32">
                  <c:v>1.8800000000000001E-2</c:v>
                </c:pt>
                <c:pt idx="33">
                  <c:v>1.8700000000000001E-2</c:v>
                </c:pt>
                <c:pt idx="34">
                  <c:v>1.84E-2</c:v>
                </c:pt>
                <c:pt idx="35">
                  <c:v>1.7899999999999999E-2</c:v>
                </c:pt>
                <c:pt idx="36">
                  <c:v>1.7399999999999999E-2</c:v>
                </c:pt>
                <c:pt idx="37">
                  <c:v>1.6899999999999998E-2</c:v>
                </c:pt>
                <c:pt idx="38">
                  <c:v>1.67E-2</c:v>
                </c:pt>
                <c:pt idx="39">
                  <c:v>1.67E-2</c:v>
                </c:pt>
                <c:pt idx="40">
                  <c:v>1.72E-2</c:v>
                </c:pt>
                <c:pt idx="41">
                  <c:v>1.7999999999999999E-2</c:v>
                </c:pt>
                <c:pt idx="42">
                  <c:v>1.9099999999999999E-2</c:v>
                </c:pt>
                <c:pt idx="43">
                  <c:v>2.0400000000000001E-2</c:v>
                </c:pt>
                <c:pt idx="44">
                  <c:v>2.1499999999999998E-2</c:v>
                </c:pt>
                <c:pt idx="45">
                  <c:v>2.24E-2</c:v>
                </c:pt>
                <c:pt idx="46">
                  <c:v>2.3E-2</c:v>
                </c:pt>
                <c:pt idx="47">
                  <c:v>2.3099999999999999E-2</c:v>
                </c:pt>
                <c:pt idx="48">
                  <c:v>2.29E-2</c:v>
                </c:pt>
                <c:pt idx="49">
                  <c:v>2.2499999999999999E-2</c:v>
                </c:pt>
                <c:pt idx="50">
                  <c:v>2.18E-2</c:v>
                </c:pt>
                <c:pt idx="51">
                  <c:v>2.1000000000000001E-2</c:v>
                </c:pt>
                <c:pt idx="52">
                  <c:v>2.01E-2</c:v>
                </c:pt>
                <c:pt idx="53">
                  <c:v>1.9199999999999998E-2</c:v>
                </c:pt>
                <c:pt idx="54">
                  <c:v>1.84E-2</c:v>
                </c:pt>
                <c:pt idx="55">
                  <c:v>1.77E-2</c:v>
                </c:pt>
                <c:pt idx="56">
                  <c:v>1.7100000000000001E-2</c:v>
                </c:pt>
                <c:pt idx="57">
                  <c:v>1.67E-2</c:v>
                </c:pt>
                <c:pt idx="58">
                  <c:v>1.66E-2</c:v>
                </c:pt>
                <c:pt idx="59">
                  <c:v>1.6799999999999999E-2</c:v>
                </c:pt>
                <c:pt idx="60">
                  <c:v>1.7299999999999999E-2</c:v>
                </c:pt>
                <c:pt idx="61">
                  <c:v>1.7899999999999999E-2</c:v>
                </c:pt>
                <c:pt idx="62">
                  <c:v>1.8499999999999999E-2</c:v>
                </c:pt>
                <c:pt idx="63">
                  <c:v>1.9E-2</c:v>
                </c:pt>
                <c:pt idx="64">
                  <c:v>1.9300000000000001E-2</c:v>
                </c:pt>
                <c:pt idx="65">
                  <c:v>1.95E-2</c:v>
                </c:pt>
                <c:pt idx="66">
                  <c:v>1.9599999999999999E-2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96-4A08-913D-3074E2FD6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275062"/>
        <c:axId val="2020868099"/>
      </c:lineChart>
      <c:catAx>
        <c:axId val="423275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0868099"/>
        <c:crosses val="autoZero"/>
        <c:auto val="1"/>
        <c:lblAlgn val="ctr"/>
        <c:lblOffset val="100"/>
        <c:noMultiLvlLbl val="1"/>
      </c:catAx>
      <c:valAx>
        <c:axId val="2020868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32750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Tvecoca!$C$1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Tvecoca!$C$2:$C$67</c:f>
              <c:numCache>
                <c:formatCode>#,##0</c:formatCode>
                <c:ptCount val="66"/>
                <c:pt idx="0">
                  <c:v>5164.85416955047</c:v>
                </c:pt>
                <c:pt idx="1">
                  <c:v>5170.0241937442142</c:v>
                </c:pt>
                <c:pt idx="2">
                  <c:v>5175.1993931373518</c:v>
                </c:pt>
                <c:pt idx="3">
                  <c:v>5178.8245703365874</c:v>
                </c:pt>
                <c:pt idx="4">
                  <c:v>5180.8969291082303</c:v>
                </c:pt>
                <c:pt idx="5">
                  <c:v>5180.3788912191085</c:v>
                </c:pt>
                <c:pt idx="6">
                  <c:v>5175.7207425508132</c:v>
                </c:pt>
                <c:pt idx="7">
                  <c:v>5166.4211844188594</c:v>
                </c:pt>
                <c:pt idx="8">
                  <c:v>5152.5094090145203</c:v>
                </c:pt>
                <c:pt idx="9">
                  <c:v>5135.0502382046243</c:v>
                </c:pt>
                <c:pt idx="10">
                  <c:v>5114.591870721737</c:v>
                </c:pt>
                <c:pt idx="11">
                  <c:v>5093.2004289202723</c:v>
                </c:pt>
                <c:pt idx="12">
                  <c:v>5071.3934371405676</c:v>
                </c:pt>
                <c:pt idx="13">
                  <c:v>5049.6798139406228</c:v>
                </c:pt>
                <c:pt idx="14">
                  <c:v>5028.0591595545384</c:v>
                </c:pt>
                <c:pt idx="15">
                  <c:v>5005.0359939822201</c:v>
                </c:pt>
                <c:pt idx="16">
                  <c:v>4978.6491534688348</c:v>
                </c:pt>
                <c:pt idx="17">
                  <c:v>4948.4635259604756</c:v>
                </c:pt>
                <c:pt idx="18">
                  <c:v>4913.5771283491958</c:v>
                </c:pt>
                <c:pt idx="19">
                  <c:v>4875.064121787078</c:v>
                </c:pt>
                <c:pt idx="20">
                  <c:v>4833.0168749747972</c:v>
                </c:pt>
                <c:pt idx="21">
                  <c:v>4788.4839740164443</c:v>
                </c:pt>
                <c:pt idx="22">
                  <c:v>4742.481899590417</c:v>
                </c:pt>
                <c:pt idx="23">
                  <c:v>4695.5266332578385</c:v>
                </c:pt>
                <c:pt idx="24">
                  <c:v>4647.1957969693576</c:v>
                </c:pt>
                <c:pt idx="25">
                  <c:v>4596.1782187413282</c:v>
                </c:pt>
                <c:pt idx="26">
                  <c:v>4541.2293436827667</c:v>
                </c:pt>
                <c:pt idx="27">
                  <c:v>4481.1815114296096</c:v>
                </c:pt>
                <c:pt idx="28">
                  <c:v>4415.3921681245538</c:v>
                </c:pt>
                <c:pt idx="29">
                  <c:v>4344.148138650683</c:v>
                </c:pt>
                <c:pt idx="30">
                  <c:v>4269.0135010325102</c:v>
                </c:pt>
                <c:pt idx="31">
                  <c:v>4191.4712823097798</c:v>
                </c:pt>
                <c:pt idx="32">
                  <c:v>4114.1257187964075</c:v>
                </c:pt>
                <c:pt idx="33">
                  <c:v>4038.6038272272581</c:v>
                </c:pt>
                <c:pt idx="34">
                  <c:v>3965.6361225719347</c:v>
                </c:pt>
                <c:pt idx="35">
                  <c:v>3895.8995211434667</c:v>
                </c:pt>
                <c:pt idx="36">
                  <c:v>3829.2702193271734</c:v>
                </c:pt>
                <c:pt idx="37">
                  <c:v>3765.6310545060219</c:v>
                </c:pt>
                <c:pt idx="38">
                  <c:v>3703.7779625317421</c:v>
                </c:pt>
                <c:pt idx="39">
                  <c:v>3642.9408503312111</c:v>
                </c:pt>
                <c:pt idx="40">
                  <c:v>3581.3417718552996</c:v>
                </c:pt>
                <c:pt idx="41">
                  <c:v>3518.0174576181726</c:v>
                </c:pt>
                <c:pt idx="42">
                  <c:v>3452.0826784595947</c:v>
                </c:pt>
                <c:pt idx="43">
                  <c:v>3383.0680894351185</c:v>
                </c:pt>
                <c:pt idx="44">
                  <c:v>3311.8630341998219</c:v>
                </c:pt>
                <c:pt idx="45">
                  <c:v>3239.3026547337849</c:v>
                </c:pt>
                <c:pt idx="46">
                  <c:v>3166.4737582930452</c:v>
                </c:pt>
                <c:pt idx="47">
                  <c:v>3094.9797266083915</c:v>
                </c:pt>
                <c:pt idx="48">
                  <c:v>3025.6913936928258</c:v>
                </c:pt>
                <c:pt idx="49">
                  <c:v>2959.1113874746466</c:v>
                </c:pt>
                <c:pt idx="50">
                  <c:v>2895.9790443087163</c:v>
                </c:pt>
                <c:pt idx="51">
                  <c:v>2836.4143431035423</c:v>
                </c:pt>
                <c:pt idx="52">
                  <c:v>2780.5257750255291</c:v>
                </c:pt>
                <c:pt idx="53">
                  <c:v>2728.1453836592709</c:v>
                </c:pt>
                <c:pt idx="54">
                  <c:v>2678.8544615664482</c:v>
                </c:pt>
                <c:pt idx="55">
                  <c:v>2632.263399397119</c:v>
                </c:pt>
                <c:pt idx="56">
                  <c:v>2588.0084548197024</c:v>
                </c:pt>
                <c:pt idx="57">
                  <c:v>2545.4986277365028</c:v>
                </c:pt>
                <c:pt idx="58">
                  <c:v>2503.9333343857002</c:v>
                </c:pt>
                <c:pt idx="59">
                  <c:v>2462.5622879481712</c:v>
                </c:pt>
                <c:pt idx="60">
                  <c:v>2420.6844470148149</c:v>
                </c:pt>
                <c:pt idx="61">
                  <c:v>2378.1161676145148</c:v>
                </c:pt>
                <c:pt idx="62">
                  <c:v>2334.92014493325</c:v>
                </c:pt>
                <c:pt idx="63">
                  <c:v>2291.3838517500003</c:v>
                </c:pt>
                <c:pt idx="64">
                  <c:v>2247.9974999999999</c:v>
                </c:pt>
                <c:pt idx="65">
                  <c:v>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2-44B1-8741-911493ED2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236107"/>
        <c:axId val="1718379921"/>
      </c:lineChart>
      <c:catAx>
        <c:axId val="1127236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8379921"/>
        <c:crosses val="autoZero"/>
        <c:auto val="1"/>
        <c:lblAlgn val="ctr"/>
        <c:lblOffset val="100"/>
        <c:noMultiLvlLbl val="1"/>
      </c:catAx>
      <c:valAx>
        <c:axId val="1718379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72361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Ucrua!$D$1:$D$67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0.01</c:v>
                </c:pt>
                <c:pt idx="2">
                  <c:v>1.7299999999999999E-2</c:v>
                </c:pt>
                <c:pt idx="3">
                  <c:v>1.37E-2</c:v>
                </c:pt>
                <c:pt idx="4">
                  <c:v>1.1599999999999999E-2</c:v>
                </c:pt>
                <c:pt idx="5">
                  <c:v>1.55E-2</c:v>
                </c:pt>
                <c:pt idx="6">
                  <c:v>1.9099999999999999E-2</c:v>
                </c:pt>
                <c:pt idx="7">
                  <c:v>2.3400000000000001E-2</c:v>
                </c:pt>
                <c:pt idx="8">
                  <c:v>3.85E-2</c:v>
                </c:pt>
                <c:pt idx="9">
                  <c:v>4.2099999999999999E-2</c:v>
                </c:pt>
                <c:pt idx="10">
                  <c:v>4.53E-2</c:v>
                </c:pt>
                <c:pt idx="11">
                  <c:v>4.8300000000000003E-2</c:v>
                </c:pt>
                <c:pt idx="12">
                  <c:v>5.0900000000000001E-2</c:v>
                </c:pt>
                <c:pt idx="13">
                  <c:v>5.2999999999999999E-2</c:v>
                </c:pt>
                <c:pt idx="14">
                  <c:v>5.45E-2</c:v>
                </c:pt>
                <c:pt idx="15">
                  <c:v>5.5199999999999999E-2</c:v>
                </c:pt>
                <c:pt idx="16">
                  <c:v>5.4800000000000001E-2</c:v>
                </c:pt>
                <c:pt idx="17">
                  <c:v>5.33E-2</c:v>
                </c:pt>
                <c:pt idx="18">
                  <c:v>5.0999999999999997E-2</c:v>
                </c:pt>
                <c:pt idx="19">
                  <c:v>4.8099999999999997E-2</c:v>
                </c:pt>
                <c:pt idx="20">
                  <c:v>4.48E-2</c:v>
                </c:pt>
                <c:pt idx="21">
                  <c:v>4.1200000000000001E-2</c:v>
                </c:pt>
                <c:pt idx="22">
                  <c:v>3.7600000000000001E-2</c:v>
                </c:pt>
                <c:pt idx="23">
                  <c:v>3.44E-2</c:v>
                </c:pt>
                <c:pt idx="24">
                  <c:v>3.2099999999999997E-2</c:v>
                </c:pt>
                <c:pt idx="25">
                  <c:v>3.1099999999999999E-2</c:v>
                </c:pt>
                <c:pt idx="26">
                  <c:v>3.1399999999999997E-2</c:v>
                </c:pt>
                <c:pt idx="27">
                  <c:v>3.2899999999999999E-2</c:v>
                </c:pt>
                <c:pt idx="28">
                  <c:v>3.5099999999999999E-2</c:v>
                </c:pt>
                <c:pt idx="29">
                  <c:v>3.73E-2</c:v>
                </c:pt>
                <c:pt idx="30">
                  <c:v>3.9100000000000003E-2</c:v>
                </c:pt>
                <c:pt idx="31">
                  <c:v>4.0300000000000002E-2</c:v>
                </c:pt>
                <c:pt idx="32">
                  <c:v>4.0800000000000003E-2</c:v>
                </c:pt>
                <c:pt idx="33">
                  <c:v>4.0800000000000003E-2</c:v>
                </c:pt>
                <c:pt idx="34">
                  <c:v>4.0500000000000001E-2</c:v>
                </c:pt>
                <c:pt idx="35">
                  <c:v>3.9800000000000002E-2</c:v>
                </c:pt>
                <c:pt idx="36">
                  <c:v>3.8800000000000001E-2</c:v>
                </c:pt>
                <c:pt idx="37">
                  <c:v>3.7699999999999997E-2</c:v>
                </c:pt>
                <c:pt idx="38">
                  <c:v>3.6499999999999998E-2</c:v>
                </c:pt>
                <c:pt idx="39">
                  <c:v>3.5400000000000001E-2</c:v>
                </c:pt>
                <c:pt idx="40">
                  <c:v>3.4299999999999997E-2</c:v>
                </c:pt>
                <c:pt idx="41">
                  <c:v>3.3500000000000002E-2</c:v>
                </c:pt>
                <c:pt idx="42">
                  <c:v>3.3000000000000002E-2</c:v>
                </c:pt>
                <c:pt idx="43">
                  <c:v>3.27E-2</c:v>
                </c:pt>
                <c:pt idx="44">
                  <c:v>3.27E-2</c:v>
                </c:pt>
                <c:pt idx="45">
                  <c:v>3.2899999999999999E-2</c:v>
                </c:pt>
                <c:pt idx="46">
                  <c:v>3.3399999999999999E-2</c:v>
                </c:pt>
                <c:pt idx="47">
                  <c:v>3.4000000000000002E-2</c:v>
                </c:pt>
                <c:pt idx="48">
                  <c:v>3.4500000000000003E-2</c:v>
                </c:pt>
                <c:pt idx="49">
                  <c:v>3.4799999999999998E-2</c:v>
                </c:pt>
                <c:pt idx="50">
                  <c:v>3.4799999999999998E-2</c:v>
                </c:pt>
                <c:pt idx="51">
                  <c:v>3.4500000000000003E-2</c:v>
                </c:pt>
                <c:pt idx="52">
                  <c:v>3.39E-2</c:v>
                </c:pt>
                <c:pt idx="53">
                  <c:v>3.3099999999999997E-2</c:v>
                </c:pt>
                <c:pt idx="54">
                  <c:v>3.2399999999999998E-2</c:v>
                </c:pt>
                <c:pt idx="55">
                  <c:v>3.1800000000000002E-2</c:v>
                </c:pt>
                <c:pt idx="56">
                  <c:v>3.1600000000000003E-2</c:v>
                </c:pt>
                <c:pt idx="57">
                  <c:v>3.1699999999999999E-2</c:v>
                </c:pt>
                <c:pt idx="58">
                  <c:v>3.2199999999999999E-2</c:v>
                </c:pt>
                <c:pt idx="59">
                  <c:v>3.3099999999999997E-2</c:v>
                </c:pt>
                <c:pt idx="60">
                  <c:v>3.4200000000000001E-2</c:v>
                </c:pt>
                <c:pt idx="61">
                  <c:v>3.5000000000000003E-2</c:v>
                </c:pt>
                <c:pt idx="62">
                  <c:v>3.5400000000000001E-2</c:v>
                </c:pt>
                <c:pt idx="63">
                  <c:v>3.5099999999999999E-2</c:v>
                </c:pt>
                <c:pt idx="64">
                  <c:v>3.3799999999999997E-2</c:v>
                </c:pt>
                <c:pt idx="65">
                  <c:v>3.1300000000000001E-2</c:v>
                </c:pt>
                <c:pt idx="66">
                  <c:v>2.7400000000000001E-2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A5-498D-ADF6-459EF3CF9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40145"/>
        <c:axId val="1740153927"/>
      </c:lineChart>
      <c:catAx>
        <c:axId val="80540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0153927"/>
        <c:crosses val="autoZero"/>
        <c:auto val="1"/>
        <c:lblAlgn val="ctr"/>
        <c:lblOffset val="100"/>
        <c:noMultiLvlLbl val="1"/>
      </c:catAx>
      <c:valAx>
        <c:axId val="1740153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5401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Ucrua!$C$1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Ucrua!$C$2:$C$67</c:f>
              <c:numCache>
                <c:formatCode>#,##0</c:formatCode>
                <c:ptCount val="66"/>
                <c:pt idx="0">
                  <c:v>30764064.853330579</c:v>
                </c:pt>
                <c:pt idx="1">
                  <c:v>30459470.151812453</c:v>
                </c:pt>
                <c:pt idx="2">
                  <c:v>29941482.504484862</c:v>
                </c:pt>
                <c:pt idx="3">
                  <c:v>29536827.961413495</c:v>
                </c:pt>
                <c:pt idx="4">
                  <c:v>29198129.657387797</c:v>
                </c:pt>
                <c:pt idx="5">
                  <c:v>28752466.427757554</c:v>
                </c:pt>
                <c:pt idx="6">
                  <c:v>28213586.917630807</c:v>
                </c:pt>
                <c:pt idx="7">
                  <c:v>27568484.383067034</c:v>
                </c:pt>
                <c:pt idx="8">
                  <c:v>26546446.204205137</c:v>
                </c:pt>
                <c:pt idx="9">
                  <c:v>25473991.175707836</c:v>
                </c:pt>
                <c:pt idx="10">
                  <c:v>24370028.867987983</c:v>
                </c:pt>
                <c:pt idx="11">
                  <c:v>23247189.609833047</c:v>
                </c:pt>
                <c:pt idx="12">
                  <c:v>22121219.535477255</c:v>
                </c:pt>
                <c:pt idx="13">
                  <c:v>21007805.82666406</c:v>
                </c:pt>
                <c:pt idx="14">
                  <c:v>19922053.889676683</c:v>
                </c:pt>
                <c:pt idx="15">
                  <c:v>18879884.277555615</c:v>
                </c:pt>
                <c:pt idx="16">
                  <c:v>17899018.08641981</c:v>
                </c:pt>
                <c:pt idx="17">
                  <c:v>16993276.451552086</c:v>
                </c:pt>
                <c:pt idx="18">
                  <c:v>16168674.073788855</c:v>
                </c:pt>
                <c:pt idx="19">
                  <c:v>15426652.107421864</c:v>
                </c:pt>
                <c:pt idx="20">
                  <c:v>14765172.384592136</c:v>
                </c:pt>
                <c:pt idx="21">
                  <c:v>14180918.540714692</c:v>
                </c:pt>
                <c:pt idx="22">
                  <c:v>13667037.91510668</c:v>
                </c:pt>
                <c:pt idx="23">
                  <c:v>13212526.986762065</c:v>
                </c:pt>
                <c:pt idx="24">
                  <c:v>12801595.762776926</c:v>
                </c:pt>
                <c:pt idx="25">
                  <c:v>12415474.505651176</c:v>
                </c:pt>
                <c:pt idx="26">
                  <c:v>12037497.0968113</c:v>
                </c:pt>
                <c:pt idx="27">
                  <c:v>11654077.932821475</c:v>
                </c:pt>
                <c:pt idx="28">
                  <c:v>11258890.863512198</c:v>
                </c:pt>
                <c:pt idx="29">
                  <c:v>10854035.345138529</c:v>
                </c:pt>
                <c:pt idx="30">
                  <c:v>10445611.919101655</c:v>
                </c:pt>
                <c:pt idx="31">
                  <c:v>10040961.183410224</c:v>
                </c:pt>
                <c:pt idx="32">
                  <c:v>9647349.3307169713</c:v>
                </c:pt>
                <c:pt idx="33">
                  <c:v>9269167.304685792</c:v>
                </c:pt>
                <c:pt idx="34">
                  <c:v>8908377.9958537165</c:v>
                </c:pt>
                <c:pt idx="35">
                  <c:v>8567395.6490226164</c:v>
                </c:pt>
                <c:pt idx="36">
                  <c:v>8247396.6586663621</c:v>
                </c:pt>
                <c:pt idx="37">
                  <c:v>7947765.88480906</c:v>
                </c:pt>
                <c:pt idx="38">
                  <c:v>7667887.9737665802</c:v>
                </c:pt>
                <c:pt idx="39">
                  <c:v>7405725.2982099475</c:v>
                </c:pt>
                <c:pt idx="40">
                  <c:v>7160132.7450545756</c:v>
                </c:pt>
                <c:pt idx="41">
                  <c:v>6928043.2946827048</c:v>
                </c:pt>
                <c:pt idx="42">
                  <c:v>6706721.4856560556</c:v>
                </c:pt>
                <c:pt idx="43">
                  <c:v>6494356.0430483744</c:v>
                </c:pt>
                <c:pt idx="44">
                  <c:v>6288715.0605678074</c:v>
                </c:pt>
                <c:pt idx="45">
                  <c:v>6088406.4871408734</c:v>
                </c:pt>
                <c:pt idx="46">
                  <c:v>5891626.1729638791</c:v>
                </c:pt>
                <c:pt idx="47">
                  <c:v>5697897.652769709</c:v>
                </c:pt>
                <c:pt idx="48">
                  <c:v>5507875.9330785004</c:v>
                </c:pt>
                <c:pt idx="49">
                  <c:v>5322647.789986955</c:v>
                </c:pt>
                <c:pt idx="50">
                  <c:v>5143648.8113519093</c:v>
                </c:pt>
                <c:pt idx="51">
                  <c:v>4972110.9824571386</c:v>
                </c:pt>
                <c:pt idx="52">
                  <c:v>4809083.0665026968</c:v>
                </c:pt>
                <c:pt idx="53">
                  <c:v>4655002.484273253</c:v>
                </c:pt>
                <c:pt idx="54">
                  <c:v>4508913.6810085755</c:v>
                </c:pt>
                <c:pt idx="55">
                  <c:v>4369949.2934760377</c:v>
                </c:pt>
                <c:pt idx="56">
                  <c:v>4236088.8847189192</c:v>
                </c:pt>
                <c:pt idx="57">
                  <c:v>4105930.8759512636</c:v>
                </c:pt>
                <c:pt idx="58">
                  <c:v>3977844.2898190888</c:v>
                </c:pt>
                <c:pt idx="59">
                  <c:v>3850396.176380882</c:v>
                </c:pt>
                <c:pt idx="60">
                  <c:v>3723067.2755568381</c:v>
                </c:pt>
                <c:pt idx="61">
                  <c:v>3597166.4498133706</c:v>
                </c:pt>
                <c:pt idx="62">
                  <c:v>3474180.4614770818</c:v>
                </c:pt>
                <c:pt idx="63">
                  <c:v>3356371.8109140005</c:v>
                </c:pt>
                <c:pt idx="64">
                  <c:v>3246635.5300000003</c:v>
                </c:pt>
                <c:pt idx="65">
                  <c:v>3148100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B-4FBB-BB6F-6CFBE113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25479"/>
        <c:axId val="1167266268"/>
      </c:lineChart>
      <c:catAx>
        <c:axId val="190825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266268"/>
        <c:crosses val="autoZero"/>
        <c:auto val="1"/>
        <c:lblAlgn val="ctr"/>
        <c:lblOffset val="100"/>
        <c:noMultiLvlLbl val="1"/>
      </c:catAx>
      <c:valAx>
        <c:axId val="1167266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8254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Ukhdari!$D$1:$D$67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-4.1999999999999997E-3</c:v>
                </c:pt>
                <c:pt idx="2">
                  <c:v>-8.0000000000000004E-4</c:v>
                </c:pt>
                <c:pt idx="3">
                  <c:v>1.6000000000000001E-3</c:v>
                </c:pt>
                <c:pt idx="4">
                  <c:v>3.0000000000000001E-3</c:v>
                </c:pt>
                <c:pt idx="5">
                  <c:v>3.3999999999999998E-3</c:v>
                </c:pt>
                <c:pt idx="6">
                  <c:v>3.2000000000000002E-3</c:v>
                </c:pt>
                <c:pt idx="7">
                  <c:v>2.8E-3</c:v>
                </c:pt>
                <c:pt idx="8">
                  <c:v>2.8E-3</c:v>
                </c:pt>
                <c:pt idx="9">
                  <c:v>3.3E-3</c:v>
                </c:pt>
                <c:pt idx="10">
                  <c:v>4.4000000000000003E-3</c:v>
                </c:pt>
                <c:pt idx="11">
                  <c:v>4.3E-3</c:v>
                </c:pt>
                <c:pt idx="12">
                  <c:v>5.4999999999999997E-3</c:v>
                </c:pt>
                <c:pt idx="13">
                  <c:v>6.4999999999999997E-3</c:v>
                </c:pt>
                <c:pt idx="14">
                  <c:v>7.7999999999999996E-3</c:v>
                </c:pt>
                <c:pt idx="15">
                  <c:v>8.3999999999999995E-3</c:v>
                </c:pt>
                <c:pt idx="16">
                  <c:v>9.6999999999999986E-3</c:v>
                </c:pt>
                <c:pt idx="17">
                  <c:v>9.6999999999999986E-3</c:v>
                </c:pt>
                <c:pt idx="18">
                  <c:v>9.5999999999999992E-3</c:v>
                </c:pt>
                <c:pt idx="19">
                  <c:v>9.4999999999999998E-3</c:v>
                </c:pt>
                <c:pt idx="20">
                  <c:v>9.3999999999999986E-3</c:v>
                </c:pt>
                <c:pt idx="21">
                  <c:v>9.2999999999999992E-3</c:v>
                </c:pt>
                <c:pt idx="22">
                  <c:v>9.1999999999999998E-3</c:v>
                </c:pt>
                <c:pt idx="23">
                  <c:v>8.7999999999999988E-3</c:v>
                </c:pt>
                <c:pt idx="24">
                  <c:v>8.199999999999999E-3</c:v>
                </c:pt>
                <c:pt idx="25">
                  <c:v>7.3999999999999986E-3</c:v>
                </c:pt>
                <c:pt idx="26">
                  <c:v>8.5000000000000006E-3</c:v>
                </c:pt>
                <c:pt idx="27">
                  <c:v>8.8999999999999999E-3</c:v>
                </c:pt>
                <c:pt idx="28">
                  <c:v>8.3999999999999995E-3</c:v>
                </c:pt>
                <c:pt idx="29">
                  <c:v>7.0000000000000001E-3</c:v>
                </c:pt>
                <c:pt idx="30">
                  <c:v>5.7999999999999996E-3</c:v>
                </c:pt>
                <c:pt idx="31">
                  <c:v>5.1000000000000004E-3</c:v>
                </c:pt>
                <c:pt idx="32">
                  <c:v>4.8999999999999998E-3</c:v>
                </c:pt>
                <c:pt idx="33">
                  <c:v>5.0000000000000001E-3</c:v>
                </c:pt>
                <c:pt idx="34">
                  <c:v>5.1999999999999998E-3</c:v>
                </c:pt>
                <c:pt idx="35">
                  <c:v>5.1999999999999998E-3</c:v>
                </c:pt>
                <c:pt idx="36">
                  <c:v>5.1000000000000004E-3</c:v>
                </c:pt>
                <c:pt idx="37">
                  <c:v>4.7999999999999996E-3</c:v>
                </c:pt>
                <c:pt idx="38">
                  <c:v>4.5999999999999999E-3</c:v>
                </c:pt>
                <c:pt idx="39">
                  <c:v>4.7000000000000002E-3</c:v>
                </c:pt>
                <c:pt idx="40">
                  <c:v>5.3E-3</c:v>
                </c:pt>
                <c:pt idx="41">
                  <c:v>6.4000000000000003E-3</c:v>
                </c:pt>
                <c:pt idx="42">
                  <c:v>7.7999999999999996E-3</c:v>
                </c:pt>
                <c:pt idx="43">
                  <c:v>9.2999999999999992E-3</c:v>
                </c:pt>
                <c:pt idx="44">
                  <c:v>1.0699999999999999E-2</c:v>
                </c:pt>
                <c:pt idx="45">
                  <c:v>1.18E-2</c:v>
                </c:pt>
                <c:pt idx="46">
                  <c:v>1.2699999999999999E-2</c:v>
                </c:pt>
                <c:pt idx="47">
                  <c:v>1.34E-2</c:v>
                </c:pt>
                <c:pt idx="48">
                  <c:v>1.4200000000000001E-2</c:v>
                </c:pt>
                <c:pt idx="49">
                  <c:v>1.52E-2</c:v>
                </c:pt>
                <c:pt idx="50">
                  <c:v>1.6400000000000001E-2</c:v>
                </c:pt>
                <c:pt idx="51">
                  <c:v>1.7899999999999999E-2</c:v>
                </c:pt>
                <c:pt idx="52">
                  <c:v>1.95E-2</c:v>
                </c:pt>
                <c:pt idx="53">
                  <c:v>2.0899999999999998E-2</c:v>
                </c:pt>
                <c:pt idx="54">
                  <c:v>2.2100000000000002E-2</c:v>
                </c:pt>
                <c:pt idx="55">
                  <c:v>2.2599999999999999E-2</c:v>
                </c:pt>
                <c:pt idx="56">
                  <c:v>2.2200000000000001E-2</c:v>
                </c:pt>
                <c:pt idx="57">
                  <c:v>2.0799999999999999E-2</c:v>
                </c:pt>
                <c:pt idx="58">
                  <c:v>1.84E-2</c:v>
                </c:pt>
                <c:pt idx="59">
                  <c:v>1.4999999999999999E-2</c:v>
                </c:pt>
                <c:pt idx="60">
                  <c:v>1.11E-2</c:v>
                </c:pt>
                <c:pt idx="61">
                  <c:v>7.4000000000000003E-3</c:v>
                </c:pt>
                <c:pt idx="62">
                  <c:v>4.5999999999999999E-3</c:v>
                </c:pt>
                <c:pt idx="63">
                  <c:v>3.0999999999999999E-3</c:v>
                </c:pt>
                <c:pt idx="64">
                  <c:v>3.3E-3</c:v>
                </c:pt>
                <c:pt idx="65">
                  <c:v>5.4000000000000003E-3</c:v>
                </c:pt>
                <c:pt idx="66">
                  <c:v>9.1000000000000004E-3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24-4091-8CF0-6B0CD9ABE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644643"/>
        <c:axId val="1005405348"/>
      </c:lineChart>
      <c:catAx>
        <c:axId val="545644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5405348"/>
        <c:crosses val="autoZero"/>
        <c:auto val="1"/>
        <c:lblAlgn val="ctr"/>
        <c:lblOffset val="100"/>
        <c:noMultiLvlLbl val="1"/>
      </c:catAx>
      <c:valAx>
        <c:axId val="1005405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56446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Ukhdari!$C$1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Ukhdari!$C$2:$C$67</c:f>
              <c:numCache>
                <c:formatCode>#,##0</c:formatCode>
                <c:ptCount val="66"/>
                <c:pt idx="0">
                  <c:v>85678302.344146222</c:v>
                </c:pt>
                <c:pt idx="1">
                  <c:v>86039668.953751981</c:v>
                </c:pt>
                <c:pt idx="2">
                  <c:v>86108555.798390701</c:v>
                </c:pt>
                <c:pt idx="3">
                  <c:v>85971002.194878891</c:v>
                </c:pt>
                <c:pt idx="4">
                  <c:v>85713860.613039777</c:v>
                </c:pt>
                <c:pt idx="5">
                  <c:v>85423420.981701985</c:v>
                </c:pt>
                <c:pt idx="6">
                  <c:v>85150937.980165452</c:v>
                </c:pt>
                <c:pt idx="7">
                  <c:v>84913181.073160604</c:v>
                </c:pt>
                <c:pt idx="8">
                  <c:v>84676088.026685894</c:v>
                </c:pt>
                <c:pt idx="9">
                  <c:v>84397576.02580075</c:v>
                </c:pt>
                <c:pt idx="10">
                  <c:v>84027853.470530421</c:v>
                </c:pt>
                <c:pt idx="11">
                  <c:v>83668080.723419711</c:v>
                </c:pt>
                <c:pt idx="12">
                  <c:v>83210423.394748583</c:v>
                </c:pt>
                <c:pt idx="13">
                  <c:v>82673048.578985184</c:v>
                </c:pt>
                <c:pt idx="14">
                  <c:v>82033189.699330404</c:v>
                </c:pt>
                <c:pt idx="15">
                  <c:v>81349850.951339155</c:v>
                </c:pt>
                <c:pt idx="16">
                  <c:v>80568338.072040364</c:v>
                </c:pt>
                <c:pt idx="17">
                  <c:v>79794333.041537449</c:v>
                </c:pt>
                <c:pt idx="18">
                  <c:v>79035591.364438832</c:v>
                </c:pt>
                <c:pt idx="19">
                  <c:v>78291819.083148912</c:v>
                </c:pt>
                <c:pt idx="20">
                  <c:v>77562729.426539436</c:v>
                </c:pt>
                <c:pt idx="21">
                  <c:v>76848042.630079687</c:v>
                </c:pt>
                <c:pt idx="22">
                  <c:v>76147485.761077762</c:v>
                </c:pt>
                <c:pt idx="23">
                  <c:v>75483233.307967648</c:v>
                </c:pt>
                <c:pt idx="24">
                  <c:v>74869305.00691098</c:v>
                </c:pt>
                <c:pt idx="25">
                  <c:v>74319341.877021015</c:v>
                </c:pt>
                <c:pt idx="26">
                  <c:v>73692951.786832944</c:v>
                </c:pt>
                <c:pt idx="27">
                  <c:v>73042870.241681978</c:v>
                </c:pt>
                <c:pt idx="28">
                  <c:v>72434421.104404986</c:v>
                </c:pt>
                <c:pt idx="29">
                  <c:v>71930904.77100794</c:v>
                </c:pt>
                <c:pt idx="30">
                  <c:v>71516111.325321078</c:v>
                </c:pt>
                <c:pt idx="31">
                  <c:v>71153229.853070408</c:v>
                </c:pt>
                <c:pt idx="32">
                  <c:v>70806279.085551217</c:v>
                </c:pt>
                <c:pt idx="33">
                  <c:v>70454009.040349483</c:v>
                </c:pt>
                <c:pt idx="34">
                  <c:v>70089543.414593592</c:v>
                </c:pt>
                <c:pt idx="35">
                  <c:v>69726963.205922782</c:v>
                </c:pt>
                <c:pt idx="36">
                  <c:v>69373160.089466497</c:v>
                </c:pt>
                <c:pt idx="37">
                  <c:v>69041759.643179238</c:v>
                </c:pt>
                <c:pt idx="38">
                  <c:v>68725621.782977551</c:v>
                </c:pt>
                <c:pt idx="39">
                  <c:v>68404122.407661542</c:v>
                </c:pt>
                <c:pt idx="40">
                  <c:v>68043491.900588423</c:v>
                </c:pt>
                <c:pt idx="41">
                  <c:v>67610782.890091836</c:v>
                </c:pt>
                <c:pt idx="42">
                  <c:v>67087500.387072667</c:v>
                </c:pt>
                <c:pt idx="43">
                  <c:v>66469335.566306017</c:v>
                </c:pt>
                <c:pt idx="44">
                  <c:v>65765643.184234709</c:v>
                </c:pt>
                <c:pt idx="45">
                  <c:v>64998659.007941</c:v>
                </c:pt>
                <c:pt idx="46">
                  <c:v>64183528.199803501</c:v>
                </c:pt>
                <c:pt idx="47">
                  <c:v>63334841.326034635</c:v>
                </c:pt>
                <c:pt idx="48">
                  <c:v>62448078.609775819</c:v>
                </c:pt>
                <c:pt idx="49">
                  <c:v>61513079.796863489</c:v>
                </c:pt>
                <c:pt idx="50">
                  <c:v>60520542.893411539</c:v>
                </c:pt>
                <c:pt idx="51">
                  <c:v>59456275.560871929</c:v>
                </c:pt>
                <c:pt idx="52">
                  <c:v>58319054.007721357</c:v>
                </c:pt>
                <c:pt idx="53">
                  <c:v>57125138.610756546</c:v>
                </c:pt>
                <c:pt idx="54">
                  <c:v>55889970.267837338</c:v>
                </c:pt>
                <c:pt idx="55">
                  <c:v>54654772.411341034</c:v>
                </c:pt>
                <c:pt idx="56">
                  <c:v>53467787.528214671</c:v>
                </c:pt>
                <c:pt idx="57">
                  <c:v>52378318.503345095</c:v>
                </c:pt>
                <c:pt idx="58">
                  <c:v>51431970.250731632</c:v>
                </c:pt>
                <c:pt idx="59">
                  <c:v>50671891.87264201</c:v>
                </c:pt>
                <c:pt idx="60">
                  <c:v>50115608.616993375</c:v>
                </c:pt>
                <c:pt idx="61">
                  <c:v>49747477.285083748</c:v>
                </c:pt>
                <c:pt idx="62">
                  <c:v>49519686.726143494</c:v>
                </c:pt>
                <c:pt idx="63">
                  <c:v>49366650.110800005</c:v>
                </c:pt>
                <c:pt idx="64">
                  <c:v>49204276</c:v>
                </c:pt>
                <c:pt idx="65">
                  <c:v>48940000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6-4AB3-90D6-4F6E9F494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094889"/>
        <c:axId val="1480424257"/>
      </c:lineChart>
      <c:catAx>
        <c:axId val="731094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0424257"/>
        <c:crosses val="autoZero"/>
        <c:auto val="1"/>
        <c:lblAlgn val="ctr"/>
        <c:lblOffset val="100"/>
        <c:noMultiLvlLbl val="1"/>
      </c:catAx>
      <c:valAx>
        <c:axId val="1480424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10948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Umarcia!$D$1:$D$67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1.4999999999999999E-2</c:v>
                </c:pt>
                <c:pt idx="2">
                  <c:v>1.47E-2</c:v>
                </c:pt>
                <c:pt idx="3">
                  <c:v>1.46E-2</c:v>
                </c:pt>
                <c:pt idx="4">
                  <c:v>1.4500000000000001E-2</c:v>
                </c:pt>
                <c:pt idx="5">
                  <c:v>1.47E-2</c:v>
                </c:pt>
                <c:pt idx="6">
                  <c:v>1.52E-2</c:v>
                </c:pt>
                <c:pt idx="7">
                  <c:v>1.5900000000000001E-2</c:v>
                </c:pt>
                <c:pt idx="8">
                  <c:v>1.7000000000000001E-2</c:v>
                </c:pt>
                <c:pt idx="9">
                  <c:v>1.84E-2</c:v>
                </c:pt>
                <c:pt idx="10">
                  <c:v>2.01E-2</c:v>
                </c:pt>
                <c:pt idx="11">
                  <c:v>2.1899999999999999E-2</c:v>
                </c:pt>
                <c:pt idx="12">
                  <c:v>2.3599999999999999E-2</c:v>
                </c:pt>
                <c:pt idx="13">
                  <c:v>2.5100000000000001E-2</c:v>
                </c:pt>
                <c:pt idx="14">
                  <c:v>2.64E-2</c:v>
                </c:pt>
                <c:pt idx="15">
                  <c:v>2.75E-2</c:v>
                </c:pt>
                <c:pt idx="16">
                  <c:v>2.8500000000000001E-2</c:v>
                </c:pt>
                <c:pt idx="17">
                  <c:v>2.93E-2</c:v>
                </c:pt>
                <c:pt idx="18">
                  <c:v>0.03</c:v>
                </c:pt>
                <c:pt idx="19">
                  <c:v>3.0700000000000002E-2</c:v>
                </c:pt>
                <c:pt idx="20">
                  <c:v>3.1300000000000001E-2</c:v>
                </c:pt>
                <c:pt idx="21">
                  <c:v>3.2099999999999997E-2</c:v>
                </c:pt>
                <c:pt idx="22">
                  <c:v>3.2899999999999999E-2</c:v>
                </c:pt>
                <c:pt idx="23">
                  <c:v>3.3700000000000001E-2</c:v>
                </c:pt>
                <c:pt idx="24">
                  <c:v>3.4599999999999999E-2</c:v>
                </c:pt>
                <c:pt idx="25">
                  <c:v>3.5400000000000001E-2</c:v>
                </c:pt>
                <c:pt idx="26">
                  <c:v>3.6200000000000003E-2</c:v>
                </c:pt>
                <c:pt idx="27">
                  <c:v>3.6799999999999999E-2</c:v>
                </c:pt>
                <c:pt idx="28">
                  <c:v>3.73E-2</c:v>
                </c:pt>
                <c:pt idx="29">
                  <c:v>3.7699999999999997E-2</c:v>
                </c:pt>
                <c:pt idx="30">
                  <c:v>3.7999999999999999E-2</c:v>
                </c:pt>
                <c:pt idx="31">
                  <c:v>3.8199999999999998E-2</c:v>
                </c:pt>
                <c:pt idx="32">
                  <c:v>3.8399999999999997E-2</c:v>
                </c:pt>
                <c:pt idx="33">
                  <c:v>3.85E-2</c:v>
                </c:pt>
                <c:pt idx="34">
                  <c:v>3.8600000000000002E-2</c:v>
                </c:pt>
                <c:pt idx="35">
                  <c:v>3.8600000000000002E-2</c:v>
                </c:pt>
                <c:pt idx="36">
                  <c:v>3.85E-2</c:v>
                </c:pt>
                <c:pt idx="37">
                  <c:v>3.8399999999999997E-2</c:v>
                </c:pt>
                <c:pt idx="38">
                  <c:v>3.7999999999999999E-2</c:v>
                </c:pt>
                <c:pt idx="39">
                  <c:v>3.7499999999999999E-2</c:v>
                </c:pt>
                <c:pt idx="40">
                  <c:v>3.6799999999999999E-2</c:v>
                </c:pt>
                <c:pt idx="41">
                  <c:v>3.5799999999999998E-2</c:v>
                </c:pt>
                <c:pt idx="42">
                  <c:v>3.4799999999999998E-2</c:v>
                </c:pt>
                <c:pt idx="43">
                  <c:v>3.3700000000000001E-2</c:v>
                </c:pt>
                <c:pt idx="44">
                  <c:v>3.2599999999999997E-2</c:v>
                </c:pt>
                <c:pt idx="45">
                  <c:v>3.1600000000000003E-2</c:v>
                </c:pt>
                <c:pt idx="46">
                  <c:v>3.0700000000000002E-2</c:v>
                </c:pt>
                <c:pt idx="47">
                  <c:v>2.9899999999999999E-2</c:v>
                </c:pt>
                <c:pt idx="48">
                  <c:v>2.9399999999999999E-2</c:v>
                </c:pt>
                <c:pt idx="49">
                  <c:v>2.9100000000000001E-2</c:v>
                </c:pt>
                <c:pt idx="50">
                  <c:v>2.8799999999999999E-2</c:v>
                </c:pt>
                <c:pt idx="51">
                  <c:v>2.86E-2</c:v>
                </c:pt>
                <c:pt idx="52">
                  <c:v>2.8400000000000002E-2</c:v>
                </c:pt>
                <c:pt idx="53">
                  <c:v>2.8199999999999999E-2</c:v>
                </c:pt>
                <c:pt idx="54">
                  <c:v>2.8000000000000001E-2</c:v>
                </c:pt>
                <c:pt idx="55">
                  <c:v>2.7699999999999999E-2</c:v>
                </c:pt>
                <c:pt idx="56">
                  <c:v>2.7199999999999998E-2</c:v>
                </c:pt>
                <c:pt idx="57">
                  <c:v>2.6599999999999999E-2</c:v>
                </c:pt>
                <c:pt idx="58">
                  <c:v>2.5700000000000001E-2</c:v>
                </c:pt>
                <c:pt idx="59">
                  <c:v>2.4500000000000001E-2</c:v>
                </c:pt>
                <c:pt idx="60">
                  <c:v>2.3099999999999999E-2</c:v>
                </c:pt>
                <c:pt idx="61">
                  <c:v>2.1600000000000001E-2</c:v>
                </c:pt>
                <c:pt idx="62">
                  <c:v>0.02</c:v>
                </c:pt>
                <c:pt idx="63">
                  <c:v>1.83E-2</c:v>
                </c:pt>
                <c:pt idx="64">
                  <c:v>1.6400000000000001E-2</c:v>
                </c:pt>
                <c:pt idx="65">
                  <c:v>1.43E-2</c:v>
                </c:pt>
                <c:pt idx="66">
                  <c:v>1.2E-2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D1-469C-84E7-21CB7D6FD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667734"/>
        <c:axId val="1329521193"/>
      </c:lineChart>
      <c:catAx>
        <c:axId val="795667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9521193"/>
        <c:crosses val="autoZero"/>
        <c:auto val="1"/>
        <c:lblAlgn val="ctr"/>
        <c:lblOffset val="100"/>
        <c:noMultiLvlLbl val="1"/>
      </c:catAx>
      <c:valAx>
        <c:axId val="1329521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6677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Umarcia!$C$1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Umarcia!$C$2:$C$67</c:f>
              <c:numCache>
                <c:formatCode>#,##0</c:formatCode>
                <c:ptCount val="66"/>
                <c:pt idx="0">
                  <c:v>12306964.024369083</c:v>
                </c:pt>
                <c:pt idx="1">
                  <c:v>12125087.708738014</c:v>
                </c:pt>
                <c:pt idx="2">
                  <c:v>11949431.07197991</c:v>
                </c:pt>
                <c:pt idx="3">
                  <c:v>11777479.865937227</c:v>
                </c:pt>
                <c:pt idx="4">
                  <c:v>11609147.231086474</c:v>
                </c:pt>
                <c:pt idx="5">
                  <c:v>11440965.044926062</c:v>
                </c:pt>
                <c:pt idx="6">
                  <c:v>11269666.119903527</c:v>
                </c:pt>
                <c:pt idx="7">
                  <c:v>11093282.921452433</c:v>
                </c:pt>
                <c:pt idx="8">
                  <c:v>10907849.480287546</c:v>
                </c:pt>
                <c:pt idx="9">
                  <c:v>10710771.288577717</c:v>
                </c:pt>
                <c:pt idx="10">
                  <c:v>10499726.780293811</c:v>
                </c:pt>
                <c:pt idx="11">
                  <c:v>10274710.617764762</c:v>
                </c:pt>
                <c:pt idx="12">
                  <c:v>10037818.110360259</c:v>
                </c:pt>
                <c:pt idx="13">
                  <c:v>9792037.9576239008</c:v>
                </c:pt>
                <c:pt idx="14">
                  <c:v>9540177.2774979547</c:v>
                </c:pt>
                <c:pt idx="15">
                  <c:v>9284844.0656914394</c:v>
                </c:pt>
                <c:pt idx="16">
                  <c:v>9027558.6443280894</c:v>
                </c:pt>
                <c:pt idx="17">
                  <c:v>8770580.6318158824</c:v>
                </c:pt>
                <c:pt idx="18">
                  <c:v>8515126.8270057105</c:v>
                </c:pt>
                <c:pt idx="19">
                  <c:v>8261498.8134333082</c:v>
                </c:pt>
                <c:pt idx="20">
                  <c:v>8010761.9639613181</c:v>
                </c:pt>
                <c:pt idx="21">
                  <c:v>7761614.1497542076</c:v>
                </c:pt>
                <c:pt idx="22">
                  <c:v>7514390.6958604008</c:v>
                </c:pt>
                <c:pt idx="23">
                  <c:v>7269411.5273874439</c:v>
                </c:pt>
                <c:pt idx="24">
                  <c:v>7026301.4956383575</c:v>
                </c:pt>
                <c:pt idx="25">
                  <c:v>6786074.4597627549</c:v>
                </c:pt>
                <c:pt idx="26">
                  <c:v>6549000.6367137181</c:v>
                </c:pt>
                <c:pt idx="27">
                  <c:v>6316551.5400402378</c:v>
                </c:pt>
                <c:pt idx="28">
                  <c:v>6089416.3116169255</c:v>
                </c:pt>
                <c:pt idx="29">
                  <c:v>5868185.7103372123</c:v>
                </c:pt>
                <c:pt idx="30">
                  <c:v>5653358.1024443274</c:v>
                </c:pt>
                <c:pt idx="31">
                  <c:v>5445345.8894666992</c:v>
                </c:pt>
                <c:pt idx="32">
                  <c:v>5243977.1662814897</c:v>
                </c:pt>
                <c:pt idx="33">
                  <c:v>5049568.7686870387</c:v>
                </c:pt>
                <c:pt idx="34">
                  <c:v>4861899.4499201225</c:v>
                </c:pt>
                <c:pt idx="35">
                  <c:v>4681204.9392645126</c:v>
                </c:pt>
                <c:pt idx="36">
                  <c:v>4507660.028179598</c:v>
                </c:pt>
                <c:pt idx="37">
                  <c:v>4340966.8992484575</c:v>
                </c:pt>
                <c:pt idx="38">
                  <c:v>4182049.0358848334</c:v>
                </c:pt>
                <c:pt idx="39">
                  <c:v>4030890.6369974297</c:v>
                </c:pt>
                <c:pt idx="40">
                  <c:v>3887818.90142499</c:v>
                </c:pt>
                <c:pt idx="41">
                  <c:v>3753445.5507095866</c:v>
                </c:pt>
                <c:pt idx="42">
                  <c:v>3627218.3520579697</c:v>
                </c:pt>
                <c:pt idx="43">
                  <c:v>3508966.1914075357</c:v>
                </c:pt>
                <c:pt idx="44">
                  <c:v>3398185.3490291843</c:v>
                </c:pt>
                <c:pt idx="45">
                  <c:v>3294092.0405478715</c:v>
                </c:pt>
                <c:pt idx="46">
                  <c:v>3195975.5899368115</c:v>
                </c:pt>
                <c:pt idx="47">
                  <c:v>3103190.2028709692</c:v>
                </c:pt>
                <c:pt idx="48">
                  <c:v>3014562.0777841159</c:v>
                </c:pt>
                <c:pt idx="49">
                  <c:v>2929318.8978564921</c:v>
                </c:pt>
                <c:pt idx="50">
                  <c:v>2847316.1915401365</c:v>
                </c:pt>
                <c:pt idx="51">
                  <c:v>2768147.1821311847</c:v>
                </c:pt>
                <c:pt idx="52">
                  <c:v>2691702.8219867609</c:v>
                </c:pt>
                <c:pt idx="53">
                  <c:v>2617878.6442197636</c:v>
                </c:pt>
                <c:pt idx="54">
                  <c:v>2546574.5566340112</c:v>
                </c:pt>
                <c:pt idx="55">
                  <c:v>2477935.7367266822</c:v>
                </c:pt>
                <c:pt idx="56">
                  <c:v>2412320.6159722377</c:v>
                </c:pt>
                <c:pt idx="57">
                  <c:v>2349815.5230588717</c:v>
                </c:pt>
                <c:pt idx="58">
                  <c:v>2290938.4060240532</c:v>
                </c:pt>
                <c:pt idx="59">
                  <c:v>2236152.665714059</c:v>
                </c:pt>
                <c:pt idx="60">
                  <c:v>2185663.8312130379</c:v>
                </c:pt>
                <c:pt idx="61">
                  <c:v>2139451.6750323391</c:v>
                </c:pt>
                <c:pt idx="62">
                  <c:v>2097501.6421885677</c:v>
                </c:pt>
                <c:pt idx="63">
                  <c:v>2059807.1709599998</c:v>
                </c:pt>
                <c:pt idx="64">
                  <c:v>2026571.4</c:v>
                </c:pt>
                <c:pt idx="65">
                  <c:v>1998000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1-459B-81A2-29BC9A35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402354"/>
        <c:axId val="1361555614"/>
      </c:lineChart>
      <c:catAx>
        <c:axId val="385402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1555614"/>
        <c:crosses val="autoZero"/>
        <c:auto val="1"/>
        <c:lblAlgn val="ctr"/>
        <c:lblOffset val="100"/>
        <c:noMultiLvlLbl val="1"/>
      </c:catAx>
      <c:valAx>
        <c:axId val="1361555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54023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Umendel!$D$1:$D$67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1.0999999999999999E-2</c:v>
                </c:pt>
                <c:pt idx="2">
                  <c:v>1.14E-2</c:v>
                </c:pt>
                <c:pt idx="3">
                  <c:v>1.1900000000000001E-2</c:v>
                </c:pt>
                <c:pt idx="4">
                  <c:v>1.2500000000000001E-2</c:v>
                </c:pt>
                <c:pt idx="5">
                  <c:v>1.3299999999999999E-2</c:v>
                </c:pt>
                <c:pt idx="6">
                  <c:v>1.41E-2</c:v>
                </c:pt>
                <c:pt idx="7">
                  <c:v>1.49E-2</c:v>
                </c:pt>
                <c:pt idx="8">
                  <c:v>1.55E-2</c:v>
                </c:pt>
                <c:pt idx="9">
                  <c:v>1.5800000000000002E-2</c:v>
                </c:pt>
                <c:pt idx="10">
                  <c:v>1.5800000000000002E-2</c:v>
                </c:pt>
                <c:pt idx="11">
                  <c:v>1.5699999999999999E-2</c:v>
                </c:pt>
                <c:pt idx="12">
                  <c:v>1.5599999999999999E-2</c:v>
                </c:pt>
                <c:pt idx="13">
                  <c:v>1.5800000000000002E-2</c:v>
                </c:pt>
                <c:pt idx="14">
                  <c:v>1.6299999999999999E-2</c:v>
                </c:pt>
                <c:pt idx="15">
                  <c:v>1.72E-2</c:v>
                </c:pt>
                <c:pt idx="16">
                  <c:v>1.84E-2</c:v>
                </c:pt>
                <c:pt idx="17">
                  <c:v>1.9800000000000002E-2</c:v>
                </c:pt>
                <c:pt idx="18">
                  <c:v>2.12E-2</c:v>
                </c:pt>
                <c:pt idx="19">
                  <c:v>2.2599999999999999E-2</c:v>
                </c:pt>
                <c:pt idx="20">
                  <c:v>2.3699999999999999E-2</c:v>
                </c:pt>
                <c:pt idx="21">
                  <c:v>2.4500000000000001E-2</c:v>
                </c:pt>
                <c:pt idx="22">
                  <c:v>2.5100000000000001E-2</c:v>
                </c:pt>
                <c:pt idx="23">
                  <c:v>2.5399999999999999E-2</c:v>
                </c:pt>
                <c:pt idx="24">
                  <c:v>2.58E-2</c:v>
                </c:pt>
                <c:pt idx="25">
                  <c:v>2.64E-2</c:v>
                </c:pt>
                <c:pt idx="26">
                  <c:v>2.7300000000000001E-2</c:v>
                </c:pt>
                <c:pt idx="27">
                  <c:v>2.8400000000000002E-2</c:v>
                </c:pt>
                <c:pt idx="28">
                  <c:v>2.9700000000000001E-2</c:v>
                </c:pt>
                <c:pt idx="29">
                  <c:v>3.09E-2</c:v>
                </c:pt>
                <c:pt idx="30">
                  <c:v>3.1899999999999998E-2</c:v>
                </c:pt>
                <c:pt idx="31">
                  <c:v>3.2599999999999997E-2</c:v>
                </c:pt>
                <c:pt idx="32">
                  <c:v>3.2800000000000003E-2</c:v>
                </c:pt>
                <c:pt idx="33">
                  <c:v>3.27E-2</c:v>
                </c:pt>
                <c:pt idx="34">
                  <c:v>3.2300000000000002E-2</c:v>
                </c:pt>
                <c:pt idx="35">
                  <c:v>3.1899999999999998E-2</c:v>
                </c:pt>
                <c:pt idx="36">
                  <c:v>3.1600000000000003E-2</c:v>
                </c:pt>
                <c:pt idx="37">
                  <c:v>3.1600000000000003E-2</c:v>
                </c:pt>
                <c:pt idx="38">
                  <c:v>3.2000000000000001E-2</c:v>
                </c:pt>
                <c:pt idx="39">
                  <c:v>3.2899999999999999E-2</c:v>
                </c:pt>
                <c:pt idx="40">
                  <c:v>3.4099999999999998E-2</c:v>
                </c:pt>
                <c:pt idx="41">
                  <c:v>3.56E-2</c:v>
                </c:pt>
                <c:pt idx="42">
                  <c:v>3.73E-2</c:v>
                </c:pt>
                <c:pt idx="43">
                  <c:v>3.8800000000000001E-2</c:v>
                </c:pt>
                <c:pt idx="44">
                  <c:v>4.0099999999999997E-2</c:v>
                </c:pt>
                <c:pt idx="45">
                  <c:v>4.1000000000000002E-2</c:v>
                </c:pt>
                <c:pt idx="46">
                  <c:v>4.1200000000000001E-2</c:v>
                </c:pt>
                <c:pt idx="47">
                  <c:v>4.07E-2</c:v>
                </c:pt>
                <c:pt idx="48">
                  <c:v>3.9399999999999998E-2</c:v>
                </c:pt>
                <c:pt idx="49">
                  <c:v>3.73E-2</c:v>
                </c:pt>
                <c:pt idx="50">
                  <c:v>3.4700000000000002E-2</c:v>
                </c:pt>
                <c:pt idx="51">
                  <c:v>3.1800000000000002E-2</c:v>
                </c:pt>
                <c:pt idx="52">
                  <c:v>2.9000000000000001E-2</c:v>
                </c:pt>
                <c:pt idx="53">
                  <c:v>2.6800000000000001E-2</c:v>
                </c:pt>
                <c:pt idx="54">
                  <c:v>2.5700000000000001E-2</c:v>
                </c:pt>
                <c:pt idx="55">
                  <c:v>2.5899999999999999E-2</c:v>
                </c:pt>
                <c:pt idx="56">
                  <c:v>2.7199999999999998E-2</c:v>
                </c:pt>
                <c:pt idx="57">
                  <c:v>2.93E-2</c:v>
                </c:pt>
                <c:pt idx="58">
                  <c:v>3.1600000000000003E-2</c:v>
                </c:pt>
                <c:pt idx="59">
                  <c:v>3.3700000000000001E-2</c:v>
                </c:pt>
                <c:pt idx="60">
                  <c:v>3.5099999999999999E-2</c:v>
                </c:pt>
                <c:pt idx="61">
                  <c:v>3.5700000000000003E-2</c:v>
                </c:pt>
                <c:pt idx="62">
                  <c:v>3.5499999999999997E-2</c:v>
                </c:pt>
                <c:pt idx="63">
                  <c:v>3.4700000000000002E-2</c:v>
                </c:pt>
                <c:pt idx="64">
                  <c:v>3.3500000000000002E-2</c:v>
                </c:pt>
                <c:pt idx="65">
                  <c:v>3.2300000000000002E-2</c:v>
                </c:pt>
                <c:pt idx="66">
                  <c:v>3.1099999999999999E-2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CC-4C06-B883-A177E5AA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425540"/>
        <c:axId val="707587245"/>
      </c:lineChart>
      <c:catAx>
        <c:axId val="431425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7587245"/>
        <c:crosses val="autoZero"/>
        <c:auto val="1"/>
        <c:lblAlgn val="ctr"/>
        <c:lblOffset val="100"/>
        <c:noMultiLvlLbl val="1"/>
      </c:catAx>
      <c:valAx>
        <c:axId val="707587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14255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Umendel!$C$1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Umendel!$C$2:$C$67</c:f>
              <c:numCache>
                <c:formatCode>#,##0</c:formatCode>
                <c:ptCount val="66"/>
                <c:pt idx="0">
                  <c:v>7437452.3362264652</c:v>
                </c:pt>
                <c:pt idx="1">
                  <c:v>7356530.5007185619</c:v>
                </c:pt>
                <c:pt idx="2">
                  <c:v>7273611.3315390162</c:v>
                </c:pt>
                <c:pt idx="3">
                  <c:v>7188073.2597480146</c:v>
                </c:pt>
                <c:pt idx="4">
                  <c:v>7099331.6145659406</c:v>
                </c:pt>
                <c:pt idx="5">
                  <c:v>7006149.8219342148</c:v>
                </c:pt>
                <c:pt idx="6">
                  <c:v>6908736.6353754215</c:v>
                </c:pt>
                <c:pt idx="7">
                  <c:v>6807307.7499018842</c:v>
                </c:pt>
                <c:pt idx="8">
                  <c:v>6703404.9728231253</c:v>
                </c:pt>
                <c:pt idx="9">
                  <c:v>6599138.5832084315</c:v>
                </c:pt>
                <c:pt idx="10">
                  <c:v>6496493.9783504931</c:v>
                </c:pt>
                <c:pt idx="11">
                  <c:v>6396075.5915629547</c:v>
                </c:pt>
                <c:pt idx="12">
                  <c:v>6297829.4521100381</c:v>
                </c:pt>
                <c:pt idx="13">
                  <c:v>6199871.4826836362</c:v>
                </c:pt>
                <c:pt idx="14">
                  <c:v>6100434.4019321427</c:v>
                </c:pt>
                <c:pt idx="15">
                  <c:v>5997281.1658790233</c:v>
                </c:pt>
                <c:pt idx="16">
                  <c:v>5888924.9468568573</c:v>
                </c:pt>
                <c:pt idx="17">
                  <c:v>5774588.1024287678</c:v>
                </c:pt>
                <c:pt idx="18">
                  <c:v>5654708.286749674</c:v>
                </c:pt>
                <c:pt idx="19">
                  <c:v>5529736.2475549327</c:v>
                </c:pt>
                <c:pt idx="20">
                  <c:v>5401715.5881165694</c:v>
                </c:pt>
                <c:pt idx="21">
                  <c:v>5272538.3973807413</c:v>
                </c:pt>
                <c:pt idx="22">
                  <c:v>5143438.1010445245</c:v>
                </c:pt>
                <c:pt idx="23">
                  <c:v>5016030.9157836204</c:v>
                </c:pt>
                <c:pt idx="24">
                  <c:v>4889872.2126960615</c:v>
                </c:pt>
                <c:pt idx="25">
                  <c:v>4764099.9733983455</c:v>
                </c:pt>
                <c:pt idx="26">
                  <c:v>4637496.3237597048</c:v>
                </c:pt>
                <c:pt idx="27">
                  <c:v>4509428.5528585231</c:v>
                </c:pt>
                <c:pt idx="28">
                  <c:v>4379361.5158381304</c:v>
                </c:pt>
                <c:pt idx="29">
                  <c:v>4248095.3689379478</c:v>
                </c:pt>
                <c:pt idx="30">
                  <c:v>4116770.3933888432</c:v>
                </c:pt>
                <c:pt idx="31">
                  <c:v>3986800.6908665923</c:v>
                </c:pt>
                <c:pt idx="32">
                  <c:v>3860186.5713270647</c:v>
                </c:pt>
                <c:pt idx="33">
                  <c:v>3737955.4288051371</c:v>
                </c:pt>
                <c:pt idx="34">
                  <c:v>3620997.2186429692</c:v>
                </c:pt>
                <c:pt idx="35">
                  <c:v>3509058.2601443636</c:v>
                </c:pt>
                <c:pt idx="36">
                  <c:v>3401568.6895544431</c:v>
                </c:pt>
                <c:pt idx="37">
                  <c:v>3297371.7424917049</c:v>
                </c:pt>
                <c:pt idx="38">
                  <c:v>3195127.6574532022</c:v>
                </c:pt>
                <c:pt idx="39">
                  <c:v>3093356.2372477516</c:v>
                </c:pt>
                <c:pt idx="40">
                  <c:v>2991351.1626029895</c:v>
                </c:pt>
                <c:pt idx="41">
                  <c:v>2888519.855738692</c:v>
                </c:pt>
                <c:pt idx="42">
                  <c:v>2784652.3240515683</c:v>
                </c:pt>
                <c:pt idx="43">
                  <c:v>2680643.361620686</c:v>
                </c:pt>
                <c:pt idx="44">
                  <c:v>2577293.8771470878</c:v>
                </c:pt>
                <c:pt idx="45">
                  <c:v>2475786.6255015256</c:v>
                </c:pt>
                <c:pt idx="46">
                  <c:v>2377820.4240314309</c:v>
                </c:pt>
                <c:pt idx="47">
                  <c:v>2284827.9273867887</c:v>
                </c:pt>
                <c:pt idx="48">
                  <c:v>2198218.1329486133</c:v>
                </c:pt>
                <c:pt idx="49">
                  <c:v>2119172.9807660398</c:v>
                </c:pt>
                <c:pt idx="50">
                  <c:v>2048103.779613453</c:v>
                </c:pt>
                <c:pt idx="51">
                  <c:v>1984981.3719843505</c:v>
                </c:pt>
                <c:pt idx="52">
                  <c:v>1929039.2341927607</c:v>
                </c:pt>
                <c:pt idx="53">
                  <c:v>1878690.3332613565</c:v>
                </c:pt>
                <c:pt idx="54">
                  <c:v>1831617.7569088002</c:v>
                </c:pt>
                <c:pt idx="55">
                  <c:v>1785376.505418462</c:v>
                </c:pt>
                <c:pt idx="56">
                  <c:v>1738100.1805086276</c:v>
                </c:pt>
                <c:pt idx="57">
                  <c:v>1688623.5116182137</c:v>
                </c:pt>
                <c:pt idx="58">
                  <c:v>1636897.5490676751</c:v>
                </c:pt>
                <c:pt idx="59">
                  <c:v>1583532.5036932137</c:v>
                </c:pt>
                <c:pt idx="60">
                  <c:v>1529835.2851832807</c:v>
                </c:pt>
                <c:pt idx="61">
                  <c:v>1477102.7181454867</c:v>
                </c:pt>
                <c:pt idx="62">
                  <c:v>1426463.2719898471</c:v>
                </c:pt>
                <c:pt idx="63">
                  <c:v>1378624.9850100002</c:v>
                </c:pt>
                <c:pt idx="64">
                  <c:v>1333938.06</c:v>
                </c:pt>
                <c:pt idx="65">
                  <c:v>1292200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B2-49AD-AABB-873B51D22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193831"/>
        <c:axId val="1874310250"/>
      </c:lineChart>
      <c:catAx>
        <c:axId val="1238193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4310250"/>
        <c:crosses val="autoZero"/>
        <c:auto val="1"/>
        <c:lblAlgn val="ctr"/>
        <c:lblOffset val="100"/>
        <c:noMultiLvlLbl val="1"/>
      </c:catAx>
      <c:valAx>
        <c:axId val="1874310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81938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'United Delet'!$D$1:$D$67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8.8999999999999999E-3</c:v>
                </c:pt>
                <c:pt idx="2">
                  <c:v>9.9000000000000008E-3</c:v>
                </c:pt>
                <c:pt idx="3">
                  <c:v>1.11E-2</c:v>
                </c:pt>
                <c:pt idx="4">
                  <c:v>1.23E-2</c:v>
                </c:pt>
                <c:pt idx="5">
                  <c:v>1.3599999999999999E-2</c:v>
                </c:pt>
                <c:pt idx="6">
                  <c:v>1.47E-2</c:v>
                </c:pt>
                <c:pt idx="7">
                  <c:v>1.5800000000000002E-2</c:v>
                </c:pt>
                <c:pt idx="8">
                  <c:v>1.67E-2</c:v>
                </c:pt>
                <c:pt idx="9">
                  <c:v>1.7399999999999999E-2</c:v>
                </c:pt>
                <c:pt idx="10">
                  <c:v>1.7999999999999999E-2</c:v>
                </c:pt>
                <c:pt idx="11">
                  <c:v>1.83E-2</c:v>
                </c:pt>
                <c:pt idx="12">
                  <c:v>1.8599999999999998E-2</c:v>
                </c:pt>
                <c:pt idx="13">
                  <c:v>1.8800000000000001E-2</c:v>
                </c:pt>
                <c:pt idx="14">
                  <c:v>1.9099999999999999E-2</c:v>
                </c:pt>
                <c:pt idx="15">
                  <c:v>1.95E-2</c:v>
                </c:pt>
                <c:pt idx="16">
                  <c:v>2.01E-2</c:v>
                </c:pt>
                <c:pt idx="17">
                  <c:v>2.1000000000000001E-2</c:v>
                </c:pt>
                <c:pt idx="18">
                  <c:v>2.2100000000000002E-2</c:v>
                </c:pt>
                <c:pt idx="19">
                  <c:v>2.3400000000000001E-2</c:v>
                </c:pt>
                <c:pt idx="20">
                  <c:v>2.47E-2</c:v>
                </c:pt>
                <c:pt idx="21">
                  <c:v>2.6100000000000002E-2</c:v>
                </c:pt>
                <c:pt idx="22">
                  <c:v>2.7199999999999998E-2</c:v>
                </c:pt>
                <c:pt idx="23">
                  <c:v>2.81E-2</c:v>
                </c:pt>
                <c:pt idx="24">
                  <c:v>2.8799999999999999E-2</c:v>
                </c:pt>
                <c:pt idx="25">
                  <c:v>2.9100000000000001E-2</c:v>
                </c:pt>
                <c:pt idx="26">
                  <c:v>2.9100000000000001E-2</c:v>
                </c:pt>
                <c:pt idx="27">
                  <c:v>2.8899999999999999E-2</c:v>
                </c:pt>
                <c:pt idx="28">
                  <c:v>2.8400000000000002E-2</c:v>
                </c:pt>
                <c:pt idx="29">
                  <c:v>2.7799999999999998E-2</c:v>
                </c:pt>
                <c:pt idx="30">
                  <c:v>2.7E-2</c:v>
                </c:pt>
                <c:pt idx="31">
                  <c:v>2.5999999999999999E-2</c:v>
                </c:pt>
                <c:pt idx="32">
                  <c:v>2.4899999999999999E-2</c:v>
                </c:pt>
                <c:pt idx="33">
                  <c:v>2.3900000000000001E-2</c:v>
                </c:pt>
                <c:pt idx="34">
                  <c:v>2.29E-2</c:v>
                </c:pt>
                <c:pt idx="35">
                  <c:v>2.2100000000000002E-2</c:v>
                </c:pt>
                <c:pt idx="36">
                  <c:v>2.1299999999999999E-2</c:v>
                </c:pt>
                <c:pt idx="37">
                  <c:v>2.06E-2</c:v>
                </c:pt>
                <c:pt idx="38">
                  <c:v>2.01E-2</c:v>
                </c:pt>
                <c:pt idx="39">
                  <c:v>1.9599999999999999E-2</c:v>
                </c:pt>
                <c:pt idx="40">
                  <c:v>1.9099999999999999E-2</c:v>
                </c:pt>
                <c:pt idx="41">
                  <c:v>1.8499999999999999E-2</c:v>
                </c:pt>
                <c:pt idx="42">
                  <c:v>1.7899999999999999E-2</c:v>
                </c:pt>
                <c:pt idx="43">
                  <c:v>1.72E-2</c:v>
                </c:pt>
                <c:pt idx="44">
                  <c:v>1.6400000000000001E-2</c:v>
                </c:pt>
                <c:pt idx="45">
                  <c:v>1.5599999999999999E-2</c:v>
                </c:pt>
                <c:pt idx="46">
                  <c:v>1.49E-2</c:v>
                </c:pt>
                <c:pt idx="47">
                  <c:v>1.4200000000000001E-2</c:v>
                </c:pt>
                <c:pt idx="48">
                  <c:v>1.35E-2</c:v>
                </c:pt>
                <c:pt idx="49">
                  <c:v>1.29E-2</c:v>
                </c:pt>
                <c:pt idx="50">
                  <c:v>1.24E-2</c:v>
                </c:pt>
                <c:pt idx="51">
                  <c:v>1.2E-2</c:v>
                </c:pt>
                <c:pt idx="52">
                  <c:v>1.1599999999999999E-2</c:v>
                </c:pt>
                <c:pt idx="53">
                  <c:v>1.14E-2</c:v>
                </c:pt>
                <c:pt idx="54">
                  <c:v>1.11E-2</c:v>
                </c:pt>
                <c:pt idx="55">
                  <c:v>1.09E-2</c:v>
                </c:pt>
                <c:pt idx="56">
                  <c:v>1.0699999999999999E-2</c:v>
                </c:pt>
                <c:pt idx="57">
                  <c:v>1.0500000000000001E-2</c:v>
                </c:pt>
                <c:pt idx="58">
                  <c:v>1.03E-2</c:v>
                </c:pt>
                <c:pt idx="59">
                  <c:v>1.01E-2</c:v>
                </c:pt>
                <c:pt idx="60">
                  <c:v>9.9000000000000008E-3</c:v>
                </c:pt>
                <c:pt idx="61">
                  <c:v>9.7000000000000003E-3</c:v>
                </c:pt>
                <c:pt idx="62">
                  <c:v>9.4000000000000004E-3</c:v>
                </c:pt>
                <c:pt idx="63">
                  <c:v>9.1999999999999998E-3</c:v>
                </c:pt>
                <c:pt idx="64">
                  <c:v>8.8999999999999999E-3</c:v>
                </c:pt>
                <c:pt idx="65">
                  <c:v>8.6E-3</c:v>
                </c:pt>
                <c:pt idx="66">
                  <c:v>8.3999999999999995E-3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A9-45E0-B89A-261D10414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170441"/>
        <c:axId val="25804462"/>
      </c:lineChart>
      <c:catAx>
        <c:axId val="1946170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804462"/>
        <c:crosses val="autoZero"/>
        <c:auto val="1"/>
        <c:lblAlgn val="ctr"/>
        <c:lblOffset val="100"/>
        <c:noMultiLvlLbl val="1"/>
      </c:catAx>
      <c:valAx>
        <c:axId val="25804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61704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'United Delet'!$C$1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'United Delet'!$C$2:$C$67</c:f>
              <c:numCache>
                <c:formatCode>#,##0</c:formatCode>
                <c:ptCount val="66"/>
                <c:pt idx="0">
                  <c:v>93832696.520897821</c:v>
                </c:pt>
                <c:pt idx="1">
                  <c:v>93004952.444144934</c:v>
                </c:pt>
                <c:pt idx="2">
                  <c:v>92093229.472368479</c:v>
                </c:pt>
                <c:pt idx="3">
                  <c:v>91082216.865165129</c:v>
                </c:pt>
                <c:pt idx="4">
                  <c:v>89975517.993840888</c:v>
                </c:pt>
                <c:pt idx="5">
                  <c:v>88768269.528256595</c:v>
                </c:pt>
                <c:pt idx="6">
                  <c:v>87482280.012079045</c:v>
                </c:pt>
                <c:pt idx="7">
                  <c:v>86121559.373970315</c:v>
                </c:pt>
                <c:pt idx="8">
                  <c:v>84706953.254618198</c:v>
                </c:pt>
                <c:pt idx="9">
                  <c:v>83258259.538645759</c:v>
                </c:pt>
                <c:pt idx="10">
                  <c:v>81786109.566449657</c:v>
                </c:pt>
                <c:pt idx="11">
                  <c:v>80316320.894087851</c:v>
                </c:pt>
                <c:pt idx="12">
                  <c:v>78849716.173265129</c:v>
                </c:pt>
                <c:pt idx="13">
                  <c:v>77394695.8905233</c:v>
                </c:pt>
                <c:pt idx="14">
                  <c:v>75944162.388895407</c:v>
                </c:pt>
                <c:pt idx="15">
                  <c:v>74491576.644330949</c:v>
                </c:pt>
                <c:pt idx="16">
                  <c:v>73023798.298530489</c:v>
                </c:pt>
                <c:pt idx="17">
                  <c:v>71521839.665553868</c:v>
                </c:pt>
                <c:pt idx="18">
                  <c:v>69975383.686091244</c:v>
                </c:pt>
                <c:pt idx="19">
                  <c:v>68375399.341500133</c:v>
                </c:pt>
                <c:pt idx="20">
                  <c:v>66727236.59754087</c:v>
                </c:pt>
                <c:pt idx="21">
                  <c:v>65029954.777839266</c:v>
                </c:pt>
                <c:pt idx="22">
                  <c:v>63307977.782164402</c:v>
                </c:pt>
                <c:pt idx="23">
                  <c:v>61577645.931489542</c:v>
                </c:pt>
                <c:pt idx="24">
                  <c:v>59853854.910079263</c:v>
                </c:pt>
                <c:pt idx="25">
                  <c:v>58161359.352909602</c:v>
                </c:pt>
                <c:pt idx="26">
                  <c:v>56516722.72170791</c:v>
                </c:pt>
                <c:pt idx="27">
                  <c:v>54929266.908064842</c:v>
                </c:pt>
                <c:pt idx="28">
                  <c:v>53412355.997729331</c:v>
                </c:pt>
                <c:pt idx="29">
                  <c:v>51967655.183624566</c:v>
                </c:pt>
                <c:pt idx="30">
                  <c:v>50601416.926606201</c:v>
                </c:pt>
                <c:pt idx="31">
                  <c:v>49319119.811507016</c:v>
                </c:pt>
                <c:pt idx="32">
                  <c:v>48120909.17309691</c:v>
                </c:pt>
                <c:pt idx="33">
                  <c:v>46997664.980073161</c:v>
                </c:pt>
                <c:pt idx="34">
                  <c:v>45945512.738364615</c:v>
                </c:pt>
                <c:pt idx="35">
                  <c:v>44952071.94830703</c:v>
                </c:pt>
                <c:pt idx="36">
                  <c:v>44014561.782343119</c:v>
                </c:pt>
                <c:pt idx="37">
                  <c:v>43126162.828084581</c:v>
                </c:pt>
                <c:pt idx="38">
                  <c:v>42276407.04645092</c:v>
                </c:pt>
                <c:pt idx="39">
                  <c:v>41463718.170312785</c:v>
                </c:pt>
                <c:pt idx="40">
                  <c:v>40686604.033277191</c:v>
                </c:pt>
                <c:pt idx="41">
                  <c:v>39947573.915834256</c:v>
                </c:pt>
                <c:pt idx="42">
                  <c:v>39245086.861021958</c:v>
                </c:pt>
                <c:pt idx="43">
                  <c:v>38581485.313627563</c:v>
                </c:pt>
                <c:pt idx="44">
                  <c:v>37958958.395934246</c:v>
                </c:pt>
                <c:pt idx="45">
                  <c:v>37375894.442629226</c:v>
                </c:pt>
                <c:pt idx="46">
                  <c:v>36827169.615360357</c:v>
                </c:pt>
                <c:pt idx="47">
                  <c:v>36311545.666890509</c:v>
                </c:pt>
                <c:pt idx="48">
                  <c:v>35827869.42959103</c:v>
                </c:pt>
                <c:pt idx="49">
                  <c:v>35371576.097927764</c:v>
                </c:pt>
                <c:pt idx="50">
                  <c:v>34938340.673575431</c:v>
                </c:pt>
                <c:pt idx="51">
                  <c:v>34524052.048987582</c:v>
                </c:pt>
                <c:pt idx="52">
                  <c:v>34128165.331146285</c:v>
                </c:pt>
                <c:pt idx="53">
                  <c:v>33743489.550273165</c:v>
                </c:pt>
                <c:pt idx="54">
                  <c:v>33373048.709596638</c:v>
                </c:pt>
                <c:pt idx="55">
                  <c:v>33013204.777521655</c:v>
                </c:pt>
                <c:pt idx="56">
                  <c:v>32663703.153776251</c:v>
                </c:pt>
                <c:pt idx="57">
                  <c:v>32324298.024518806</c:v>
                </c:pt>
                <c:pt idx="58">
                  <c:v>31994752.07811423</c:v>
                </c:pt>
                <c:pt idx="59">
                  <c:v>31674836.232169319</c:v>
                </c:pt>
                <c:pt idx="60">
                  <c:v>31364329.371392533</c:v>
                </c:pt>
                <c:pt idx="61">
                  <c:v>31063018.095862664</c:v>
                </c:pt>
                <c:pt idx="62">
                  <c:v>30773744.893860374</c:v>
                </c:pt>
                <c:pt idx="63">
                  <c:v>30493207.385909997</c:v>
                </c:pt>
                <c:pt idx="64">
                  <c:v>30224211.899999999</c:v>
                </c:pt>
                <c:pt idx="65">
                  <c:v>29966500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0-4B37-BBEE-89572DB60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278281"/>
        <c:axId val="1520756507"/>
      </c:lineChart>
      <c:catAx>
        <c:axId val="562278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0756507"/>
        <c:crosses val="autoZero"/>
        <c:auto val="1"/>
        <c:lblAlgn val="ctr"/>
        <c:lblOffset val="100"/>
        <c:noMultiLvlLbl val="1"/>
      </c:catAx>
      <c:valAx>
        <c:axId val="152075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22782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'United Mihili'!$D$1:$D$67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4.4000000000000003E-3</c:v>
                </c:pt>
                <c:pt idx="2">
                  <c:v>5.5999999999999999E-3</c:v>
                </c:pt>
                <c:pt idx="3">
                  <c:v>7.1999999999999998E-3</c:v>
                </c:pt>
                <c:pt idx="4">
                  <c:v>8.9999999999999993E-3</c:v>
                </c:pt>
                <c:pt idx="5">
                  <c:v>1.09E-2</c:v>
                </c:pt>
                <c:pt idx="6">
                  <c:v>1.2699999999999999E-2</c:v>
                </c:pt>
                <c:pt idx="7">
                  <c:v>1.44E-2</c:v>
                </c:pt>
                <c:pt idx="8">
                  <c:v>1.6E-2</c:v>
                </c:pt>
                <c:pt idx="9">
                  <c:v>1.7399999999999999E-2</c:v>
                </c:pt>
                <c:pt idx="10">
                  <c:v>1.89E-2</c:v>
                </c:pt>
                <c:pt idx="11">
                  <c:v>2.0299999999999999E-2</c:v>
                </c:pt>
                <c:pt idx="12">
                  <c:v>2.1700000000000001E-2</c:v>
                </c:pt>
                <c:pt idx="13">
                  <c:v>2.3E-2</c:v>
                </c:pt>
                <c:pt idx="14">
                  <c:v>2.4500000000000001E-2</c:v>
                </c:pt>
                <c:pt idx="15">
                  <c:v>2.5999999999999999E-2</c:v>
                </c:pt>
                <c:pt idx="16">
                  <c:v>2.7799999999999998E-2</c:v>
                </c:pt>
                <c:pt idx="17">
                  <c:v>2.9700000000000001E-2</c:v>
                </c:pt>
                <c:pt idx="18">
                  <c:v>3.1699999999999999E-2</c:v>
                </c:pt>
                <c:pt idx="19">
                  <c:v>3.3700000000000001E-2</c:v>
                </c:pt>
                <c:pt idx="20">
                  <c:v>3.56E-2</c:v>
                </c:pt>
                <c:pt idx="21">
                  <c:v>3.73E-2</c:v>
                </c:pt>
                <c:pt idx="22">
                  <c:v>3.85E-2</c:v>
                </c:pt>
                <c:pt idx="23">
                  <c:v>3.9100000000000003E-2</c:v>
                </c:pt>
                <c:pt idx="24">
                  <c:v>3.8800000000000001E-2</c:v>
                </c:pt>
                <c:pt idx="25">
                  <c:v>3.78E-2</c:v>
                </c:pt>
                <c:pt idx="26">
                  <c:v>3.6200000000000003E-2</c:v>
                </c:pt>
                <c:pt idx="27">
                  <c:v>3.44E-2</c:v>
                </c:pt>
                <c:pt idx="28">
                  <c:v>3.2599999999999997E-2</c:v>
                </c:pt>
                <c:pt idx="29">
                  <c:v>3.1199999999999999E-2</c:v>
                </c:pt>
                <c:pt idx="30">
                  <c:v>3.0700000000000002E-2</c:v>
                </c:pt>
                <c:pt idx="31">
                  <c:v>3.1300000000000001E-2</c:v>
                </c:pt>
                <c:pt idx="32">
                  <c:v>3.3000000000000002E-2</c:v>
                </c:pt>
                <c:pt idx="33">
                  <c:v>3.5299999999999998E-2</c:v>
                </c:pt>
                <c:pt idx="34">
                  <c:v>3.7400000000000003E-2</c:v>
                </c:pt>
                <c:pt idx="35">
                  <c:v>3.8899999999999997E-2</c:v>
                </c:pt>
                <c:pt idx="36">
                  <c:v>3.9300000000000002E-2</c:v>
                </c:pt>
                <c:pt idx="37">
                  <c:v>3.8600000000000002E-2</c:v>
                </c:pt>
                <c:pt idx="38">
                  <c:v>3.7199999999999997E-2</c:v>
                </c:pt>
                <c:pt idx="39">
                  <c:v>3.5099999999999999E-2</c:v>
                </c:pt>
                <c:pt idx="40">
                  <c:v>3.27E-2</c:v>
                </c:pt>
                <c:pt idx="41">
                  <c:v>3.0300000000000001E-2</c:v>
                </c:pt>
                <c:pt idx="42">
                  <c:v>2.7900000000000001E-2</c:v>
                </c:pt>
                <c:pt idx="43">
                  <c:v>2.5499999999999998E-2</c:v>
                </c:pt>
                <c:pt idx="44">
                  <c:v>2.3300000000000001E-2</c:v>
                </c:pt>
                <c:pt idx="45">
                  <c:v>2.1299999999999999E-2</c:v>
                </c:pt>
                <c:pt idx="46">
                  <c:v>1.95E-2</c:v>
                </c:pt>
                <c:pt idx="47">
                  <c:v>1.7899999999999999E-2</c:v>
                </c:pt>
                <c:pt idx="48">
                  <c:v>1.6500000000000001E-2</c:v>
                </c:pt>
                <c:pt idx="49">
                  <c:v>1.52E-2</c:v>
                </c:pt>
                <c:pt idx="50">
                  <c:v>1.41E-2</c:v>
                </c:pt>
                <c:pt idx="51">
                  <c:v>1.3100000000000001E-2</c:v>
                </c:pt>
                <c:pt idx="52">
                  <c:v>1.23E-2</c:v>
                </c:pt>
                <c:pt idx="53">
                  <c:v>1.18E-2</c:v>
                </c:pt>
                <c:pt idx="54">
                  <c:v>1.1599999999999999E-2</c:v>
                </c:pt>
                <c:pt idx="55">
                  <c:v>1.17E-2</c:v>
                </c:pt>
                <c:pt idx="56">
                  <c:v>1.2E-2</c:v>
                </c:pt>
                <c:pt idx="57">
                  <c:v>1.23E-2</c:v>
                </c:pt>
                <c:pt idx="58">
                  <c:v>1.2699999999999999E-2</c:v>
                </c:pt>
                <c:pt idx="59">
                  <c:v>1.2999999999999999E-2</c:v>
                </c:pt>
                <c:pt idx="60">
                  <c:v>1.3100000000000001E-2</c:v>
                </c:pt>
                <c:pt idx="61">
                  <c:v>1.32E-2</c:v>
                </c:pt>
                <c:pt idx="62">
                  <c:v>1.32E-2</c:v>
                </c:pt>
                <c:pt idx="63">
                  <c:v>1.3100000000000001E-2</c:v>
                </c:pt>
                <c:pt idx="64">
                  <c:v>1.2999999999999999E-2</c:v>
                </c:pt>
                <c:pt idx="65">
                  <c:v>1.2800000000000001E-2</c:v>
                </c:pt>
                <c:pt idx="66">
                  <c:v>1.26E-2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50-4956-AB98-83E3E0E05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984057"/>
        <c:axId val="187933973"/>
      </c:lineChart>
      <c:catAx>
        <c:axId val="896984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933973"/>
        <c:crosses val="autoZero"/>
        <c:auto val="1"/>
        <c:lblAlgn val="ctr"/>
        <c:lblOffset val="100"/>
        <c:noMultiLvlLbl val="1"/>
      </c:catAx>
      <c:valAx>
        <c:axId val="187933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69840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'United Mihili'!$C$1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'United Mihili'!$C$2:$C$67</c:f>
              <c:numCache>
                <c:formatCode>#,##0</c:formatCode>
                <c:ptCount val="66"/>
                <c:pt idx="0">
                  <c:v>33525928.242861282</c:v>
                </c:pt>
                <c:pt idx="1">
                  <c:v>33379060.377201598</c:v>
                </c:pt>
                <c:pt idx="2">
                  <c:v>33193178.577169448</c:v>
                </c:pt>
                <c:pt idx="3">
                  <c:v>32955896.125068948</c:v>
                </c:pt>
                <c:pt idx="4">
                  <c:v>32661938.676976167</c:v>
                </c:pt>
                <c:pt idx="5">
                  <c:v>32309762.26825222</c:v>
                </c:pt>
                <c:pt idx="6">
                  <c:v>31904574.1762143</c:v>
                </c:pt>
                <c:pt idx="7">
                  <c:v>31451670.126394223</c:v>
                </c:pt>
                <c:pt idx="8">
                  <c:v>30956368.234639984</c:v>
                </c:pt>
                <c:pt idx="9">
                  <c:v>30426939.487556498</c:v>
                </c:pt>
                <c:pt idx="10">
                  <c:v>29862537.528272156</c:v>
                </c:pt>
                <c:pt idx="11">
                  <c:v>29268389.226964772</c:v>
                </c:pt>
                <c:pt idx="12">
                  <c:v>28646754.651037261</c:v>
                </c:pt>
                <c:pt idx="13">
                  <c:v>28002692.718511499</c:v>
                </c:pt>
                <c:pt idx="14">
                  <c:v>27333033.400206443</c:v>
                </c:pt>
                <c:pt idx="15">
                  <c:v>26640383.43100043</c:v>
                </c:pt>
                <c:pt idx="16">
                  <c:v>25919812.639619019</c:v>
                </c:pt>
                <c:pt idx="17">
                  <c:v>25172198.348663706</c:v>
                </c:pt>
                <c:pt idx="18">
                  <c:v>24398757.728665024</c:v>
                </c:pt>
                <c:pt idx="19">
                  <c:v>23603325.654121142</c:v>
                </c:pt>
                <c:pt idx="20">
                  <c:v>22791932.844844669</c:v>
                </c:pt>
                <c:pt idx="21">
                  <c:v>21972363.679595746</c:v>
                </c:pt>
                <c:pt idx="22">
                  <c:v>21157788.81039552</c:v>
                </c:pt>
                <c:pt idx="23">
                  <c:v>20361648.359537601</c:v>
                </c:pt>
                <c:pt idx="24">
                  <c:v>19601124.720386602</c:v>
                </c:pt>
                <c:pt idx="25">
                  <c:v>18887188.977053963</c:v>
                </c:pt>
                <c:pt idx="26">
                  <c:v>18227358.595882997</c:v>
                </c:pt>
                <c:pt idx="27">
                  <c:v>17621189.671193928</c:v>
                </c:pt>
                <c:pt idx="28">
                  <c:v>17064874.754206788</c:v>
                </c:pt>
                <c:pt idx="29">
                  <c:v>16548559.691821944</c:v>
                </c:pt>
                <c:pt idx="30">
                  <c:v>16055651.199982483</c:v>
                </c:pt>
                <c:pt idx="31">
                  <c:v>15568361.485486746</c:v>
                </c:pt>
                <c:pt idx="32">
                  <c:v>15071017.894953288</c:v>
                </c:pt>
                <c:pt idx="33">
                  <c:v>14557150.482906684</c:v>
                </c:pt>
                <c:pt idx="34">
                  <c:v>14032340.932048084</c:v>
                </c:pt>
                <c:pt idx="35">
                  <c:v>13506921.678744908</c:v>
                </c:pt>
                <c:pt idx="36">
                  <c:v>12996172.114639575</c:v>
                </c:pt>
                <c:pt idx="37">
                  <c:v>12513163.984825319</c:v>
                </c:pt>
                <c:pt idx="38">
                  <c:v>12064369.441597879</c:v>
                </c:pt>
                <c:pt idx="39">
                  <c:v>11655269.482753241</c:v>
                </c:pt>
                <c:pt idx="40">
                  <c:v>11286210.402588595</c:v>
                </c:pt>
                <c:pt idx="41">
                  <c:v>10954295.256322037</c:v>
                </c:pt>
                <c:pt idx="42">
                  <c:v>10656965.907502711</c:v>
                </c:pt>
                <c:pt idx="43">
                  <c:v>10391970.655780312</c:v>
                </c:pt>
                <c:pt idx="44">
                  <c:v>10155350.977993073</c:v>
                </c:pt>
                <c:pt idx="45">
                  <c:v>9943553.2928552553</c:v>
                </c:pt>
                <c:pt idx="46">
                  <c:v>9753362.7198187876</c:v>
                </c:pt>
                <c:pt idx="47">
                  <c:v>9581847.6469385866</c:v>
                </c:pt>
                <c:pt idx="48">
                  <c:v>9426313.4746075626</c:v>
                </c:pt>
                <c:pt idx="49">
                  <c:v>9285178.757493658</c:v>
                </c:pt>
                <c:pt idx="50">
                  <c:v>9156078.0568914879</c:v>
                </c:pt>
                <c:pt idx="51">
                  <c:v>9037684.3913646098</c:v>
                </c:pt>
                <c:pt idx="52">
                  <c:v>8927871.5710408073</c:v>
                </c:pt>
                <c:pt idx="53">
                  <c:v>8823751.3056343216</c:v>
                </c:pt>
                <c:pt idx="54">
                  <c:v>8722569.4994408078</c:v>
                </c:pt>
                <c:pt idx="55">
                  <c:v>8621695.6602162775</c:v>
                </c:pt>
                <c:pt idx="56">
                  <c:v>8519462.1148382183</c:v>
                </c:pt>
                <c:pt idx="57">
                  <c:v>8415945.9792929161</c:v>
                </c:pt>
                <c:pt idx="58">
                  <c:v>8310403.8503929265</c:v>
                </c:pt>
                <c:pt idx="59">
                  <c:v>8203755.0349387238</c:v>
                </c:pt>
                <c:pt idx="60">
                  <c:v>8097675.4860711899</c:v>
                </c:pt>
                <c:pt idx="61">
                  <c:v>7992178.72687642</c:v>
                </c:pt>
                <c:pt idx="62">
                  <c:v>7888056.3826257596</c:v>
                </c:pt>
                <c:pt idx="63">
                  <c:v>7786059.0095999986</c:v>
                </c:pt>
                <c:pt idx="64">
                  <c:v>7686139.1999999993</c:v>
                </c:pt>
                <c:pt idx="65">
                  <c:v>7589000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A-4925-8A42-83D04843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200400"/>
        <c:axId val="188898767"/>
      </c:lineChart>
      <c:catAx>
        <c:axId val="209020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898767"/>
        <c:crosses val="autoZero"/>
        <c:auto val="1"/>
        <c:lblAlgn val="ctr"/>
        <c:lblOffset val="100"/>
        <c:noMultiLvlLbl val="1"/>
      </c:catAx>
      <c:valAx>
        <c:axId val="188898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02004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Urbiqu!$D$1:$D$67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7.0000000000000001E-3</c:v>
                </c:pt>
                <c:pt idx="2">
                  <c:v>8.2000000000000007E-3</c:v>
                </c:pt>
                <c:pt idx="3">
                  <c:v>9.5999999999999992E-3</c:v>
                </c:pt>
                <c:pt idx="4">
                  <c:v>1.11E-2</c:v>
                </c:pt>
                <c:pt idx="5">
                  <c:v>1.2699999999999999E-2</c:v>
                </c:pt>
                <c:pt idx="6">
                  <c:v>1.4200000000000001E-2</c:v>
                </c:pt>
                <c:pt idx="7">
                  <c:v>1.55E-2</c:v>
                </c:pt>
                <c:pt idx="8">
                  <c:v>1.67E-2</c:v>
                </c:pt>
                <c:pt idx="9">
                  <c:v>1.77E-2</c:v>
                </c:pt>
                <c:pt idx="10">
                  <c:v>1.84E-2</c:v>
                </c:pt>
                <c:pt idx="11">
                  <c:v>1.8800000000000001E-2</c:v>
                </c:pt>
                <c:pt idx="12">
                  <c:v>1.9099999999999999E-2</c:v>
                </c:pt>
                <c:pt idx="13">
                  <c:v>1.95E-2</c:v>
                </c:pt>
                <c:pt idx="14">
                  <c:v>2.01E-2</c:v>
                </c:pt>
                <c:pt idx="15">
                  <c:v>2.12E-2</c:v>
                </c:pt>
                <c:pt idx="16">
                  <c:v>2.2599999999999999E-2</c:v>
                </c:pt>
                <c:pt idx="17">
                  <c:v>2.4500000000000001E-2</c:v>
                </c:pt>
                <c:pt idx="18">
                  <c:v>2.64E-2</c:v>
                </c:pt>
                <c:pt idx="19">
                  <c:v>2.8400000000000002E-2</c:v>
                </c:pt>
                <c:pt idx="20">
                  <c:v>3.0099999999999998E-2</c:v>
                </c:pt>
                <c:pt idx="21">
                  <c:v>3.1600000000000003E-2</c:v>
                </c:pt>
                <c:pt idx="22">
                  <c:v>3.27E-2</c:v>
                </c:pt>
                <c:pt idx="23">
                  <c:v>3.3500000000000002E-2</c:v>
                </c:pt>
                <c:pt idx="24">
                  <c:v>3.4099999999999998E-2</c:v>
                </c:pt>
                <c:pt idx="25">
                  <c:v>3.4500000000000003E-2</c:v>
                </c:pt>
                <c:pt idx="26">
                  <c:v>3.4799999999999998E-2</c:v>
                </c:pt>
                <c:pt idx="27">
                  <c:v>3.5000000000000003E-2</c:v>
                </c:pt>
                <c:pt idx="28">
                  <c:v>3.5099999999999999E-2</c:v>
                </c:pt>
                <c:pt idx="29">
                  <c:v>3.5299999999999998E-2</c:v>
                </c:pt>
                <c:pt idx="30">
                  <c:v>3.5499999999999997E-2</c:v>
                </c:pt>
                <c:pt idx="31">
                  <c:v>3.5999999999999997E-2</c:v>
                </c:pt>
                <c:pt idx="32">
                  <c:v>3.6900000000000002E-2</c:v>
                </c:pt>
                <c:pt idx="33">
                  <c:v>3.8100000000000002E-2</c:v>
                </c:pt>
                <c:pt idx="34">
                  <c:v>3.9399999999999998E-2</c:v>
                </c:pt>
                <c:pt idx="35">
                  <c:v>4.07E-2</c:v>
                </c:pt>
                <c:pt idx="36">
                  <c:v>4.1700000000000001E-2</c:v>
                </c:pt>
                <c:pt idx="37">
                  <c:v>4.2200000000000001E-2</c:v>
                </c:pt>
                <c:pt idx="38">
                  <c:v>4.2099999999999999E-2</c:v>
                </c:pt>
                <c:pt idx="39">
                  <c:v>4.1399999999999999E-2</c:v>
                </c:pt>
                <c:pt idx="40">
                  <c:v>0.04</c:v>
                </c:pt>
                <c:pt idx="41">
                  <c:v>3.8199999999999998E-2</c:v>
                </c:pt>
                <c:pt idx="42">
                  <c:v>3.61E-2</c:v>
                </c:pt>
                <c:pt idx="43">
                  <c:v>3.39E-2</c:v>
                </c:pt>
                <c:pt idx="44">
                  <c:v>3.1699999999999999E-2</c:v>
                </c:pt>
                <c:pt idx="45">
                  <c:v>2.9700000000000001E-2</c:v>
                </c:pt>
                <c:pt idx="46">
                  <c:v>2.81E-2</c:v>
                </c:pt>
                <c:pt idx="47">
                  <c:v>2.7099999999999999E-2</c:v>
                </c:pt>
                <c:pt idx="48">
                  <c:v>2.6599999999999999E-2</c:v>
                </c:pt>
                <c:pt idx="49">
                  <c:v>2.6700000000000002E-2</c:v>
                </c:pt>
                <c:pt idx="50">
                  <c:v>2.7300000000000001E-2</c:v>
                </c:pt>
                <c:pt idx="51">
                  <c:v>2.8400000000000002E-2</c:v>
                </c:pt>
                <c:pt idx="52">
                  <c:v>2.9700000000000001E-2</c:v>
                </c:pt>
                <c:pt idx="53">
                  <c:v>3.09E-2</c:v>
                </c:pt>
                <c:pt idx="54">
                  <c:v>3.2099999999999997E-2</c:v>
                </c:pt>
                <c:pt idx="55">
                  <c:v>3.2800000000000003E-2</c:v>
                </c:pt>
                <c:pt idx="56">
                  <c:v>3.2899999999999999E-2</c:v>
                </c:pt>
                <c:pt idx="57">
                  <c:v>3.2300000000000002E-2</c:v>
                </c:pt>
                <c:pt idx="58">
                  <c:v>3.1099999999999999E-2</c:v>
                </c:pt>
                <c:pt idx="59">
                  <c:v>2.92E-2</c:v>
                </c:pt>
                <c:pt idx="60">
                  <c:v>2.7199999999999998E-2</c:v>
                </c:pt>
                <c:pt idx="61">
                  <c:v>2.5399999999999999E-2</c:v>
                </c:pt>
                <c:pt idx="62">
                  <c:v>2.41E-2</c:v>
                </c:pt>
                <c:pt idx="63">
                  <c:v>2.3300000000000001E-2</c:v>
                </c:pt>
                <c:pt idx="64">
                  <c:v>2.3099999999999999E-2</c:v>
                </c:pt>
                <c:pt idx="65">
                  <c:v>2.3199999999999998E-2</c:v>
                </c:pt>
                <c:pt idx="66">
                  <c:v>2.35E-2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B0-40FB-ADE8-60AECB17F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305419"/>
        <c:axId val="1193262189"/>
      </c:lineChart>
      <c:catAx>
        <c:axId val="225305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3262189"/>
        <c:crosses val="autoZero"/>
        <c:auto val="1"/>
        <c:lblAlgn val="ctr"/>
        <c:lblOffset val="100"/>
        <c:noMultiLvlLbl val="1"/>
      </c:catAx>
      <c:valAx>
        <c:axId val="1193262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3054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Urbiqu!$C$1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Urbiqu!$C$2:$C$67</c:f>
              <c:numCache>
                <c:formatCode>#,##0</c:formatCode>
                <c:ptCount val="66"/>
                <c:pt idx="0">
                  <c:v>1914161.3385795974</c:v>
                </c:pt>
                <c:pt idx="1">
                  <c:v>1900855.3511217453</c:v>
                </c:pt>
                <c:pt idx="2">
                  <c:v>1885395.1112098247</c:v>
                </c:pt>
                <c:pt idx="3">
                  <c:v>1867467.4239400006</c:v>
                </c:pt>
                <c:pt idx="4">
                  <c:v>1846966.1002274754</c:v>
                </c:pt>
                <c:pt idx="5">
                  <c:v>1823803.7920682093</c:v>
                </c:pt>
                <c:pt idx="6">
                  <c:v>1798268.381057197</c:v>
                </c:pt>
                <c:pt idx="7">
                  <c:v>1770820.660814571</c:v>
                </c:pt>
                <c:pt idx="8">
                  <c:v>1741733.707892762</c:v>
                </c:pt>
                <c:pt idx="9">
                  <c:v>1711441.1986761934</c:v>
                </c:pt>
                <c:pt idx="10">
                  <c:v>1680519.6373489723</c:v>
                </c:pt>
                <c:pt idx="11">
                  <c:v>1649508.8705820302</c:v>
                </c:pt>
                <c:pt idx="12">
                  <c:v>1618593.7303326763</c:v>
                </c:pt>
                <c:pt idx="13">
                  <c:v>1587634.8507431841</c:v>
                </c:pt>
                <c:pt idx="14">
                  <c:v>1556352.1720842898</c:v>
                </c:pt>
                <c:pt idx="15">
                  <c:v>1524042.4716845767</c:v>
                </c:pt>
                <c:pt idx="16">
                  <c:v>1490360.3282657703</c:v>
                </c:pt>
                <c:pt idx="17">
                  <c:v>1454719.6957206153</c:v>
                </c:pt>
                <c:pt idx="18">
                  <c:v>1417302.8991822051</c:v>
                </c:pt>
                <c:pt idx="19">
                  <c:v>1378163.0680495966</c:v>
                </c:pt>
                <c:pt idx="20">
                  <c:v>1337892.5036885706</c:v>
                </c:pt>
                <c:pt idx="21">
                  <c:v>1296910.14316457</c:v>
                </c:pt>
                <c:pt idx="22">
                  <c:v>1255844.0429597851</c:v>
                </c:pt>
                <c:pt idx="23">
                  <c:v>1215136.9549683454</c:v>
                </c:pt>
                <c:pt idx="24">
                  <c:v>1175067.1646536556</c:v>
                </c:pt>
                <c:pt idx="25">
                  <c:v>1135879.3278430698</c:v>
                </c:pt>
                <c:pt idx="26">
                  <c:v>1097680.0616960474</c:v>
                </c:pt>
                <c:pt idx="27">
                  <c:v>1060560.4460831378</c:v>
                </c:pt>
                <c:pt idx="28">
                  <c:v>1024597.088284357</c:v>
                </c:pt>
                <c:pt idx="29">
                  <c:v>989662.01901319146</c:v>
                </c:pt>
                <c:pt idx="30">
                  <c:v>955733.480456969</c:v>
                </c:pt>
                <c:pt idx="31">
                  <c:v>922522.66453375388</c:v>
                </c:pt>
                <c:pt idx="32">
                  <c:v>889692.99308877799</c:v>
                </c:pt>
                <c:pt idx="33">
                  <c:v>857039.77756360464</c:v>
                </c:pt>
                <c:pt idx="34">
                  <c:v>824552.41251068364</c:v>
                </c:pt>
                <c:pt idx="35">
                  <c:v>792305.5755843987</c:v>
                </c:pt>
                <c:pt idx="36">
                  <c:v>760589.01371258392</c:v>
                </c:pt>
                <c:pt idx="37">
                  <c:v>729791.79976260208</c:v>
                </c:pt>
                <c:pt idx="38">
                  <c:v>700308.79931158433</c:v>
                </c:pt>
                <c:pt idx="39">
                  <c:v>672468.5993005418</c:v>
                </c:pt>
                <c:pt idx="40">
                  <c:v>646604.42240436713</c:v>
                </c:pt>
                <c:pt idx="41">
                  <c:v>622812.96706257667</c:v>
                </c:pt>
                <c:pt idx="42">
                  <c:v>601112.79515739472</c:v>
                </c:pt>
                <c:pt idx="43">
                  <c:v>581403.22580268374</c:v>
                </c:pt>
                <c:pt idx="44">
                  <c:v>563539.03828892484</c:v>
                </c:pt>
                <c:pt idx="45">
                  <c:v>547284.68319794582</c:v>
                </c:pt>
                <c:pt idx="46">
                  <c:v>532326.31378070789</c:v>
                </c:pt>
                <c:pt idx="47">
                  <c:v>518280.90135401418</c:v>
                </c:pt>
                <c:pt idx="48">
                  <c:v>504851.84234756889</c:v>
                </c:pt>
                <c:pt idx="49">
                  <c:v>491722.84245404589</c:v>
                </c:pt>
                <c:pt idx="50">
                  <c:v>478655.54604696372</c:v>
                </c:pt>
                <c:pt idx="51">
                  <c:v>465437.13151202229</c:v>
                </c:pt>
                <c:pt idx="52">
                  <c:v>452012.36429253401</c:v>
                </c:pt>
                <c:pt idx="53">
                  <c:v>438463.83188721898</c:v>
                </c:pt>
                <c:pt idx="54">
                  <c:v>424826.88875808445</c:v>
                </c:pt>
                <c:pt idx="55">
                  <c:v>411335.09755817626</c:v>
                </c:pt>
                <c:pt idx="56">
                  <c:v>398233.22447301412</c:v>
                </c:pt>
                <c:pt idx="57">
                  <c:v>385772.76418968721</c:v>
                </c:pt>
                <c:pt idx="58">
                  <c:v>374137.10036823514</c:v>
                </c:pt>
                <c:pt idx="59">
                  <c:v>363522.25064927631</c:v>
                </c:pt>
                <c:pt idx="60">
                  <c:v>353896.27204952913</c:v>
                </c:pt>
                <c:pt idx="61">
                  <c:v>345129.97079142684</c:v>
                </c:pt>
                <c:pt idx="62">
                  <c:v>337008.07615606562</c:v>
                </c:pt>
                <c:pt idx="63">
                  <c:v>329334.58043199999</c:v>
                </c:pt>
                <c:pt idx="64">
                  <c:v>321898.72000000003</c:v>
                </c:pt>
                <c:pt idx="65">
                  <c:v>314600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7-4AEF-97A5-2F6012C93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98933"/>
        <c:axId val="771052495"/>
      </c:lineChart>
      <c:catAx>
        <c:axId val="122698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1052495"/>
        <c:crosses val="autoZero"/>
        <c:auto val="1"/>
        <c:lblAlgn val="ctr"/>
        <c:lblOffset val="100"/>
        <c:noMultiLvlLbl val="1"/>
      </c:catAx>
      <c:valAx>
        <c:axId val="771052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6989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Uularin!$D$1:$D$67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-5.3E-3</c:v>
                </c:pt>
                <c:pt idx="2">
                  <c:v>-5.5999999999999999E-3</c:v>
                </c:pt>
                <c:pt idx="3">
                  <c:v>-6.4999999999999997E-3</c:v>
                </c:pt>
                <c:pt idx="4">
                  <c:v>-7.7999999999999996E-3</c:v>
                </c:pt>
                <c:pt idx="5">
                  <c:v>-6.8999999999999999E-3</c:v>
                </c:pt>
                <c:pt idx="6">
                  <c:v>-7.1000000000000004E-3</c:v>
                </c:pt>
                <c:pt idx="7">
                  <c:v>-6.1000000000000004E-3</c:v>
                </c:pt>
                <c:pt idx="8">
                  <c:v>-4.4999999999999997E-3</c:v>
                </c:pt>
                <c:pt idx="9">
                  <c:v>-3.3999999999999998E-3</c:v>
                </c:pt>
                <c:pt idx="10">
                  <c:v>-2.8999999999999998E-3</c:v>
                </c:pt>
                <c:pt idx="11">
                  <c:v>-3.3999999999999998E-3</c:v>
                </c:pt>
                <c:pt idx="12">
                  <c:v>-1.8100000000000002E-2</c:v>
                </c:pt>
                <c:pt idx="13">
                  <c:v>-1.34E-2</c:v>
                </c:pt>
                <c:pt idx="14">
                  <c:v>-8.9999999999999993E-3</c:v>
                </c:pt>
                <c:pt idx="15">
                  <c:v>-6.7999999999999996E-3</c:v>
                </c:pt>
                <c:pt idx="16">
                  <c:v>-5.7000000000000002E-3</c:v>
                </c:pt>
                <c:pt idx="17">
                  <c:v>-5.1000000000000004E-3</c:v>
                </c:pt>
                <c:pt idx="18">
                  <c:v>-4.8999999999999998E-3</c:v>
                </c:pt>
                <c:pt idx="19">
                  <c:v>-4.7000000000000002E-3</c:v>
                </c:pt>
                <c:pt idx="20">
                  <c:v>-4.4999999999999997E-3</c:v>
                </c:pt>
                <c:pt idx="21">
                  <c:v>-4.1000000000000003E-3</c:v>
                </c:pt>
                <c:pt idx="22">
                  <c:v>-3.2000000000000002E-3</c:v>
                </c:pt>
                <c:pt idx="23">
                  <c:v>-2.3E-3</c:v>
                </c:pt>
                <c:pt idx="24">
                  <c:v>1.6000000000000001E-3</c:v>
                </c:pt>
                <c:pt idx="25">
                  <c:v>3.3999999999999998E-3</c:v>
                </c:pt>
                <c:pt idx="26">
                  <c:v>3.8E-3</c:v>
                </c:pt>
                <c:pt idx="27">
                  <c:v>3.8E-3</c:v>
                </c:pt>
                <c:pt idx="28">
                  <c:v>4.1000000000000003E-3</c:v>
                </c:pt>
                <c:pt idx="29">
                  <c:v>4.7999999999999996E-3</c:v>
                </c:pt>
                <c:pt idx="30">
                  <c:v>5.7999999999999996E-3</c:v>
                </c:pt>
                <c:pt idx="31">
                  <c:v>7.1999999999999998E-3</c:v>
                </c:pt>
                <c:pt idx="32">
                  <c:v>8.3999999999999995E-3</c:v>
                </c:pt>
                <c:pt idx="33">
                  <c:v>9.2999999999999992E-3</c:v>
                </c:pt>
                <c:pt idx="34">
                  <c:v>9.2999999999999992E-3</c:v>
                </c:pt>
                <c:pt idx="35">
                  <c:v>8.8999999999999999E-3</c:v>
                </c:pt>
                <c:pt idx="36">
                  <c:v>8.6E-3</c:v>
                </c:pt>
                <c:pt idx="37">
                  <c:v>9.2999999999999992E-3</c:v>
                </c:pt>
                <c:pt idx="38">
                  <c:v>1.09E-2</c:v>
                </c:pt>
                <c:pt idx="39">
                  <c:v>1.23E-2</c:v>
                </c:pt>
                <c:pt idx="40">
                  <c:v>1.2800000000000001E-2</c:v>
                </c:pt>
                <c:pt idx="41">
                  <c:v>1.14E-2</c:v>
                </c:pt>
                <c:pt idx="42">
                  <c:v>1.11E-2</c:v>
                </c:pt>
                <c:pt idx="43">
                  <c:v>1.1599999999999999E-2</c:v>
                </c:pt>
                <c:pt idx="44">
                  <c:v>1.2699999999999999E-2</c:v>
                </c:pt>
                <c:pt idx="45">
                  <c:v>1.66E-2</c:v>
                </c:pt>
                <c:pt idx="46">
                  <c:v>3.0999999999999999E-3</c:v>
                </c:pt>
                <c:pt idx="47">
                  <c:v>3.7000000000000002E-3</c:v>
                </c:pt>
                <c:pt idx="48">
                  <c:v>4.1000000000000003E-3</c:v>
                </c:pt>
                <c:pt idx="49">
                  <c:v>4.7999999999999996E-3</c:v>
                </c:pt>
                <c:pt idx="50">
                  <c:v>6.0000000000000001E-3</c:v>
                </c:pt>
                <c:pt idx="51">
                  <c:v>6.8999999999999999E-3</c:v>
                </c:pt>
                <c:pt idx="52">
                  <c:v>7.7999999999999996E-3</c:v>
                </c:pt>
                <c:pt idx="53">
                  <c:v>8.8999999999999999E-3</c:v>
                </c:pt>
                <c:pt idx="54">
                  <c:v>1.11E-2</c:v>
                </c:pt>
                <c:pt idx="55">
                  <c:v>1.24E-2</c:v>
                </c:pt>
                <c:pt idx="56">
                  <c:v>1.21E-2</c:v>
                </c:pt>
                <c:pt idx="57">
                  <c:v>1.23E-2</c:v>
                </c:pt>
                <c:pt idx="58">
                  <c:v>1.26E-2</c:v>
                </c:pt>
                <c:pt idx="59">
                  <c:v>1.3299999999999999E-2</c:v>
                </c:pt>
                <c:pt idx="60">
                  <c:v>1.3899999999999999E-2</c:v>
                </c:pt>
                <c:pt idx="61">
                  <c:v>2.2800000000000001E-2</c:v>
                </c:pt>
                <c:pt idx="62">
                  <c:v>2.1399999999999999E-2</c:v>
                </c:pt>
                <c:pt idx="63">
                  <c:v>1.9199999999999998E-2</c:v>
                </c:pt>
                <c:pt idx="64">
                  <c:v>1.6799999999999999E-2</c:v>
                </c:pt>
                <c:pt idx="65">
                  <c:v>1.44E-2</c:v>
                </c:pt>
                <c:pt idx="66">
                  <c:v>1.23E-2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D0-4E96-BB85-0471DD773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63394"/>
        <c:axId val="1425450488"/>
      </c:lineChart>
      <c:catAx>
        <c:axId val="145156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5450488"/>
        <c:crosses val="autoZero"/>
        <c:auto val="1"/>
        <c:lblAlgn val="ctr"/>
        <c:lblOffset val="100"/>
        <c:noMultiLvlLbl val="1"/>
      </c:catAx>
      <c:valAx>
        <c:axId val="1425450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5633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Uularin!$C$1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Uularin!$C$2:$C$67</c:f>
              <c:numCache>
                <c:formatCode>#,##0</c:formatCode>
                <c:ptCount val="66"/>
                <c:pt idx="0">
                  <c:v>131.11195797523743</c:v>
                </c:pt>
                <c:pt idx="1">
                  <c:v>131.81055391096555</c:v>
                </c:pt>
                <c:pt idx="2">
                  <c:v>132.5528498702389</c:v>
                </c:pt>
                <c:pt idx="3">
                  <c:v>133.42008039279204</c:v>
                </c:pt>
                <c:pt idx="4">
                  <c:v>134.46893811005043</c:v>
                </c:pt>
                <c:pt idx="5">
                  <c:v>135.4032203303297</c:v>
                </c:pt>
                <c:pt idx="6">
                  <c:v>136.37145767985669</c:v>
                </c:pt>
                <c:pt idx="7">
                  <c:v>137.20842909735052</c:v>
                </c:pt>
                <c:pt idx="8">
                  <c:v>137.82865805861428</c:v>
                </c:pt>
                <c:pt idx="9">
                  <c:v>138.29887423099967</c:v>
                </c:pt>
                <c:pt idx="10">
                  <c:v>138.70110744258318</c:v>
                </c:pt>
                <c:pt idx="11">
                  <c:v>139.17430006279668</c:v>
                </c:pt>
                <c:pt idx="12">
                  <c:v>141.73979026662255</c:v>
                </c:pt>
                <c:pt idx="13">
                  <c:v>143.66489992562595</c:v>
                </c:pt>
                <c:pt idx="14">
                  <c:v>144.96962656470834</c:v>
                </c:pt>
                <c:pt idx="15">
                  <c:v>145.96216931605753</c:v>
                </c:pt>
                <c:pt idx="16">
                  <c:v>146.79892317817311</c:v>
                </c:pt>
                <c:pt idx="17">
                  <c:v>147.55143549921914</c:v>
                </c:pt>
                <c:pt idx="18">
                  <c:v>148.27799768788981</c:v>
                </c:pt>
                <c:pt idx="19">
                  <c:v>148.97819520535498</c:v>
                </c:pt>
                <c:pt idx="20">
                  <c:v>149.65162752923655</c:v>
                </c:pt>
                <c:pt idx="21">
                  <c:v>150.26772520256708</c:v>
                </c:pt>
                <c:pt idx="22">
                  <c:v>150.75012560450148</c:v>
                </c:pt>
                <c:pt idx="23">
                  <c:v>151.09765019996138</c:v>
                </c:pt>
                <c:pt idx="24">
                  <c:v>150.85628015171864</c:v>
                </c:pt>
                <c:pt idx="25">
                  <c:v>150.34510678863725</c:v>
                </c:pt>
                <c:pt idx="26">
                  <c:v>149.77595814767608</c:v>
                </c:pt>
                <c:pt idx="27">
                  <c:v>149.20896408415629</c:v>
                </c:pt>
                <c:pt idx="28">
                  <c:v>148.59970529245723</c:v>
                </c:pt>
                <c:pt idx="29">
                  <c:v>147.88983408883087</c:v>
                </c:pt>
                <c:pt idx="30">
                  <c:v>147.03701937644746</c:v>
                </c:pt>
                <c:pt idx="31">
                  <c:v>145.98592074706855</c:v>
                </c:pt>
                <c:pt idx="32">
                  <c:v>144.76985397368955</c:v>
                </c:pt>
                <c:pt idx="33">
                  <c:v>143.43590010273411</c:v>
                </c:pt>
                <c:pt idx="34">
                  <c:v>142.11423769219667</c:v>
                </c:pt>
                <c:pt idx="35">
                  <c:v>140.86057854316255</c:v>
                </c:pt>
                <c:pt idx="36">
                  <c:v>139.65950678481317</c:v>
                </c:pt>
                <c:pt idx="37">
                  <c:v>138.37264122145365</c:v>
                </c:pt>
                <c:pt idx="38">
                  <c:v>136.88064222124211</c:v>
                </c:pt>
                <c:pt idx="39">
                  <c:v>135.21746737255964</c:v>
                </c:pt>
                <c:pt idx="40">
                  <c:v>133.50855783230614</c:v>
                </c:pt>
                <c:pt idx="41">
                  <c:v>132.00371547588108</c:v>
                </c:pt>
                <c:pt idx="42">
                  <c:v>130.55455986141931</c:v>
                </c:pt>
                <c:pt idx="43">
                  <c:v>129.05749294327728</c:v>
                </c:pt>
                <c:pt idx="44">
                  <c:v>127.43901742201766</c:v>
                </c:pt>
                <c:pt idx="45">
                  <c:v>125.35807340351924</c:v>
                </c:pt>
                <c:pt idx="46">
                  <c:v>124.97066434405266</c:v>
                </c:pt>
                <c:pt idx="47">
                  <c:v>124.50997742757065</c:v>
                </c:pt>
                <c:pt idx="48">
                  <c:v>124.00157098652589</c:v>
                </c:pt>
                <c:pt idx="49">
                  <c:v>123.4092067939151</c:v>
                </c:pt>
                <c:pt idx="50">
                  <c:v>122.67316778719196</c:v>
                </c:pt>
                <c:pt idx="51">
                  <c:v>121.83252337589828</c:v>
                </c:pt>
                <c:pt idx="52">
                  <c:v>120.88958461589429</c:v>
                </c:pt>
                <c:pt idx="53">
                  <c:v>119.82315850519804</c:v>
                </c:pt>
                <c:pt idx="54">
                  <c:v>118.50772278231433</c:v>
                </c:pt>
                <c:pt idx="55">
                  <c:v>117.05622558505959</c:v>
                </c:pt>
                <c:pt idx="56">
                  <c:v>115.65677856442998</c:v>
                </c:pt>
                <c:pt idx="57">
                  <c:v>114.25148529529783</c:v>
                </c:pt>
                <c:pt idx="58">
                  <c:v>112.82982944429966</c:v>
                </c:pt>
                <c:pt idx="59">
                  <c:v>111.34888921770418</c:v>
                </c:pt>
                <c:pt idx="60">
                  <c:v>109.82235843545141</c:v>
                </c:pt>
                <c:pt idx="61">
                  <c:v>107.37422608080897</c:v>
                </c:pt>
                <c:pt idx="62">
                  <c:v>105.1245604864</c:v>
                </c:pt>
                <c:pt idx="63">
                  <c:v>103.14419199999999</c:v>
                </c:pt>
                <c:pt idx="64">
                  <c:v>101.44</c:v>
                </c:pt>
                <c:pt idx="6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0-4E66-B68C-AC8EE44D4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759885"/>
        <c:axId val="1450010854"/>
      </c:lineChart>
      <c:catAx>
        <c:axId val="205375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0010854"/>
        <c:crosses val="autoZero"/>
        <c:auto val="1"/>
        <c:lblAlgn val="ctr"/>
        <c:lblOffset val="100"/>
        <c:noMultiLvlLbl val="1"/>
      </c:catAx>
      <c:valAx>
        <c:axId val="1450010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37598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Vayvele!$D$1:$D$67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1.9099999999999999E-2</c:v>
                </c:pt>
                <c:pt idx="2">
                  <c:v>2.01E-2</c:v>
                </c:pt>
                <c:pt idx="3">
                  <c:v>2.0799999999999999E-2</c:v>
                </c:pt>
                <c:pt idx="4">
                  <c:v>2.0400000000000001E-2</c:v>
                </c:pt>
                <c:pt idx="5">
                  <c:v>2.0500000000000001E-2</c:v>
                </c:pt>
                <c:pt idx="6">
                  <c:v>2.0299999999999999E-2</c:v>
                </c:pt>
                <c:pt idx="7">
                  <c:v>1.9800000000000002E-2</c:v>
                </c:pt>
                <c:pt idx="8">
                  <c:v>1.8499999999999999E-2</c:v>
                </c:pt>
                <c:pt idx="9">
                  <c:v>1.6799999999999999E-2</c:v>
                </c:pt>
                <c:pt idx="10">
                  <c:v>1.52E-2</c:v>
                </c:pt>
                <c:pt idx="11">
                  <c:v>1.3899999999999999E-2</c:v>
                </c:pt>
                <c:pt idx="12">
                  <c:v>1.2800000000000001E-2</c:v>
                </c:pt>
                <c:pt idx="13">
                  <c:v>1.2500000000000001E-2</c:v>
                </c:pt>
                <c:pt idx="14">
                  <c:v>1.26E-2</c:v>
                </c:pt>
                <c:pt idx="15">
                  <c:v>1.3100000000000001E-2</c:v>
                </c:pt>
                <c:pt idx="16">
                  <c:v>1.35E-2</c:v>
                </c:pt>
                <c:pt idx="17">
                  <c:v>1.35E-2</c:v>
                </c:pt>
                <c:pt idx="18">
                  <c:v>1.37E-2</c:v>
                </c:pt>
                <c:pt idx="19">
                  <c:v>1.47E-2</c:v>
                </c:pt>
                <c:pt idx="20">
                  <c:v>1.6799999999999999E-2</c:v>
                </c:pt>
                <c:pt idx="21">
                  <c:v>1.95E-2</c:v>
                </c:pt>
                <c:pt idx="22">
                  <c:v>2.24E-2</c:v>
                </c:pt>
                <c:pt idx="23">
                  <c:v>2.5100000000000001E-2</c:v>
                </c:pt>
                <c:pt idx="24">
                  <c:v>2.7199999999999998E-2</c:v>
                </c:pt>
                <c:pt idx="25">
                  <c:v>2.87E-2</c:v>
                </c:pt>
                <c:pt idx="26">
                  <c:v>0.03</c:v>
                </c:pt>
                <c:pt idx="27">
                  <c:v>3.0800000000000001E-2</c:v>
                </c:pt>
                <c:pt idx="28">
                  <c:v>3.1300000000000001E-2</c:v>
                </c:pt>
                <c:pt idx="29">
                  <c:v>3.1600000000000003E-2</c:v>
                </c:pt>
                <c:pt idx="30">
                  <c:v>3.2099999999999997E-2</c:v>
                </c:pt>
                <c:pt idx="31">
                  <c:v>3.2199999999999999E-2</c:v>
                </c:pt>
                <c:pt idx="32">
                  <c:v>3.2000000000000001E-2</c:v>
                </c:pt>
                <c:pt idx="33">
                  <c:v>3.1600000000000003E-2</c:v>
                </c:pt>
                <c:pt idx="34">
                  <c:v>3.1300000000000001E-2</c:v>
                </c:pt>
                <c:pt idx="35">
                  <c:v>3.1399999999999997E-2</c:v>
                </c:pt>
                <c:pt idx="36">
                  <c:v>3.1699999999999999E-2</c:v>
                </c:pt>
                <c:pt idx="37">
                  <c:v>3.1800000000000002E-2</c:v>
                </c:pt>
                <c:pt idx="38">
                  <c:v>3.1300000000000001E-2</c:v>
                </c:pt>
                <c:pt idx="39">
                  <c:v>3.0200000000000001E-2</c:v>
                </c:pt>
                <c:pt idx="40">
                  <c:v>2.92E-2</c:v>
                </c:pt>
                <c:pt idx="41">
                  <c:v>2.86E-2</c:v>
                </c:pt>
                <c:pt idx="42">
                  <c:v>2.8299999999999999E-2</c:v>
                </c:pt>
                <c:pt idx="43">
                  <c:v>2.8000000000000001E-2</c:v>
                </c:pt>
                <c:pt idx="44">
                  <c:v>2.7400000000000001E-2</c:v>
                </c:pt>
                <c:pt idx="45">
                  <c:v>2.6800000000000001E-2</c:v>
                </c:pt>
                <c:pt idx="46">
                  <c:v>2.5999999999999999E-2</c:v>
                </c:pt>
                <c:pt idx="47">
                  <c:v>2.5399999999999999E-2</c:v>
                </c:pt>
                <c:pt idx="48">
                  <c:v>2.5399999999999999E-2</c:v>
                </c:pt>
                <c:pt idx="49">
                  <c:v>2.53E-2</c:v>
                </c:pt>
                <c:pt idx="50">
                  <c:v>2.53E-2</c:v>
                </c:pt>
                <c:pt idx="51">
                  <c:v>2.1499999999999998E-2</c:v>
                </c:pt>
                <c:pt idx="52">
                  <c:v>1.4999999999999999E-2</c:v>
                </c:pt>
                <c:pt idx="53">
                  <c:v>1.23E-2</c:v>
                </c:pt>
                <c:pt idx="54">
                  <c:v>1.6400000000000001E-2</c:v>
                </c:pt>
                <c:pt idx="55">
                  <c:v>2.23E-2</c:v>
                </c:pt>
                <c:pt idx="56">
                  <c:v>2.3400000000000001E-2</c:v>
                </c:pt>
                <c:pt idx="57">
                  <c:v>2.4500000000000001E-2</c:v>
                </c:pt>
                <c:pt idx="58">
                  <c:v>2.5499999999999998E-2</c:v>
                </c:pt>
                <c:pt idx="59">
                  <c:v>2.6200000000000001E-2</c:v>
                </c:pt>
                <c:pt idx="60">
                  <c:v>2.6700000000000002E-2</c:v>
                </c:pt>
                <c:pt idx="61">
                  <c:v>2.6499999999999999E-2</c:v>
                </c:pt>
                <c:pt idx="62">
                  <c:v>2.5600000000000001E-2</c:v>
                </c:pt>
                <c:pt idx="63">
                  <c:v>2.46E-2</c:v>
                </c:pt>
                <c:pt idx="64">
                  <c:v>2.3699999999999999E-2</c:v>
                </c:pt>
                <c:pt idx="65">
                  <c:v>2.29E-2</c:v>
                </c:pt>
                <c:pt idx="66">
                  <c:v>2.2100000000000002E-2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CF-4EF5-8D47-84BA1DBC1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186709"/>
        <c:axId val="582036796"/>
      </c:lineChart>
      <c:catAx>
        <c:axId val="740186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2036796"/>
        <c:crosses val="autoZero"/>
        <c:auto val="1"/>
        <c:lblAlgn val="ctr"/>
        <c:lblOffset val="100"/>
        <c:noMultiLvlLbl val="1"/>
      </c:catAx>
      <c:valAx>
        <c:axId val="582036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01867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Vayvele!$C$1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Vayvele!$C$2:$C$67</c:f>
              <c:numCache>
                <c:formatCode>#,##0</c:formatCode>
                <c:ptCount val="66"/>
                <c:pt idx="0">
                  <c:v>74437644.715154484</c:v>
                </c:pt>
                <c:pt idx="1">
                  <c:v>73042532.347320661</c:v>
                </c:pt>
                <c:pt idx="2">
                  <c:v>71603305.89875567</c:v>
                </c:pt>
                <c:pt idx="3">
                  <c:v>70144304.367903292</c:v>
                </c:pt>
                <c:pt idx="4">
                  <c:v>68741968.216290966</c:v>
                </c:pt>
                <c:pt idx="5">
                  <c:v>67361066.355993107</c:v>
                </c:pt>
                <c:pt idx="6">
                  <c:v>66020843.238256507</c:v>
                </c:pt>
                <c:pt idx="7">
                  <c:v>64739010.823942445</c:v>
                </c:pt>
                <c:pt idx="8">
                  <c:v>63563093.592481539</c:v>
                </c:pt>
                <c:pt idx="9">
                  <c:v>62512877.254604191</c:v>
                </c:pt>
                <c:pt idx="10">
                  <c:v>61576908.249216102</c:v>
                </c:pt>
                <c:pt idx="11">
                  <c:v>60732723.39403896</c:v>
                </c:pt>
                <c:pt idx="12">
                  <c:v>59965169.227921568</c:v>
                </c:pt>
                <c:pt idx="13">
                  <c:v>59224858.496712662</c:v>
                </c:pt>
                <c:pt idx="14">
                  <c:v>58487910.820375927</c:v>
                </c:pt>
                <c:pt idx="15">
                  <c:v>57731626.5130549</c:v>
                </c:pt>
                <c:pt idx="16">
                  <c:v>56962630.994627424</c:v>
                </c:pt>
                <c:pt idx="17">
                  <c:v>56203878.633080825</c:v>
                </c:pt>
                <c:pt idx="18">
                  <c:v>55444291.834942117</c:v>
                </c:pt>
                <c:pt idx="19">
                  <c:v>54641068.133381411</c:v>
                </c:pt>
                <c:pt idx="20">
                  <c:v>53738265.276732311</c:v>
                </c:pt>
                <c:pt idx="21">
                  <c:v>52710412.238089561</c:v>
                </c:pt>
                <c:pt idx="22">
                  <c:v>51555567.525517963</c:v>
                </c:pt>
                <c:pt idx="23">
                  <c:v>50293208.004602447</c:v>
                </c:pt>
                <c:pt idx="24">
                  <c:v>48961456.390773416</c:v>
                </c:pt>
                <c:pt idx="25">
                  <c:v>47595466.502161384</c:v>
                </c:pt>
                <c:pt idx="26">
                  <c:v>46209190.778797455</c:v>
                </c:pt>
                <c:pt idx="27">
                  <c:v>44828473.786183022</c:v>
                </c:pt>
                <c:pt idx="28">
                  <c:v>43467927.650715619</c:v>
                </c:pt>
                <c:pt idx="29">
                  <c:v>42136416.877390087</c:v>
                </c:pt>
                <c:pt idx="30">
                  <c:v>40825905.316723272</c:v>
                </c:pt>
                <c:pt idx="31">
                  <c:v>39552320.593609057</c:v>
                </c:pt>
                <c:pt idx="32">
                  <c:v>38325892.048070788</c:v>
                </c:pt>
                <c:pt idx="33">
                  <c:v>37151892.252879784</c:v>
                </c:pt>
                <c:pt idx="34">
                  <c:v>36024330.701909997</c:v>
                </c:pt>
                <c:pt idx="35">
                  <c:v>34927603.938248977</c:v>
                </c:pt>
                <c:pt idx="36">
                  <c:v>33854418.860375084</c:v>
                </c:pt>
                <c:pt idx="37">
                  <c:v>32811028.164736461</c:v>
                </c:pt>
                <c:pt idx="38">
                  <c:v>31815212.028252166</c:v>
                </c:pt>
                <c:pt idx="39">
                  <c:v>30882558.753884844</c:v>
                </c:pt>
                <c:pt idx="40">
                  <c:v>30006372.67186635</c:v>
                </c:pt>
                <c:pt idx="41">
                  <c:v>29172051.9850927</c:v>
                </c:pt>
                <c:pt idx="42">
                  <c:v>28369203.525325976</c:v>
                </c:pt>
                <c:pt idx="43">
                  <c:v>27596501.483780131</c:v>
                </c:pt>
                <c:pt idx="44">
                  <c:v>26860523.149484258</c:v>
                </c:pt>
                <c:pt idx="45">
                  <c:v>26159449.892368775</c:v>
                </c:pt>
                <c:pt idx="46">
                  <c:v>25496539.856109917</c:v>
                </c:pt>
                <c:pt idx="47">
                  <c:v>24864969.627569646</c:v>
                </c:pt>
                <c:pt idx="48">
                  <c:v>24249043.912199769</c:v>
                </c:pt>
                <c:pt idx="49">
                  <c:v>23650681.666048735</c:v>
                </c:pt>
                <c:pt idx="50">
                  <c:v>23067084.429970481</c:v>
                </c:pt>
                <c:pt idx="51">
                  <c:v>22581580.450289261</c:v>
                </c:pt>
                <c:pt idx="52">
                  <c:v>22247862.512600258</c:v>
                </c:pt>
                <c:pt idx="53">
                  <c:v>21977538.785538141</c:v>
                </c:pt>
                <c:pt idx="54">
                  <c:v>21622922.850785263</c:v>
                </c:pt>
                <c:pt idx="55">
                  <c:v>21151249.976313472</c:v>
                </c:pt>
                <c:pt idx="56">
                  <c:v>20667627.492977791</c:v>
                </c:pt>
                <c:pt idx="57">
                  <c:v>20173379.690559093</c:v>
                </c:pt>
                <c:pt idx="58">
                  <c:v>19671750.063928906</c:v>
                </c:pt>
                <c:pt idx="59">
                  <c:v>19169508.929963853</c:v>
                </c:pt>
                <c:pt idx="60">
                  <c:v>18670993.40602304</c:v>
                </c:pt>
                <c:pt idx="61">
                  <c:v>18188985.295687325</c:v>
                </c:pt>
                <c:pt idx="62">
                  <c:v>17734970.062097624</c:v>
                </c:pt>
                <c:pt idx="63">
                  <c:v>17309164.612627</c:v>
                </c:pt>
                <c:pt idx="64">
                  <c:v>16908434.709999997</c:v>
                </c:pt>
                <c:pt idx="65">
                  <c:v>16529900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A-4228-AA69-B82F99E11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38112"/>
        <c:axId val="418874859"/>
      </c:lineChart>
      <c:catAx>
        <c:axId val="4773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8874859"/>
        <c:crosses val="autoZero"/>
        <c:auto val="1"/>
        <c:lblAlgn val="ctr"/>
        <c:lblOffset val="100"/>
        <c:noMultiLvlLbl val="1"/>
      </c:catAx>
      <c:valAx>
        <c:axId val="418874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7381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Veelmit!$D$1:$D$67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5.5999999999999999E-3</c:v>
                </c:pt>
                <c:pt idx="2">
                  <c:v>5.7999999999999996E-3</c:v>
                </c:pt>
                <c:pt idx="3">
                  <c:v>6.0000000000000001E-3</c:v>
                </c:pt>
                <c:pt idx="4">
                  <c:v>6.1000000000000004E-3</c:v>
                </c:pt>
                <c:pt idx="5">
                  <c:v>6.0000000000000001E-3</c:v>
                </c:pt>
                <c:pt idx="6">
                  <c:v>5.7000000000000002E-3</c:v>
                </c:pt>
                <c:pt idx="7">
                  <c:v>5.1000000000000004E-3</c:v>
                </c:pt>
                <c:pt idx="8">
                  <c:v>4.4999999999999997E-3</c:v>
                </c:pt>
                <c:pt idx="9">
                  <c:v>3.8999999999999998E-3</c:v>
                </c:pt>
                <c:pt idx="10">
                  <c:v>3.5999999999999999E-3</c:v>
                </c:pt>
                <c:pt idx="11">
                  <c:v>3.7000000000000002E-3</c:v>
                </c:pt>
                <c:pt idx="12">
                  <c:v>4.0000000000000001E-3</c:v>
                </c:pt>
                <c:pt idx="13">
                  <c:v>4.3E-3</c:v>
                </c:pt>
                <c:pt idx="14">
                  <c:v>4.3E-3</c:v>
                </c:pt>
                <c:pt idx="15">
                  <c:v>3.8999999999999998E-3</c:v>
                </c:pt>
                <c:pt idx="16">
                  <c:v>3.3E-3</c:v>
                </c:pt>
                <c:pt idx="17">
                  <c:v>2.3999999999999998E-3</c:v>
                </c:pt>
                <c:pt idx="18">
                  <c:v>1.6999999999999999E-3</c:v>
                </c:pt>
                <c:pt idx="19">
                  <c:v>1.2999999999999999E-3</c:v>
                </c:pt>
                <c:pt idx="20">
                  <c:v>1.5E-3</c:v>
                </c:pt>
                <c:pt idx="21">
                  <c:v>2.0999999999999999E-3</c:v>
                </c:pt>
                <c:pt idx="22">
                  <c:v>3.2000000000000002E-3</c:v>
                </c:pt>
                <c:pt idx="23">
                  <c:v>4.1999999999999997E-3</c:v>
                </c:pt>
                <c:pt idx="24">
                  <c:v>5.0000000000000001E-3</c:v>
                </c:pt>
                <c:pt idx="25">
                  <c:v>5.1000000000000004E-3</c:v>
                </c:pt>
                <c:pt idx="26">
                  <c:v>4.4999999999999997E-3</c:v>
                </c:pt>
                <c:pt idx="27">
                  <c:v>3.3E-3</c:v>
                </c:pt>
                <c:pt idx="28">
                  <c:v>1.8E-3</c:v>
                </c:pt>
                <c:pt idx="29">
                  <c:v>2.9999999999999997E-4</c:v>
                </c:pt>
                <c:pt idx="30">
                  <c:v>-1.1999999999999999E-3</c:v>
                </c:pt>
                <c:pt idx="31">
                  <c:v>-2.3999999999999998E-3</c:v>
                </c:pt>
                <c:pt idx="32">
                  <c:v>-3.3999999999999998E-3</c:v>
                </c:pt>
                <c:pt idx="33">
                  <c:v>-3.8999999999999998E-3</c:v>
                </c:pt>
                <c:pt idx="34">
                  <c:v>-3.8999999999999998E-3</c:v>
                </c:pt>
                <c:pt idx="35">
                  <c:v>-3.3E-3</c:v>
                </c:pt>
                <c:pt idx="36">
                  <c:v>-2.3999999999999998E-3</c:v>
                </c:pt>
                <c:pt idx="37">
                  <c:v>-8.9999999999999998E-4</c:v>
                </c:pt>
                <c:pt idx="38">
                  <c:v>1E-3</c:v>
                </c:pt>
                <c:pt idx="39">
                  <c:v>3.3E-3</c:v>
                </c:pt>
                <c:pt idx="40">
                  <c:v>5.8999999999999999E-3</c:v>
                </c:pt>
                <c:pt idx="41">
                  <c:v>8.3999999999999995E-3</c:v>
                </c:pt>
                <c:pt idx="42">
                  <c:v>1.09E-2</c:v>
                </c:pt>
                <c:pt idx="43">
                  <c:v>1.34E-2</c:v>
                </c:pt>
                <c:pt idx="44">
                  <c:v>1.5800000000000002E-2</c:v>
                </c:pt>
                <c:pt idx="45">
                  <c:v>1.84E-2</c:v>
                </c:pt>
                <c:pt idx="46">
                  <c:v>2.1000000000000001E-2</c:v>
                </c:pt>
                <c:pt idx="47">
                  <c:v>2.3300000000000001E-2</c:v>
                </c:pt>
                <c:pt idx="48">
                  <c:v>2.5100000000000001E-2</c:v>
                </c:pt>
                <c:pt idx="49">
                  <c:v>2.64E-2</c:v>
                </c:pt>
                <c:pt idx="50">
                  <c:v>2.7199999999999998E-2</c:v>
                </c:pt>
                <c:pt idx="51">
                  <c:v>2.7400000000000001E-2</c:v>
                </c:pt>
                <c:pt idx="52">
                  <c:v>2.7199999999999998E-2</c:v>
                </c:pt>
                <c:pt idx="53">
                  <c:v>2.69E-2</c:v>
                </c:pt>
                <c:pt idx="54">
                  <c:v>2.6599999999999999E-2</c:v>
                </c:pt>
                <c:pt idx="55">
                  <c:v>2.6499999999999999E-2</c:v>
                </c:pt>
                <c:pt idx="56">
                  <c:v>2.6599999999999999E-2</c:v>
                </c:pt>
                <c:pt idx="57">
                  <c:v>2.7099999999999999E-2</c:v>
                </c:pt>
                <c:pt idx="58">
                  <c:v>2.7900000000000001E-2</c:v>
                </c:pt>
                <c:pt idx="59">
                  <c:v>2.9000000000000001E-2</c:v>
                </c:pt>
                <c:pt idx="60">
                  <c:v>3.0300000000000001E-2</c:v>
                </c:pt>
                <c:pt idx="61">
                  <c:v>3.1699999999999999E-2</c:v>
                </c:pt>
                <c:pt idx="62">
                  <c:v>3.2599999999999997E-2</c:v>
                </c:pt>
                <c:pt idx="63">
                  <c:v>3.3000000000000002E-2</c:v>
                </c:pt>
                <c:pt idx="64">
                  <c:v>3.27E-2</c:v>
                </c:pt>
                <c:pt idx="65">
                  <c:v>3.1899999999999998E-2</c:v>
                </c:pt>
                <c:pt idx="66">
                  <c:v>3.0700000000000002E-2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41-4B88-9FDD-462F7CF04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74883"/>
        <c:axId val="799738292"/>
      </c:lineChart>
      <c:catAx>
        <c:axId val="85074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9738292"/>
        <c:crosses val="autoZero"/>
        <c:auto val="1"/>
        <c:lblAlgn val="ctr"/>
        <c:lblOffset val="100"/>
        <c:noMultiLvlLbl val="1"/>
      </c:catAx>
      <c:valAx>
        <c:axId val="799738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0748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Veelmit!$C$1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Veelmit!$C$2:$C$67</c:f>
              <c:numCache>
                <c:formatCode>#,##0</c:formatCode>
                <c:ptCount val="66"/>
                <c:pt idx="0">
                  <c:v>828524.87043991906</c:v>
                </c:pt>
                <c:pt idx="1">
                  <c:v>823910.96901344368</c:v>
                </c:pt>
                <c:pt idx="2">
                  <c:v>819159.84193024819</c:v>
                </c:pt>
                <c:pt idx="3">
                  <c:v>814274.19674974971</c:v>
                </c:pt>
                <c:pt idx="4">
                  <c:v>809337.23958826135</c:v>
                </c:pt>
                <c:pt idx="5">
                  <c:v>804510.17851715838</c:v>
                </c:pt>
                <c:pt idx="6">
                  <c:v>799950.46089008485</c:v>
                </c:pt>
                <c:pt idx="7">
                  <c:v>795891.41467524099</c:v>
                </c:pt>
                <c:pt idx="8">
                  <c:v>792325.9479096476</c:v>
                </c:pt>
                <c:pt idx="9">
                  <c:v>789247.88117307262</c:v>
                </c:pt>
                <c:pt idx="10">
                  <c:v>786416.78076232818</c:v>
                </c:pt>
                <c:pt idx="11">
                  <c:v>783517.76503171085</c:v>
                </c:pt>
                <c:pt idx="12">
                  <c:v>780396.180310469</c:v>
                </c:pt>
                <c:pt idx="13">
                  <c:v>777054.84447920846</c:v>
                </c:pt>
                <c:pt idx="14">
                  <c:v>773727.81487524498</c:v>
                </c:pt>
                <c:pt idx="15">
                  <c:v>770721.99907883746</c:v>
                </c:pt>
                <c:pt idx="16">
                  <c:v>768186.98203811166</c:v>
                </c:pt>
                <c:pt idx="17">
                  <c:v>766347.7474442455</c:v>
                </c:pt>
                <c:pt idx="18">
                  <c:v>765047.16725990362</c:v>
                </c:pt>
                <c:pt idx="19">
                  <c:v>764053.89719355199</c:v>
                </c:pt>
                <c:pt idx="20">
                  <c:v>762909.53289421066</c:v>
                </c:pt>
                <c:pt idx="21">
                  <c:v>761310.7802556738</c:v>
                </c:pt>
                <c:pt idx="22">
                  <c:v>758882.35671418835</c:v>
                </c:pt>
                <c:pt idx="23">
                  <c:v>755708.38151183864</c:v>
                </c:pt>
                <c:pt idx="24">
                  <c:v>751948.63832023751</c:v>
                </c:pt>
                <c:pt idx="25">
                  <c:v>748133.15920827526</c:v>
                </c:pt>
                <c:pt idx="26">
                  <c:v>744781.64182008489</c:v>
                </c:pt>
                <c:pt idx="27">
                  <c:v>742331.94639697485</c:v>
                </c:pt>
                <c:pt idx="28">
                  <c:v>740998.14972746535</c:v>
                </c:pt>
                <c:pt idx="29">
                  <c:v>740775.91695237963</c:v>
                </c:pt>
                <c:pt idx="30">
                  <c:v>741665.91605164157</c:v>
                </c:pt>
                <c:pt idx="31">
                  <c:v>743450.19652329746</c:v>
                </c:pt>
                <c:pt idx="32">
                  <c:v>745986.5507960039</c:v>
                </c:pt>
                <c:pt idx="33">
                  <c:v>748907.28922397736</c:v>
                </c:pt>
                <c:pt idx="34">
                  <c:v>751839.46313018515</c:v>
                </c:pt>
                <c:pt idx="35">
                  <c:v>754328.74799858045</c:v>
                </c:pt>
                <c:pt idx="36">
                  <c:v>756143.49238029309</c:v>
                </c:pt>
                <c:pt idx="37">
                  <c:v>756824.63455138938</c:v>
                </c:pt>
                <c:pt idx="38">
                  <c:v>756068.56598540407</c:v>
                </c:pt>
                <c:pt idx="39">
                  <c:v>753581.74622286856</c:v>
                </c:pt>
                <c:pt idx="40">
                  <c:v>749161.69223866041</c:v>
                </c:pt>
                <c:pt idx="41">
                  <c:v>742921.15454052004</c:v>
                </c:pt>
                <c:pt idx="42">
                  <c:v>734910.62868782284</c:v>
                </c:pt>
                <c:pt idx="43">
                  <c:v>725193.04192601424</c:v>
                </c:pt>
                <c:pt idx="44">
                  <c:v>713913.21315811598</c:v>
                </c:pt>
                <c:pt idx="45">
                  <c:v>701014.54552053811</c:v>
                </c:pt>
                <c:pt idx="46">
                  <c:v>686596.02891335764</c:v>
                </c:pt>
                <c:pt idx="47">
                  <c:v>670962.60032576718</c:v>
                </c:pt>
                <c:pt idx="48">
                  <c:v>654533.80189812428</c:v>
                </c:pt>
                <c:pt idx="49">
                  <c:v>637698.55991633306</c:v>
                </c:pt>
                <c:pt idx="50">
                  <c:v>620812.46097773861</c:v>
                </c:pt>
                <c:pt idx="51">
                  <c:v>604255.85066939704</c:v>
                </c:pt>
                <c:pt idx="52">
                  <c:v>588255.30633702991</c:v>
                </c:pt>
                <c:pt idx="53">
                  <c:v>572845.75551371113</c:v>
                </c:pt>
                <c:pt idx="54">
                  <c:v>558002.878934065</c:v>
                </c:pt>
                <c:pt idx="55">
                  <c:v>543597.54401759862</c:v>
                </c:pt>
                <c:pt idx="56">
                  <c:v>529512.51121916878</c:v>
                </c:pt>
                <c:pt idx="57">
                  <c:v>515541.34088128596</c:v>
                </c:pt>
                <c:pt idx="58">
                  <c:v>501548.14756424353</c:v>
                </c:pt>
                <c:pt idx="59">
                  <c:v>487413.1657572824</c:v>
                </c:pt>
                <c:pt idx="60">
                  <c:v>473078.87581993826</c:v>
                </c:pt>
                <c:pt idx="61">
                  <c:v>458543.06079280627</c:v>
                </c:pt>
                <c:pt idx="62">
                  <c:v>444066.49311718601</c:v>
                </c:pt>
                <c:pt idx="63">
                  <c:v>429880.43864200002</c:v>
                </c:pt>
                <c:pt idx="64">
                  <c:v>416268.46</c:v>
                </c:pt>
                <c:pt idx="65">
                  <c:v>403400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5-4143-9AEB-4D45DA19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429550"/>
        <c:axId val="1939596306"/>
      </c:lineChart>
      <c:catAx>
        <c:axId val="1916429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9596306"/>
        <c:crosses val="autoZero"/>
        <c:auto val="1"/>
        <c:lblAlgn val="ctr"/>
        <c:lblOffset val="100"/>
        <c:noMultiLvlLbl val="1"/>
      </c:catAx>
      <c:valAx>
        <c:axId val="1939596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64295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Verste!$D$1:$D$67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9.1000000000000004E-3</c:v>
                </c:pt>
                <c:pt idx="2">
                  <c:v>9.5999999999999992E-3</c:v>
                </c:pt>
                <c:pt idx="3">
                  <c:v>1.0200000000000001E-2</c:v>
                </c:pt>
                <c:pt idx="4">
                  <c:v>1.09E-2</c:v>
                </c:pt>
                <c:pt idx="5">
                  <c:v>1.1599999999999999E-2</c:v>
                </c:pt>
                <c:pt idx="6">
                  <c:v>1.23E-2</c:v>
                </c:pt>
                <c:pt idx="7">
                  <c:v>1.2500000000000001E-2</c:v>
                </c:pt>
                <c:pt idx="8">
                  <c:v>1.2200000000000001E-2</c:v>
                </c:pt>
                <c:pt idx="9">
                  <c:v>1.18E-2</c:v>
                </c:pt>
                <c:pt idx="10">
                  <c:v>1.15E-2</c:v>
                </c:pt>
                <c:pt idx="11">
                  <c:v>1.1599999999999999E-2</c:v>
                </c:pt>
                <c:pt idx="12">
                  <c:v>1.2E-2</c:v>
                </c:pt>
                <c:pt idx="13">
                  <c:v>1.24E-2</c:v>
                </c:pt>
                <c:pt idx="14">
                  <c:v>1.29E-2</c:v>
                </c:pt>
                <c:pt idx="15">
                  <c:v>1.38E-2</c:v>
                </c:pt>
                <c:pt idx="16">
                  <c:v>1.52E-2</c:v>
                </c:pt>
                <c:pt idx="17">
                  <c:v>1.6899999999999998E-2</c:v>
                </c:pt>
                <c:pt idx="18">
                  <c:v>1.84E-2</c:v>
                </c:pt>
                <c:pt idx="19">
                  <c:v>1.9300000000000001E-2</c:v>
                </c:pt>
                <c:pt idx="20">
                  <c:v>1.95E-2</c:v>
                </c:pt>
                <c:pt idx="21">
                  <c:v>1.9599999999999999E-2</c:v>
                </c:pt>
                <c:pt idx="22">
                  <c:v>1.9900000000000001E-2</c:v>
                </c:pt>
                <c:pt idx="23">
                  <c:v>2.0299999999999999E-2</c:v>
                </c:pt>
                <c:pt idx="24">
                  <c:v>2.06E-2</c:v>
                </c:pt>
                <c:pt idx="25">
                  <c:v>2.0799999999999999E-2</c:v>
                </c:pt>
                <c:pt idx="26">
                  <c:v>2.0899999999999998E-2</c:v>
                </c:pt>
                <c:pt idx="27">
                  <c:v>2.1000000000000001E-2</c:v>
                </c:pt>
                <c:pt idx="28">
                  <c:v>2.12E-2</c:v>
                </c:pt>
                <c:pt idx="29">
                  <c:v>2.1299999999999999E-2</c:v>
                </c:pt>
                <c:pt idx="30">
                  <c:v>2.1299999999999999E-2</c:v>
                </c:pt>
                <c:pt idx="31">
                  <c:v>2.12E-2</c:v>
                </c:pt>
                <c:pt idx="32">
                  <c:v>2.1100000000000001E-2</c:v>
                </c:pt>
                <c:pt idx="33">
                  <c:v>2.12E-2</c:v>
                </c:pt>
                <c:pt idx="34">
                  <c:v>2.18E-2</c:v>
                </c:pt>
                <c:pt idx="35">
                  <c:v>2.2800000000000001E-2</c:v>
                </c:pt>
                <c:pt idx="36">
                  <c:v>2.3900000000000001E-2</c:v>
                </c:pt>
                <c:pt idx="37">
                  <c:v>2.5000000000000001E-2</c:v>
                </c:pt>
                <c:pt idx="38">
                  <c:v>2.5899999999999999E-2</c:v>
                </c:pt>
                <c:pt idx="39">
                  <c:v>2.6800000000000001E-2</c:v>
                </c:pt>
                <c:pt idx="40">
                  <c:v>2.7799999999999998E-2</c:v>
                </c:pt>
                <c:pt idx="41">
                  <c:v>2.86E-2</c:v>
                </c:pt>
                <c:pt idx="42">
                  <c:v>2.93E-2</c:v>
                </c:pt>
                <c:pt idx="43">
                  <c:v>2.9899999999999999E-2</c:v>
                </c:pt>
                <c:pt idx="44">
                  <c:v>3.0300000000000001E-2</c:v>
                </c:pt>
                <c:pt idx="45">
                  <c:v>3.0700000000000002E-2</c:v>
                </c:pt>
                <c:pt idx="46">
                  <c:v>3.1099999999999999E-2</c:v>
                </c:pt>
                <c:pt idx="47">
                  <c:v>3.1600000000000003E-2</c:v>
                </c:pt>
                <c:pt idx="48">
                  <c:v>3.2099999999999997E-2</c:v>
                </c:pt>
                <c:pt idx="49">
                  <c:v>3.2500000000000001E-2</c:v>
                </c:pt>
                <c:pt idx="50">
                  <c:v>3.2599999999999997E-2</c:v>
                </c:pt>
                <c:pt idx="51">
                  <c:v>3.2300000000000002E-2</c:v>
                </c:pt>
                <c:pt idx="52">
                  <c:v>3.1600000000000003E-2</c:v>
                </c:pt>
                <c:pt idx="53">
                  <c:v>3.0700000000000002E-2</c:v>
                </c:pt>
                <c:pt idx="54">
                  <c:v>2.98E-2</c:v>
                </c:pt>
                <c:pt idx="55">
                  <c:v>2.8899999999999999E-2</c:v>
                </c:pt>
                <c:pt idx="56">
                  <c:v>2.8299999999999999E-2</c:v>
                </c:pt>
                <c:pt idx="57">
                  <c:v>2.7900000000000001E-2</c:v>
                </c:pt>
                <c:pt idx="58">
                  <c:v>2.7699999999999999E-2</c:v>
                </c:pt>
                <c:pt idx="59">
                  <c:v>2.75E-2</c:v>
                </c:pt>
                <c:pt idx="60">
                  <c:v>2.7199999999999998E-2</c:v>
                </c:pt>
                <c:pt idx="61">
                  <c:v>2.6800000000000001E-2</c:v>
                </c:pt>
                <c:pt idx="62">
                  <c:v>2.64E-2</c:v>
                </c:pt>
                <c:pt idx="63">
                  <c:v>2.58E-2</c:v>
                </c:pt>
                <c:pt idx="64">
                  <c:v>2.52E-2</c:v>
                </c:pt>
                <c:pt idx="65">
                  <c:v>2.4500000000000001E-2</c:v>
                </c:pt>
                <c:pt idx="66">
                  <c:v>2.3900000000000001E-2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30-4884-9B19-CEDDD8CC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070812"/>
        <c:axId val="1742044630"/>
      </c:lineChart>
      <c:catAx>
        <c:axId val="1603070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2044630"/>
        <c:crosses val="autoZero"/>
        <c:auto val="1"/>
        <c:lblAlgn val="ctr"/>
        <c:lblOffset val="100"/>
        <c:noMultiLvlLbl val="1"/>
      </c:catAx>
      <c:valAx>
        <c:axId val="1742044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30708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Verste!$C$1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Verste!$C$2:$C$67</c:f>
              <c:numCache>
                <c:formatCode>#,##0</c:formatCode>
                <c:ptCount val="66"/>
                <c:pt idx="0">
                  <c:v>53303587.228047103</c:v>
                </c:pt>
                <c:pt idx="1">
                  <c:v>52822898.848525517</c:v>
                </c:pt>
                <c:pt idx="2">
                  <c:v>52320620.888000704</c:v>
                </c:pt>
                <c:pt idx="3">
                  <c:v>51792339.029895768</c:v>
                </c:pt>
                <c:pt idx="4">
                  <c:v>51233889.632897191</c:v>
                </c:pt>
                <c:pt idx="5">
                  <c:v>50646391.491594687</c:v>
                </c:pt>
                <c:pt idx="6">
                  <c:v>50031010.067761227</c:v>
                </c:pt>
                <c:pt idx="7">
                  <c:v>49413343.276801214</c:v>
                </c:pt>
                <c:pt idx="8">
                  <c:v>48817766.525193848</c:v>
                </c:pt>
                <c:pt idx="9">
                  <c:v>48248434.992284887</c:v>
                </c:pt>
                <c:pt idx="10">
                  <c:v>47699886.299836762</c:v>
                </c:pt>
                <c:pt idx="11">
                  <c:v>47152912.514666624</c:v>
                </c:pt>
                <c:pt idx="12">
                  <c:v>46593787.069828682</c:v>
                </c:pt>
                <c:pt idx="13">
                  <c:v>46023100.622114465</c:v>
                </c:pt>
                <c:pt idx="14">
                  <c:v>45436963.789233357</c:v>
                </c:pt>
                <c:pt idx="15">
                  <c:v>44818468.918162711</c:v>
                </c:pt>
                <c:pt idx="16">
                  <c:v>44147428.01237461</c:v>
                </c:pt>
                <c:pt idx="17">
                  <c:v>43413735.876069047</c:v>
                </c:pt>
                <c:pt idx="18">
                  <c:v>42629355.73062554</c:v>
                </c:pt>
                <c:pt idx="19">
                  <c:v>41822187.511650681</c:v>
                </c:pt>
                <c:pt idx="20">
                  <c:v>41022253.567092374</c:v>
                </c:pt>
                <c:pt idx="21">
                  <c:v>40233673.565214172</c:v>
                </c:pt>
                <c:pt idx="22">
                  <c:v>39448645.519378535</c:v>
                </c:pt>
                <c:pt idx="23">
                  <c:v>38663770.968713649</c:v>
                </c:pt>
                <c:pt idx="24">
                  <c:v>37883373.47512605</c:v>
                </c:pt>
                <c:pt idx="25">
                  <c:v>37111455.206824109</c:v>
                </c:pt>
                <c:pt idx="26">
                  <c:v>36351704.58107955</c:v>
                </c:pt>
                <c:pt idx="27">
                  <c:v>35604020.157766461</c:v>
                </c:pt>
                <c:pt idx="28">
                  <c:v>34864884.604158305</c:v>
                </c:pt>
                <c:pt idx="29">
                  <c:v>34137750.518122293</c:v>
                </c:pt>
                <c:pt idx="30">
                  <c:v>33425781.374838237</c:v>
                </c:pt>
                <c:pt idx="31">
                  <c:v>32731865.819465563</c:v>
                </c:pt>
                <c:pt idx="32">
                  <c:v>32055494.877549276</c:v>
                </c:pt>
                <c:pt idx="33">
                  <c:v>31390026.319574296</c:v>
                </c:pt>
                <c:pt idx="34">
                  <c:v>30720323.272239476</c:v>
                </c:pt>
                <c:pt idx="35">
                  <c:v>30035513.563003011</c:v>
                </c:pt>
                <c:pt idx="36">
                  <c:v>29334420.903411474</c:v>
                </c:pt>
                <c:pt idx="37">
                  <c:v>28618947.222840466</c:v>
                </c:pt>
                <c:pt idx="38">
                  <c:v>27896429.693771776</c:v>
                </c:pt>
                <c:pt idx="39">
                  <c:v>27168318.751238585</c:v>
                </c:pt>
                <c:pt idx="40">
                  <c:v>26433468.331619561</c:v>
                </c:pt>
                <c:pt idx="41">
                  <c:v>25698491.475422479</c:v>
                </c:pt>
                <c:pt idx="42">
                  <c:v>24966959.560305525</c:v>
                </c:pt>
                <c:pt idx="43">
                  <c:v>24242120.16730316</c:v>
                </c:pt>
                <c:pt idx="44">
                  <c:v>23529185.836458467</c:v>
                </c:pt>
                <c:pt idx="45">
                  <c:v>22828355.327892177</c:v>
                </c:pt>
                <c:pt idx="46">
                  <c:v>22139807.320232935</c:v>
                </c:pt>
                <c:pt idx="47">
                  <c:v>21461620.124304898</c:v>
                </c:pt>
                <c:pt idx="48">
                  <c:v>20794128.596361689</c:v>
                </c:pt>
                <c:pt idx="49">
                  <c:v>20139591.860882994</c:v>
                </c:pt>
                <c:pt idx="50">
                  <c:v>19503768.991751883</c:v>
                </c:pt>
                <c:pt idx="51">
                  <c:v>18893508.661970243</c:v>
                </c:pt>
                <c:pt idx="52">
                  <c:v>18314762.177171618</c:v>
                </c:pt>
                <c:pt idx="53">
                  <c:v>17769246.31529215</c:v>
                </c:pt>
                <c:pt idx="54">
                  <c:v>17255045.946098417</c:v>
                </c:pt>
                <c:pt idx="55">
                  <c:v>16770381.908930331</c:v>
                </c:pt>
                <c:pt idx="56">
                  <c:v>16308841.68912801</c:v>
                </c:pt>
                <c:pt idx="57">
                  <c:v>15866175.395591019</c:v>
                </c:pt>
                <c:pt idx="58">
                  <c:v>15438528.165409183</c:v>
                </c:pt>
                <c:pt idx="59">
                  <c:v>15025331.547843486</c:v>
                </c:pt>
                <c:pt idx="60">
                  <c:v>14627464.513087507</c:v>
                </c:pt>
                <c:pt idx="61">
                  <c:v>14245680.281542178</c:v>
                </c:pt>
                <c:pt idx="62">
                  <c:v>13879267.616467439</c:v>
                </c:pt>
                <c:pt idx="63">
                  <c:v>13530188.746799998</c:v>
                </c:pt>
                <c:pt idx="64">
                  <c:v>13197609</c:v>
                </c:pt>
                <c:pt idx="65">
                  <c:v>12882000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7-4D69-8418-39B782060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966968"/>
        <c:axId val="1290051111"/>
      </c:lineChart>
      <c:catAx>
        <c:axId val="1431966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0051111"/>
        <c:crosses val="autoZero"/>
        <c:auto val="1"/>
        <c:lblAlgn val="ctr"/>
        <c:lblOffset val="100"/>
        <c:noMultiLvlLbl val="1"/>
      </c:catAx>
      <c:valAx>
        <c:axId val="1290051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19669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Verusa!$D$1:$D$67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4.5999999999999999E-3</c:v>
                </c:pt>
                <c:pt idx="2">
                  <c:v>4.4000000000000003E-3</c:v>
                </c:pt>
                <c:pt idx="3">
                  <c:v>3.0999999999999999E-3</c:v>
                </c:pt>
                <c:pt idx="4">
                  <c:v>3.0999999999999999E-3</c:v>
                </c:pt>
                <c:pt idx="5">
                  <c:v>4.7000000000000002E-3</c:v>
                </c:pt>
                <c:pt idx="6">
                  <c:v>4.7999999999999996E-3</c:v>
                </c:pt>
                <c:pt idx="7">
                  <c:v>4.5999999999999999E-3</c:v>
                </c:pt>
                <c:pt idx="8">
                  <c:v>4.3E-3</c:v>
                </c:pt>
                <c:pt idx="9">
                  <c:v>1.6000000000000001E-3</c:v>
                </c:pt>
                <c:pt idx="10">
                  <c:v>2.0999999999999999E-3</c:v>
                </c:pt>
                <c:pt idx="11">
                  <c:v>3.0000000000000001E-3</c:v>
                </c:pt>
                <c:pt idx="12">
                  <c:v>3.8E-3</c:v>
                </c:pt>
                <c:pt idx="13">
                  <c:v>4.5999999999999999E-3</c:v>
                </c:pt>
                <c:pt idx="14">
                  <c:v>6.0000000000000001E-3</c:v>
                </c:pt>
                <c:pt idx="15">
                  <c:v>7.1999999999999998E-3</c:v>
                </c:pt>
                <c:pt idx="16">
                  <c:v>6.1000000000000004E-3</c:v>
                </c:pt>
                <c:pt idx="17">
                  <c:v>6.4999999999999997E-3</c:v>
                </c:pt>
                <c:pt idx="18">
                  <c:v>7.1000000000000004E-3</c:v>
                </c:pt>
                <c:pt idx="19">
                  <c:v>7.7000000000000002E-3</c:v>
                </c:pt>
                <c:pt idx="20">
                  <c:v>8.2000000000000007E-3</c:v>
                </c:pt>
                <c:pt idx="21">
                  <c:v>8.3999999999999995E-3</c:v>
                </c:pt>
                <c:pt idx="22">
                  <c:v>7.6E-3</c:v>
                </c:pt>
                <c:pt idx="23">
                  <c:v>7.1000000000000004E-3</c:v>
                </c:pt>
                <c:pt idx="24">
                  <c:v>6.8999999999999999E-3</c:v>
                </c:pt>
                <c:pt idx="25">
                  <c:v>6.1000000000000004E-3</c:v>
                </c:pt>
                <c:pt idx="26">
                  <c:v>5.1999999999999998E-3</c:v>
                </c:pt>
                <c:pt idx="27">
                  <c:v>5.0000000000000001E-3</c:v>
                </c:pt>
                <c:pt idx="28">
                  <c:v>4.4999999999999997E-3</c:v>
                </c:pt>
                <c:pt idx="29">
                  <c:v>4.3E-3</c:v>
                </c:pt>
                <c:pt idx="30">
                  <c:v>4.7999999999999996E-3</c:v>
                </c:pt>
                <c:pt idx="31">
                  <c:v>5.7000000000000002E-3</c:v>
                </c:pt>
                <c:pt idx="32">
                  <c:v>6.4999999999999997E-3</c:v>
                </c:pt>
                <c:pt idx="33">
                  <c:v>7.4000000000000003E-3</c:v>
                </c:pt>
                <c:pt idx="34">
                  <c:v>8.3000000000000001E-3</c:v>
                </c:pt>
                <c:pt idx="35">
                  <c:v>8.9999999999999993E-3</c:v>
                </c:pt>
                <c:pt idx="36">
                  <c:v>9.4000000000000004E-3</c:v>
                </c:pt>
                <c:pt idx="37">
                  <c:v>1.0200000000000001E-2</c:v>
                </c:pt>
                <c:pt idx="38">
                  <c:v>1.11E-2</c:v>
                </c:pt>
                <c:pt idx="39">
                  <c:v>1.17E-2</c:v>
                </c:pt>
                <c:pt idx="40">
                  <c:v>1.17E-2</c:v>
                </c:pt>
                <c:pt idx="41">
                  <c:v>1.1299999999999999E-2</c:v>
                </c:pt>
                <c:pt idx="42">
                  <c:v>1.23E-2</c:v>
                </c:pt>
                <c:pt idx="43">
                  <c:v>1.34E-2</c:v>
                </c:pt>
                <c:pt idx="44">
                  <c:v>1.47E-2</c:v>
                </c:pt>
                <c:pt idx="45">
                  <c:v>1.46E-2</c:v>
                </c:pt>
                <c:pt idx="46">
                  <c:v>1.3299999999999999E-2</c:v>
                </c:pt>
                <c:pt idx="47">
                  <c:v>1.26E-2</c:v>
                </c:pt>
                <c:pt idx="48">
                  <c:v>1.2800000000000001E-2</c:v>
                </c:pt>
                <c:pt idx="49">
                  <c:v>1.32E-2</c:v>
                </c:pt>
                <c:pt idx="50">
                  <c:v>1.2800000000000001E-2</c:v>
                </c:pt>
                <c:pt idx="51">
                  <c:v>1.15E-2</c:v>
                </c:pt>
                <c:pt idx="52">
                  <c:v>1.3100000000000001E-2</c:v>
                </c:pt>
                <c:pt idx="53">
                  <c:v>1.37E-2</c:v>
                </c:pt>
                <c:pt idx="54">
                  <c:v>1.44E-2</c:v>
                </c:pt>
                <c:pt idx="55">
                  <c:v>1.52E-2</c:v>
                </c:pt>
                <c:pt idx="56">
                  <c:v>1.4800000000000001E-2</c:v>
                </c:pt>
                <c:pt idx="57">
                  <c:v>1.3299999999999999E-2</c:v>
                </c:pt>
                <c:pt idx="58">
                  <c:v>1.2699999999999999E-2</c:v>
                </c:pt>
                <c:pt idx="59">
                  <c:v>1.26E-2</c:v>
                </c:pt>
                <c:pt idx="60">
                  <c:v>1.26E-2</c:v>
                </c:pt>
                <c:pt idx="61">
                  <c:v>1.2500000000000001E-2</c:v>
                </c:pt>
                <c:pt idx="62">
                  <c:v>1.32E-2</c:v>
                </c:pt>
                <c:pt idx="63">
                  <c:v>1.43E-2</c:v>
                </c:pt>
                <c:pt idx="64">
                  <c:v>1.5299999999999999E-2</c:v>
                </c:pt>
                <c:pt idx="65">
                  <c:v>1.6199999999999999E-2</c:v>
                </c:pt>
                <c:pt idx="66">
                  <c:v>1.72E-2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BE-4FCA-BC50-DD53FFA8C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8003799"/>
        <c:axId val="1473794758"/>
      </c:lineChart>
      <c:catAx>
        <c:axId val="1848003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794758"/>
        <c:crosses val="autoZero"/>
        <c:auto val="1"/>
        <c:lblAlgn val="ctr"/>
        <c:lblOffset val="100"/>
        <c:noMultiLvlLbl val="1"/>
      </c:catAx>
      <c:valAx>
        <c:axId val="1473794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80037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Verusa!$C$1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Verusa!$C$2:$C$67</c:f>
              <c:numCache>
                <c:formatCode>#,##0</c:formatCode>
                <c:ptCount val="66"/>
                <c:pt idx="0">
                  <c:v>69480800.687140256</c:v>
                </c:pt>
                <c:pt idx="1">
                  <c:v>69162652.485706016</c:v>
                </c:pt>
                <c:pt idx="2">
                  <c:v>68859669.937978908</c:v>
                </c:pt>
                <c:pt idx="3">
                  <c:v>68646864.65754053</c:v>
                </c:pt>
                <c:pt idx="4">
                  <c:v>68434717.034732848</c:v>
                </c:pt>
                <c:pt idx="5">
                  <c:v>68114578.515709028</c:v>
                </c:pt>
                <c:pt idx="6">
                  <c:v>67789190.401780486</c:v>
                </c:pt>
                <c:pt idx="7">
                  <c:v>67478787.977085888</c:v>
                </c:pt>
                <c:pt idx="8">
                  <c:v>67189871.529509008</c:v>
                </c:pt>
                <c:pt idx="9">
                  <c:v>67082539.466362827</c:v>
                </c:pt>
                <c:pt idx="10">
                  <c:v>66941961.34753301</c:v>
                </c:pt>
                <c:pt idx="11">
                  <c:v>66741736.139115669</c:v>
                </c:pt>
                <c:pt idx="12">
                  <c:v>66489077.644068211</c:v>
                </c:pt>
                <c:pt idx="13">
                  <c:v>66184628.353641465</c:v>
                </c:pt>
                <c:pt idx="14">
                  <c:v>65789889.019524321</c:v>
                </c:pt>
                <c:pt idx="15">
                  <c:v>65319587.986024939</c:v>
                </c:pt>
                <c:pt idx="16">
                  <c:v>64923554.304765865</c:v>
                </c:pt>
                <c:pt idx="17">
                  <c:v>64504276.50746733</c:v>
                </c:pt>
                <c:pt idx="18">
                  <c:v>64049524.880813546</c:v>
                </c:pt>
                <c:pt idx="19">
                  <c:v>63560112.018272839</c:v>
                </c:pt>
                <c:pt idx="20">
                  <c:v>63043158.121675104</c:v>
                </c:pt>
                <c:pt idx="21">
                  <c:v>62518006.86401736</c:v>
                </c:pt>
                <c:pt idx="22">
                  <c:v>62046453.815023184</c:v>
                </c:pt>
                <c:pt idx="23">
                  <c:v>61609029.704123899</c:v>
                </c:pt>
                <c:pt idx="24">
                  <c:v>61186840.504641876</c:v>
                </c:pt>
                <c:pt idx="25">
                  <c:v>60815863.735853173</c:v>
                </c:pt>
                <c:pt idx="26">
                  <c:v>60501257.198421374</c:v>
                </c:pt>
                <c:pt idx="27">
                  <c:v>60200255.918827243</c:v>
                </c:pt>
                <c:pt idx="28">
                  <c:v>59930568.361201838</c:v>
                </c:pt>
                <c:pt idx="29">
                  <c:v>59673970.288959317</c:v>
                </c:pt>
                <c:pt idx="30">
                  <c:v>59388903.551910155</c:v>
                </c:pt>
                <c:pt idx="31">
                  <c:v>59052305.411067069</c:v>
                </c:pt>
                <c:pt idx="32">
                  <c:v>58670944.273290679</c:v>
                </c:pt>
                <c:pt idx="33">
                  <c:v>58239968.50634373</c:v>
                </c:pt>
                <c:pt idx="34">
                  <c:v>57760555.892436512</c:v>
                </c:pt>
                <c:pt idx="35">
                  <c:v>57245347.762573354</c:v>
                </c:pt>
                <c:pt idx="36">
                  <c:v>56712252.588243857</c:v>
                </c:pt>
                <c:pt idx="37">
                  <c:v>56139628.378780298</c:v>
                </c:pt>
                <c:pt idx="38">
                  <c:v>55523319.531975366</c:v>
                </c:pt>
                <c:pt idx="39">
                  <c:v>54881209.382203579</c:v>
                </c:pt>
                <c:pt idx="40">
                  <c:v>54246525.039244413</c:v>
                </c:pt>
                <c:pt idx="41">
                  <c:v>53640388.647527352</c:v>
                </c:pt>
                <c:pt idx="42">
                  <c:v>52988628.516771071</c:v>
                </c:pt>
                <c:pt idx="43">
                  <c:v>52287969.722489707</c:v>
                </c:pt>
                <c:pt idx="44">
                  <c:v>51530471.78721761</c:v>
                </c:pt>
                <c:pt idx="45">
                  <c:v>50788953.072361141</c:v>
                </c:pt>
                <c:pt idx="46">
                  <c:v>50122326.13476871</c:v>
                </c:pt>
                <c:pt idx="47">
                  <c:v>49498643.230069831</c:v>
                </c:pt>
                <c:pt idx="48">
                  <c:v>48873067.960179538</c:v>
                </c:pt>
                <c:pt idx="49">
                  <c:v>48236348.164409332</c:v>
                </c:pt>
                <c:pt idx="50">
                  <c:v>47626726.070704319</c:v>
                </c:pt>
                <c:pt idx="51">
                  <c:v>47085245.744640946</c:v>
                </c:pt>
                <c:pt idx="52">
                  <c:v>46476404.841220945</c:v>
                </c:pt>
                <c:pt idx="53">
                  <c:v>45848283.359199904</c:v>
                </c:pt>
                <c:pt idx="54">
                  <c:v>45197440.220031455</c:v>
                </c:pt>
                <c:pt idx="55">
                  <c:v>44520725.197036497</c:v>
                </c:pt>
                <c:pt idx="56">
                  <c:v>43871428.061723001</c:v>
                </c:pt>
                <c:pt idx="57">
                  <c:v>43295596.626589358</c:v>
                </c:pt>
                <c:pt idx="58">
                  <c:v>42752638.122434445</c:v>
                </c:pt>
                <c:pt idx="59">
                  <c:v>42220657.833729453</c:v>
                </c:pt>
                <c:pt idx="60">
                  <c:v>41695297.090390533</c:v>
                </c:pt>
                <c:pt idx="61">
                  <c:v>41180540.336188182</c:v>
                </c:pt>
                <c:pt idx="62">
                  <c:v>40644039.021109529</c:v>
                </c:pt>
                <c:pt idx="63">
                  <c:v>40071023.386680007</c:v>
                </c:pt>
                <c:pt idx="64">
                  <c:v>39467175.600000001</c:v>
                </c:pt>
                <c:pt idx="65">
                  <c:v>38838000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A-4B61-8B6D-8CE6E6BF1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832870"/>
        <c:axId val="2087436771"/>
      </c:lineChart>
      <c:catAx>
        <c:axId val="905832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7436771"/>
        <c:crosses val="autoZero"/>
        <c:auto val="1"/>
        <c:lblAlgn val="ctr"/>
        <c:lblOffset val="100"/>
        <c:noMultiLvlLbl val="1"/>
      </c:catAx>
      <c:valAx>
        <c:axId val="2087436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58328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Vesozata!$D$1:$D$67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2.9600000000000001E-2</c:v>
                </c:pt>
                <c:pt idx="2">
                  <c:v>2.87E-2</c:v>
                </c:pt>
                <c:pt idx="3">
                  <c:v>2.8000000000000001E-2</c:v>
                </c:pt>
                <c:pt idx="4">
                  <c:v>2.7199999999999998E-2</c:v>
                </c:pt>
                <c:pt idx="5">
                  <c:v>2.63E-2</c:v>
                </c:pt>
                <c:pt idx="6">
                  <c:v>2.5399999999999999E-2</c:v>
                </c:pt>
                <c:pt idx="7">
                  <c:v>2.47E-2</c:v>
                </c:pt>
                <c:pt idx="8">
                  <c:v>2.3900000000000001E-2</c:v>
                </c:pt>
                <c:pt idx="9">
                  <c:v>2.35E-2</c:v>
                </c:pt>
                <c:pt idx="10">
                  <c:v>2.35E-2</c:v>
                </c:pt>
                <c:pt idx="11">
                  <c:v>2.35E-2</c:v>
                </c:pt>
                <c:pt idx="12">
                  <c:v>2.3800000000000002E-2</c:v>
                </c:pt>
                <c:pt idx="13">
                  <c:v>2.4199999999999999E-2</c:v>
                </c:pt>
                <c:pt idx="14">
                  <c:v>2.5000000000000001E-2</c:v>
                </c:pt>
                <c:pt idx="15">
                  <c:v>2.5399999999999999E-2</c:v>
                </c:pt>
                <c:pt idx="16">
                  <c:v>2.58E-2</c:v>
                </c:pt>
                <c:pt idx="17">
                  <c:v>2.6200000000000001E-2</c:v>
                </c:pt>
                <c:pt idx="18">
                  <c:v>2.6499999999999999E-2</c:v>
                </c:pt>
                <c:pt idx="19">
                  <c:v>2.6700000000000002E-2</c:v>
                </c:pt>
                <c:pt idx="20">
                  <c:v>2.6700000000000002E-2</c:v>
                </c:pt>
                <c:pt idx="21">
                  <c:v>2.7199999999999998E-2</c:v>
                </c:pt>
                <c:pt idx="22">
                  <c:v>2.8400000000000002E-2</c:v>
                </c:pt>
                <c:pt idx="23">
                  <c:v>2.9700000000000001E-2</c:v>
                </c:pt>
                <c:pt idx="24">
                  <c:v>3.0300000000000001E-2</c:v>
                </c:pt>
                <c:pt idx="25">
                  <c:v>3.0099999999999998E-2</c:v>
                </c:pt>
                <c:pt idx="26">
                  <c:v>2.9399999999999999E-2</c:v>
                </c:pt>
                <c:pt idx="27">
                  <c:v>2.9100000000000001E-2</c:v>
                </c:pt>
                <c:pt idx="28">
                  <c:v>2.9399999999999999E-2</c:v>
                </c:pt>
                <c:pt idx="29">
                  <c:v>3.0300000000000001E-2</c:v>
                </c:pt>
                <c:pt idx="30">
                  <c:v>3.1300000000000001E-2</c:v>
                </c:pt>
                <c:pt idx="31">
                  <c:v>3.1699999999999999E-2</c:v>
                </c:pt>
                <c:pt idx="32">
                  <c:v>3.15E-2</c:v>
                </c:pt>
                <c:pt idx="33">
                  <c:v>3.1199999999999999E-2</c:v>
                </c:pt>
                <c:pt idx="34">
                  <c:v>3.1099999999999999E-2</c:v>
                </c:pt>
                <c:pt idx="35">
                  <c:v>3.1300000000000001E-2</c:v>
                </c:pt>
                <c:pt idx="36">
                  <c:v>3.1300000000000001E-2</c:v>
                </c:pt>
                <c:pt idx="37">
                  <c:v>3.1199999999999999E-2</c:v>
                </c:pt>
                <c:pt idx="38">
                  <c:v>3.09E-2</c:v>
                </c:pt>
                <c:pt idx="39">
                  <c:v>3.0300000000000001E-2</c:v>
                </c:pt>
                <c:pt idx="40">
                  <c:v>2.9700000000000001E-2</c:v>
                </c:pt>
                <c:pt idx="41">
                  <c:v>2.9499999999999998E-2</c:v>
                </c:pt>
                <c:pt idx="42">
                  <c:v>2.98E-2</c:v>
                </c:pt>
                <c:pt idx="43">
                  <c:v>2.98E-2</c:v>
                </c:pt>
                <c:pt idx="44">
                  <c:v>2.9700000000000001E-2</c:v>
                </c:pt>
                <c:pt idx="45">
                  <c:v>2.93E-2</c:v>
                </c:pt>
                <c:pt idx="46">
                  <c:v>2.8799999999999999E-2</c:v>
                </c:pt>
                <c:pt idx="47">
                  <c:v>2.86E-2</c:v>
                </c:pt>
                <c:pt idx="48">
                  <c:v>2.86E-2</c:v>
                </c:pt>
                <c:pt idx="49">
                  <c:v>2.86E-2</c:v>
                </c:pt>
                <c:pt idx="50">
                  <c:v>2.8500000000000001E-2</c:v>
                </c:pt>
                <c:pt idx="51">
                  <c:v>2.8400000000000002E-2</c:v>
                </c:pt>
                <c:pt idx="52">
                  <c:v>2.81E-2</c:v>
                </c:pt>
                <c:pt idx="53">
                  <c:v>2.7900000000000001E-2</c:v>
                </c:pt>
                <c:pt idx="54">
                  <c:v>2.7699999999999999E-2</c:v>
                </c:pt>
                <c:pt idx="55">
                  <c:v>2.7199999999999998E-2</c:v>
                </c:pt>
                <c:pt idx="56">
                  <c:v>2.6800000000000001E-2</c:v>
                </c:pt>
                <c:pt idx="57">
                  <c:v>2.63E-2</c:v>
                </c:pt>
                <c:pt idx="58">
                  <c:v>2.5700000000000001E-2</c:v>
                </c:pt>
                <c:pt idx="59">
                  <c:v>2.52E-2</c:v>
                </c:pt>
                <c:pt idx="60">
                  <c:v>2.4899999999999999E-2</c:v>
                </c:pt>
                <c:pt idx="61">
                  <c:v>2.46E-2</c:v>
                </c:pt>
                <c:pt idx="62">
                  <c:v>2.4400000000000002E-2</c:v>
                </c:pt>
                <c:pt idx="63">
                  <c:v>2.4299999999999999E-2</c:v>
                </c:pt>
                <c:pt idx="64">
                  <c:v>2.4199999999999999E-2</c:v>
                </c:pt>
                <c:pt idx="65">
                  <c:v>2.41E-2</c:v>
                </c:pt>
                <c:pt idx="66">
                  <c:v>2.4E-2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68-40E2-B847-00DB9B5C4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5714355"/>
        <c:axId val="486185881"/>
      </c:lineChart>
      <c:catAx>
        <c:axId val="1745714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6185881"/>
        <c:crosses val="autoZero"/>
        <c:auto val="1"/>
        <c:lblAlgn val="ctr"/>
        <c:lblOffset val="100"/>
        <c:noMultiLvlLbl val="1"/>
      </c:catAx>
      <c:valAx>
        <c:axId val="486185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57143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Vesozata!$C$1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Vesozata!$C$2:$C$67</c:f>
              <c:numCache>
                <c:formatCode>#,##0</c:formatCode>
                <c:ptCount val="66"/>
                <c:pt idx="0">
                  <c:v>121753843.02982998</c:v>
                </c:pt>
                <c:pt idx="1">
                  <c:v>118253538.29626065</c:v>
                </c:pt>
                <c:pt idx="2">
                  <c:v>114954348.49446939</c:v>
                </c:pt>
                <c:pt idx="3">
                  <c:v>111823296.2008457</c:v>
                </c:pt>
                <c:pt idx="4">
                  <c:v>108862243.18618158</c:v>
                </c:pt>
                <c:pt idx="5">
                  <c:v>106072535.50246671</c:v>
                </c:pt>
                <c:pt idx="6">
                  <c:v>103445031.69735391</c:v>
                </c:pt>
                <c:pt idx="7">
                  <c:v>100951528.93271583</c:v>
                </c:pt>
                <c:pt idx="8">
                  <c:v>98595105.901666015</c:v>
                </c:pt>
                <c:pt idx="9">
                  <c:v>96331319.884383008</c:v>
                </c:pt>
                <c:pt idx="10">
                  <c:v>94119511.367252558</c:v>
                </c:pt>
                <c:pt idx="11">
                  <c:v>91958486.924526185</c:v>
                </c:pt>
                <c:pt idx="12">
                  <c:v>89820753.003053501</c:v>
                </c:pt>
                <c:pt idx="13">
                  <c:v>87698450.500930965</c:v>
                </c:pt>
                <c:pt idx="14">
                  <c:v>85559463.903347284</c:v>
                </c:pt>
                <c:pt idx="15">
                  <c:v>83440085.725909188</c:v>
                </c:pt>
                <c:pt idx="16">
                  <c:v>81341475.654035076</c:v>
                </c:pt>
                <c:pt idx="17">
                  <c:v>79264739.479667783</c:v>
                </c:pt>
                <c:pt idx="18">
                  <c:v>77218450.540348545</c:v>
                </c:pt>
                <c:pt idx="19">
                  <c:v>75210334.606358767</c:v>
                </c:pt>
                <c:pt idx="20">
                  <c:v>73254441.030835465</c:v>
                </c:pt>
                <c:pt idx="21">
                  <c:v>71314681.688897461</c:v>
                </c:pt>
                <c:pt idx="22">
                  <c:v>69345275.854626074</c:v>
                </c:pt>
                <c:pt idx="23">
                  <c:v>67345125.623604998</c:v>
                </c:pt>
                <c:pt idx="24">
                  <c:v>65364578.883436859</c:v>
                </c:pt>
                <c:pt idx="25">
                  <c:v>63454595.557166159</c:v>
                </c:pt>
                <c:pt idx="26">
                  <c:v>61642311.596236795</c:v>
                </c:pt>
                <c:pt idx="27">
                  <c:v>59899243.607265376</c:v>
                </c:pt>
                <c:pt idx="28">
                  <c:v>58188501.658505313</c:v>
                </c:pt>
                <c:pt idx="29">
                  <c:v>56477241.248670593</c:v>
                </c:pt>
                <c:pt idx="30">
                  <c:v>54763154.51243148</c:v>
                </c:pt>
                <c:pt idx="31">
                  <c:v>53080502.580625646</c:v>
                </c:pt>
                <c:pt idx="32">
                  <c:v>51459527.465463541</c:v>
                </c:pt>
                <c:pt idx="33">
                  <c:v>49902567.363715619</c:v>
                </c:pt>
                <c:pt idx="34">
                  <c:v>48397407.975672215</c:v>
                </c:pt>
                <c:pt idx="35">
                  <c:v>46928544.531826057</c:v>
                </c:pt>
                <c:pt idx="36">
                  <c:v>45504261.157593377</c:v>
                </c:pt>
                <c:pt idx="37">
                  <c:v>44127483.667177446</c:v>
                </c:pt>
                <c:pt idx="38">
                  <c:v>42804814.887164079</c:v>
                </c:pt>
                <c:pt idx="39">
                  <c:v>41545971.937459067</c:v>
                </c:pt>
                <c:pt idx="40">
                  <c:v>40347646.826705895</c:v>
                </c:pt>
                <c:pt idx="41">
                  <c:v>39191497.646144629</c:v>
                </c:pt>
                <c:pt idx="42">
                  <c:v>38057387.498683847</c:v>
                </c:pt>
                <c:pt idx="43">
                  <c:v>36956095.84257511</c:v>
                </c:pt>
                <c:pt idx="44">
                  <c:v>35890158.145649321</c:v>
                </c:pt>
                <c:pt idx="45">
                  <c:v>34868510.779801145</c:v>
                </c:pt>
                <c:pt idx="46">
                  <c:v>33892409.38938681</c:v>
                </c:pt>
                <c:pt idx="47">
                  <c:v>32950038.294173449</c:v>
                </c:pt>
                <c:pt idx="48">
                  <c:v>32033869.622956883</c:v>
                </c:pt>
                <c:pt idx="49">
                  <c:v>31143174.823018555</c:v>
                </c:pt>
                <c:pt idx="50">
                  <c:v>30280189.424422514</c:v>
                </c:pt>
                <c:pt idx="51">
                  <c:v>29443980.381585486</c:v>
                </c:pt>
                <c:pt idx="52">
                  <c:v>28639218.346061166</c:v>
                </c:pt>
                <c:pt idx="53">
                  <c:v>27861872.11407838</c:v>
                </c:pt>
                <c:pt idx="54">
                  <c:v>27110900.179116841</c:v>
                </c:pt>
                <c:pt idx="55">
                  <c:v>26393010.298984468</c:v>
                </c:pt>
                <c:pt idx="56">
                  <c:v>25704139.364028506</c:v>
                </c:pt>
                <c:pt idx="57">
                  <c:v>25045444.182040833</c:v>
                </c:pt>
                <c:pt idx="58">
                  <c:v>24417904.048007049</c:v>
                </c:pt>
                <c:pt idx="59">
                  <c:v>23817698.056971371</c:v>
                </c:pt>
                <c:pt idx="60">
                  <c:v>23239045.816149257</c:v>
                </c:pt>
                <c:pt idx="61">
                  <c:v>22681090.978088286</c:v>
                </c:pt>
                <c:pt idx="62">
                  <c:v>22140854.137142021</c:v>
                </c:pt>
                <c:pt idx="63">
                  <c:v>21615595.174404003</c:v>
                </c:pt>
                <c:pt idx="64">
                  <c:v>21104857.620000001</c:v>
                </c:pt>
                <c:pt idx="65">
                  <c:v>20608200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F-4E92-ABE3-A80B1968D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198794"/>
        <c:axId val="2032695040"/>
      </c:lineChart>
      <c:catAx>
        <c:axId val="50419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2695040"/>
        <c:crosses val="autoZero"/>
        <c:auto val="1"/>
        <c:lblAlgn val="ctr"/>
        <c:lblOffset val="100"/>
        <c:noMultiLvlLbl val="1"/>
      </c:catAx>
      <c:valAx>
        <c:axId val="2032695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41987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Viussi!$D$1:$D$67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2.2800000000000001E-2</c:v>
                </c:pt>
                <c:pt idx="2">
                  <c:v>2.3800000000000002E-2</c:v>
                </c:pt>
                <c:pt idx="3">
                  <c:v>2.4500000000000001E-2</c:v>
                </c:pt>
                <c:pt idx="4">
                  <c:v>2.5100000000000001E-2</c:v>
                </c:pt>
                <c:pt idx="5">
                  <c:v>2.5999999999999999E-2</c:v>
                </c:pt>
                <c:pt idx="6">
                  <c:v>2.7199999999999998E-2</c:v>
                </c:pt>
                <c:pt idx="7">
                  <c:v>2.81E-2</c:v>
                </c:pt>
                <c:pt idx="8">
                  <c:v>2.8000000000000001E-2</c:v>
                </c:pt>
                <c:pt idx="9">
                  <c:v>2.7400000000000001E-2</c:v>
                </c:pt>
                <c:pt idx="10">
                  <c:v>2.6800000000000001E-2</c:v>
                </c:pt>
                <c:pt idx="11">
                  <c:v>2.64E-2</c:v>
                </c:pt>
                <c:pt idx="12">
                  <c:v>2.6599999999999999E-2</c:v>
                </c:pt>
                <c:pt idx="13">
                  <c:v>2.76E-2</c:v>
                </c:pt>
                <c:pt idx="14">
                  <c:v>2.9000000000000001E-2</c:v>
                </c:pt>
                <c:pt idx="15">
                  <c:v>3.0300000000000001E-2</c:v>
                </c:pt>
                <c:pt idx="16">
                  <c:v>3.1300000000000001E-2</c:v>
                </c:pt>
                <c:pt idx="17">
                  <c:v>3.2099999999999997E-2</c:v>
                </c:pt>
                <c:pt idx="18">
                  <c:v>3.2899999999999999E-2</c:v>
                </c:pt>
                <c:pt idx="19">
                  <c:v>3.3099999999999997E-2</c:v>
                </c:pt>
                <c:pt idx="20">
                  <c:v>3.2099999999999997E-2</c:v>
                </c:pt>
                <c:pt idx="21">
                  <c:v>3.0300000000000001E-2</c:v>
                </c:pt>
                <c:pt idx="22">
                  <c:v>2.7799999999999998E-2</c:v>
                </c:pt>
                <c:pt idx="23">
                  <c:v>2.5499999999999998E-2</c:v>
                </c:pt>
                <c:pt idx="24">
                  <c:v>2.3599999999999999E-2</c:v>
                </c:pt>
                <c:pt idx="25">
                  <c:v>2.24E-2</c:v>
                </c:pt>
                <c:pt idx="26">
                  <c:v>2.2200000000000001E-2</c:v>
                </c:pt>
                <c:pt idx="27">
                  <c:v>2.3E-2</c:v>
                </c:pt>
                <c:pt idx="28">
                  <c:v>2.46E-2</c:v>
                </c:pt>
                <c:pt idx="29">
                  <c:v>2.6700000000000002E-2</c:v>
                </c:pt>
                <c:pt idx="30">
                  <c:v>2.9000000000000001E-2</c:v>
                </c:pt>
                <c:pt idx="31">
                  <c:v>3.09E-2</c:v>
                </c:pt>
                <c:pt idx="32">
                  <c:v>3.2300000000000002E-2</c:v>
                </c:pt>
                <c:pt idx="33">
                  <c:v>3.3399999999999999E-2</c:v>
                </c:pt>
                <c:pt idx="34">
                  <c:v>3.4000000000000002E-2</c:v>
                </c:pt>
                <c:pt idx="35">
                  <c:v>3.4299999999999997E-2</c:v>
                </c:pt>
                <c:pt idx="36">
                  <c:v>3.39E-2</c:v>
                </c:pt>
                <c:pt idx="37">
                  <c:v>3.3099999999999997E-2</c:v>
                </c:pt>
                <c:pt idx="38">
                  <c:v>3.2399999999999998E-2</c:v>
                </c:pt>
                <c:pt idx="39">
                  <c:v>3.2199999999999999E-2</c:v>
                </c:pt>
                <c:pt idx="40">
                  <c:v>3.2500000000000001E-2</c:v>
                </c:pt>
                <c:pt idx="41">
                  <c:v>3.2599999999999997E-2</c:v>
                </c:pt>
                <c:pt idx="42">
                  <c:v>3.2000000000000001E-2</c:v>
                </c:pt>
                <c:pt idx="43">
                  <c:v>3.0800000000000001E-2</c:v>
                </c:pt>
                <c:pt idx="44">
                  <c:v>2.9399999999999999E-2</c:v>
                </c:pt>
                <c:pt idx="45">
                  <c:v>2.8400000000000002E-2</c:v>
                </c:pt>
                <c:pt idx="46">
                  <c:v>2.8000000000000001E-2</c:v>
                </c:pt>
                <c:pt idx="47">
                  <c:v>2.8199999999999999E-2</c:v>
                </c:pt>
                <c:pt idx="48">
                  <c:v>2.87E-2</c:v>
                </c:pt>
                <c:pt idx="49">
                  <c:v>2.93E-2</c:v>
                </c:pt>
                <c:pt idx="50">
                  <c:v>2.98E-2</c:v>
                </c:pt>
                <c:pt idx="51">
                  <c:v>3.0099999999999998E-2</c:v>
                </c:pt>
                <c:pt idx="52">
                  <c:v>3.0300000000000001E-2</c:v>
                </c:pt>
                <c:pt idx="53">
                  <c:v>3.04E-2</c:v>
                </c:pt>
                <c:pt idx="54">
                  <c:v>3.0499999999999999E-2</c:v>
                </c:pt>
                <c:pt idx="55">
                  <c:v>3.0499999999999999E-2</c:v>
                </c:pt>
                <c:pt idx="56">
                  <c:v>3.0499999999999999E-2</c:v>
                </c:pt>
                <c:pt idx="57">
                  <c:v>3.0300000000000001E-2</c:v>
                </c:pt>
                <c:pt idx="58">
                  <c:v>2.9899999999999999E-2</c:v>
                </c:pt>
                <c:pt idx="59">
                  <c:v>2.9399999999999999E-2</c:v>
                </c:pt>
                <c:pt idx="60">
                  <c:v>2.8799999999999999E-2</c:v>
                </c:pt>
                <c:pt idx="61">
                  <c:v>2.8299999999999999E-2</c:v>
                </c:pt>
                <c:pt idx="62">
                  <c:v>2.7699999999999999E-2</c:v>
                </c:pt>
                <c:pt idx="63">
                  <c:v>2.7199999999999998E-2</c:v>
                </c:pt>
                <c:pt idx="64">
                  <c:v>2.6800000000000001E-2</c:v>
                </c:pt>
                <c:pt idx="65">
                  <c:v>2.64E-2</c:v>
                </c:pt>
                <c:pt idx="66">
                  <c:v>2.5999999999999999E-2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8F-431D-A0E4-E14883D76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374501"/>
        <c:axId val="1534716719"/>
      </c:lineChart>
      <c:catAx>
        <c:axId val="1162374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4716719"/>
        <c:crosses val="autoZero"/>
        <c:auto val="1"/>
        <c:lblAlgn val="ctr"/>
        <c:lblOffset val="100"/>
        <c:noMultiLvlLbl val="1"/>
      </c:catAx>
      <c:valAx>
        <c:axId val="1534716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23745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Viussi!$C$1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Viussi!$C$2:$C$67</c:f>
              <c:numCache>
                <c:formatCode>#,##0</c:formatCode>
                <c:ptCount val="66"/>
                <c:pt idx="0">
                  <c:v>17339702.033453707</c:v>
                </c:pt>
                <c:pt idx="1">
                  <c:v>16953169.762860488</c:v>
                </c:pt>
                <c:pt idx="2">
                  <c:v>16559064.03873851</c:v>
                </c:pt>
                <c:pt idx="3">
                  <c:v>16163068.85186775</c:v>
                </c:pt>
                <c:pt idx="4">
                  <c:v>15767309.386272317</c:v>
                </c:pt>
                <c:pt idx="5">
                  <c:v>15367747.939836565</c:v>
                </c:pt>
                <c:pt idx="6">
                  <c:v>14960813.804358028</c:v>
                </c:pt>
                <c:pt idx="7">
                  <c:v>14551905.266372947</c:v>
                </c:pt>
                <c:pt idx="8">
                  <c:v>14155549.870012594</c:v>
                </c:pt>
                <c:pt idx="9">
                  <c:v>13778031.79872746</c:v>
                </c:pt>
                <c:pt idx="10">
                  <c:v>13418418.191203214</c:v>
                </c:pt>
                <c:pt idx="11">
                  <c:v>13073283.506628228</c:v>
                </c:pt>
                <c:pt idx="12">
                  <c:v>12734544.619743064</c:v>
                </c:pt>
                <c:pt idx="13">
                  <c:v>12392511.307651872</c:v>
                </c:pt>
                <c:pt idx="14">
                  <c:v>12043256.858748175</c:v>
                </c:pt>
                <c:pt idx="15">
                  <c:v>11689077.801366763</c:v>
                </c:pt>
                <c:pt idx="16">
                  <c:v>11334313.780051161</c:v>
                </c:pt>
                <c:pt idx="17">
                  <c:v>10981798.062252844</c:v>
                </c:pt>
                <c:pt idx="18">
                  <c:v>10632005.094639214</c:v>
                </c:pt>
                <c:pt idx="19">
                  <c:v>10291361.044080161</c:v>
                </c:pt>
                <c:pt idx="20">
                  <c:v>9971282.8641412277</c:v>
                </c:pt>
                <c:pt idx="21">
                  <c:v>9678038.3035438489</c:v>
                </c:pt>
                <c:pt idx="22">
                  <c:v>9416266.1058025379</c:v>
                </c:pt>
                <c:pt idx="23">
                  <c:v>9182121.9949317761</c:v>
                </c:pt>
                <c:pt idx="24">
                  <c:v>8970420.0810197107</c:v>
                </c:pt>
                <c:pt idx="25">
                  <c:v>8773885.0557704531</c:v>
                </c:pt>
                <c:pt idx="26">
                  <c:v>8583335.0183627997</c:v>
                </c:pt>
                <c:pt idx="27">
                  <c:v>8390356.8116938416</c:v>
                </c:pt>
                <c:pt idx="28">
                  <c:v>8188909.6346806968</c:v>
                </c:pt>
                <c:pt idx="29">
                  <c:v>7975951.7236590022</c:v>
                </c:pt>
                <c:pt idx="30">
                  <c:v>7751167.8558396529</c:v>
                </c:pt>
                <c:pt idx="31">
                  <c:v>7518835.8287318395</c:v>
                </c:pt>
                <c:pt idx="32">
                  <c:v>7283576.3137962213</c:v>
                </c:pt>
                <c:pt idx="33">
                  <c:v>7048167.5186725575</c:v>
                </c:pt>
                <c:pt idx="34">
                  <c:v>6816409.592526651</c:v>
                </c:pt>
                <c:pt idx="35">
                  <c:v>6590360.2364175301</c:v>
                </c:pt>
                <c:pt idx="36">
                  <c:v>6374272.4019900663</c:v>
                </c:pt>
                <c:pt idx="37">
                  <c:v>6170043.9473333331</c:v>
                </c:pt>
                <c:pt idx="38">
                  <c:v>5976408.3178354641</c:v>
                </c:pt>
                <c:pt idx="39">
                  <c:v>5789971.2437855685</c:v>
                </c:pt>
                <c:pt idx="40">
                  <c:v>5607720.3329642313</c:v>
                </c:pt>
                <c:pt idx="41">
                  <c:v>5430680.1597561799</c:v>
                </c:pt>
                <c:pt idx="42">
                  <c:v>5262286.9765079264</c:v>
                </c:pt>
                <c:pt idx="43">
                  <c:v>5105051.3935854938</c:v>
                </c:pt>
                <c:pt idx="44">
                  <c:v>4959249.4594768733</c:v>
                </c:pt>
                <c:pt idx="45">
                  <c:v>4822296.2460879749</c:v>
                </c:pt>
                <c:pt idx="46">
                  <c:v>4690949.6557276016</c:v>
                </c:pt>
                <c:pt idx="47">
                  <c:v>4562292.9933160879</c:v>
                </c:pt>
                <c:pt idx="48">
                  <c:v>4435008.2563585965</c:v>
                </c:pt>
                <c:pt idx="49">
                  <c:v>4308761.5431444636</c:v>
                </c:pt>
                <c:pt idx="50">
                  <c:v>4184076.0760773579</c:v>
                </c:pt>
                <c:pt idx="51">
                  <c:v>4061815.4315866013</c:v>
                </c:pt>
                <c:pt idx="52">
                  <c:v>3942361.867016016</c:v>
                </c:pt>
                <c:pt idx="53">
                  <c:v>3826049.948579208</c:v>
                </c:pt>
                <c:pt idx="54">
                  <c:v>3712809.2659672084</c:v>
                </c:pt>
                <c:pt idx="55">
                  <c:v>3602920.1998711387</c:v>
                </c:pt>
                <c:pt idx="56">
                  <c:v>3496283.5515488973</c:v>
                </c:pt>
                <c:pt idx="57">
                  <c:v>3393461.6631552922</c:v>
                </c:pt>
                <c:pt idx="58">
                  <c:v>3294942.8713033227</c:v>
                </c:pt>
                <c:pt idx="59">
                  <c:v>3200838.2274172553</c:v>
                </c:pt>
                <c:pt idx="60">
                  <c:v>3111234.6689514536</c:v>
                </c:pt>
                <c:pt idx="61">
                  <c:v>3025609.9085397781</c:v>
                </c:pt>
                <c:pt idx="62">
                  <c:v>2944059.4614574076</c:v>
                </c:pt>
                <c:pt idx="63">
                  <c:v>2866101.5006399998</c:v>
                </c:pt>
                <c:pt idx="64">
                  <c:v>2791294.8</c:v>
                </c:pt>
                <c:pt idx="65">
                  <c:v>2719500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4-4BCC-83AC-C3CDC98D1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504329"/>
        <c:axId val="1802394236"/>
      </c:lineChart>
      <c:catAx>
        <c:axId val="1839504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2394236"/>
        <c:crosses val="autoZero"/>
        <c:auto val="1"/>
        <c:lblAlgn val="ctr"/>
        <c:lblOffset val="100"/>
        <c:noMultiLvlLbl val="1"/>
      </c:catAx>
      <c:valAx>
        <c:axId val="180239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95043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Volver!$D$1:$D$67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1.49E-2</c:v>
                </c:pt>
                <c:pt idx="2">
                  <c:v>1.5100000000000001E-2</c:v>
                </c:pt>
                <c:pt idx="3">
                  <c:v>1.5299999999999999E-2</c:v>
                </c:pt>
                <c:pt idx="4">
                  <c:v>1.55E-2</c:v>
                </c:pt>
                <c:pt idx="5">
                  <c:v>1.5599999999999999E-2</c:v>
                </c:pt>
                <c:pt idx="6">
                  <c:v>1.5800000000000002E-2</c:v>
                </c:pt>
                <c:pt idx="7">
                  <c:v>1.61E-2</c:v>
                </c:pt>
                <c:pt idx="8">
                  <c:v>1.6400000000000001E-2</c:v>
                </c:pt>
                <c:pt idx="9">
                  <c:v>1.67E-2</c:v>
                </c:pt>
                <c:pt idx="10">
                  <c:v>1.7100000000000001E-2</c:v>
                </c:pt>
                <c:pt idx="11">
                  <c:v>1.7600000000000001E-2</c:v>
                </c:pt>
                <c:pt idx="12">
                  <c:v>1.8200000000000001E-2</c:v>
                </c:pt>
                <c:pt idx="13">
                  <c:v>1.89E-2</c:v>
                </c:pt>
                <c:pt idx="14">
                  <c:v>1.95E-2</c:v>
                </c:pt>
                <c:pt idx="15">
                  <c:v>2.01E-2</c:v>
                </c:pt>
                <c:pt idx="16">
                  <c:v>2.06E-2</c:v>
                </c:pt>
                <c:pt idx="17">
                  <c:v>2.1100000000000001E-2</c:v>
                </c:pt>
                <c:pt idx="18">
                  <c:v>2.1600000000000001E-2</c:v>
                </c:pt>
                <c:pt idx="19">
                  <c:v>2.2100000000000002E-2</c:v>
                </c:pt>
                <c:pt idx="20">
                  <c:v>2.2599999999999999E-2</c:v>
                </c:pt>
                <c:pt idx="21">
                  <c:v>2.3E-2</c:v>
                </c:pt>
                <c:pt idx="22">
                  <c:v>2.3400000000000001E-2</c:v>
                </c:pt>
                <c:pt idx="23">
                  <c:v>2.3699999999999999E-2</c:v>
                </c:pt>
                <c:pt idx="24">
                  <c:v>2.3900000000000001E-2</c:v>
                </c:pt>
                <c:pt idx="25">
                  <c:v>2.41E-2</c:v>
                </c:pt>
                <c:pt idx="26">
                  <c:v>2.4199999999999999E-2</c:v>
                </c:pt>
                <c:pt idx="27">
                  <c:v>2.4199999999999999E-2</c:v>
                </c:pt>
                <c:pt idx="28">
                  <c:v>2.4199999999999999E-2</c:v>
                </c:pt>
                <c:pt idx="29">
                  <c:v>2.4199999999999999E-2</c:v>
                </c:pt>
                <c:pt idx="30">
                  <c:v>2.4199999999999999E-2</c:v>
                </c:pt>
                <c:pt idx="31">
                  <c:v>2.41E-2</c:v>
                </c:pt>
                <c:pt idx="32">
                  <c:v>2.4E-2</c:v>
                </c:pt>
                <c:pt idx="33">
                  <c:v>2.3800000000000002E-2</c:v>
                </c:pt>
                <c:pt idx="34">
                  <c:v>2.35E-2</c:v>
                </c:pt>
                <c:pt idx="35">
                  <c:v>2.3E-2</c:v>
                </c:pt>
                <c:pt idx="36">
                  <c:v>2.2499999999999999E-2</c:v>
                </c:pt>
                <c:pt idx="37">
                  <c:v>2.1899999999999999E-2</c:v>
                </c:pt>
                <c:pt idx="38">
                  <c:v>2.1499999999999998E-2</c:v>
                </c:pt>
                <c:pt idx="39">
                  <c:v>2.1399999999999999E-2</c:v>
                </c:pt>
                <c:pt idx="40">
                  <c:v>2.1600000000000001E-2</c:v>
                </c:pt>
                <c:pt idx="41">
                  <c:v>2.2100000000000002E-2</c:v>
                </c:pt>
                <c:pt idx="42">
                  <c:v>2.2700000000000001E-2</c:v>
                </c:pt>
                <c:pt idx="43">
                  <c:v>2.3400000000000001E-2</c:v>
                </c:pt>
                <c:pt idx="44">
                  <c:v>2.4E-2</c:v>
                </c:pt>
                <c:pt idx="45">
                  <c:v>2.4400000000000002E-2</c:v>
                </c:pt>
                <c:pt idx="46">
                  <c:v>2.47E-2</c:v>
                </c:pt>
                <c:pt idx="47">
                  <c:v>2.47E-2</c:v>
                </c:pt>
                <c:pt idx="48">
                  <c:v>2.4500000000000001E-2</c:v>
                </c:pt>
                <c:pt idx="49">
                  <c:v>2.4199999999999999E-2</c:v>
                </c:pt>
                <c:pt idx="50">
                  <c:v>2.3800000000000002E-2</c:v>
                </c:pt>
                <c:pt idx="51">
                  <c:v>2.3300000000000001E-2</c:v>
                </c:pt>
                <c:pt idx="52">
                  <c:v>2.2800000000000001E-2</c:v>
                </c:pt>
                <c:pt idx="53">
                  <c:v>2.24E-2</c:v>
                </c:pt>
                <c:pt idx="54">
                  <c:v>2.1899999999999999E-2</c:v>
                </c:pt>
                <c:pt idx="55">
                  <c:v>2.1499999999999998E-2</c:v>
                </c:pt>
                <c:pt idx="56">
                  <c:v>2.1000000000000001E-2</c:v>
                </c:pt>
                <c:pt idx="57">
                  <c:v>2.0500000000000001E-2</c:v>
                </c:pt>
                <c:pt idx="58">
                  <c:v>2.01E-2</c:v>
                </c:pt>
                <c:pt idx="59">
                  <c:v>1.9599999999999999E-2</c:v>
                </c:pt>
                <c:pt idx="60">
                  <c:v>1.9199999999999998E-2</c:v>
                </c:pt>
                <c:pt idx="61">
                  <c:v>1.8800000000000001E-2</c:v>
                </c:pt>
                <c:pt idx="62">
                  <c:v>1.84E-2</c:v>
                </c:pt>
                <c:pt idx="63">
                  <c:v>1.8100000000000002E-2</c:v>
                </c:pt>
                <c:pt idx="64">
                  <c:v>1.78E-2</c:v>
                </c:pt>
                <c:pt idx="65">
                  <c:v>1.7600000000000001E-2</c:v>
                </c:pt>
                <c:pt idx="66">
                  <c:v>1.7399999999999999E-2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8B-4446-83B8-530780145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705688"/>
        <c:axId val="426960626"/>
      </c:lineChart>
      <c:catAx>
        <c:axId val="121670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6960626"/>
        <c:crosses val="autoZero"/>
        <c:auto val="1"/>
        <c:lblAlgn val="ctr"/>
        <c:lblOffset val="100"/>
        <c:noMultiLvlLbl val="1"/>
      </c:catAx>
      <c:valAx>
        <c:axId val="426960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6705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Volver!$C$1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Volver!$C$2:$C$67</c:f>
              <c:numCache>
                <c:formatCode>#,##0</c:formatCode>
                <c:ptCount val="66"/>
                <c:pt idx="0">
                  <c:v>17219800.948560115</c:v>
                </c:pt>
                <c:pt idx="1">
                  <c:v>16966992.756488439</c:v>
                </c:pt>
                <c:pt idx="2">
                  <c:v>16714602.262327299</c:v>
                </c:pt>
                <c:pt idx="3">
                  <c:v>16462722.606448634</c:v>
                </c:pt>
                <c:pt idx="4">
                  <c:v>16211445.205759363</c:v>
                </c:pt>
                <c:pt idx="5">
                  <c:v>15962431.277825288</c:v>
                </c:pt>
                <c:pt idx="6">
                  <c:v>15714147.74347833</c:v>
                </c:pt>
                <c:pt idx="7">
                  <c:v>15465158.688591998</c:v>
                </c:pt>
                <c:pt idx="8">
                  <c:v>15215622.479921289</c:v>
                </c:pt>
                <c:pt idx="9">
                  <c:v>14965695.367287587</c:v>
                </c:pt>
                <c:pt idx="10">
                  <c:v>14714084.521962037</c:v>
                </c:pt>
                <c:pt idx="11">
                  <c:v>14459595.638720555</c:v>
                </c:pt>
                <c:pt idx="12">
                  <c:v>14201134.982047295</c:v>
                </c:pt>
                <c:pt idx="13">
                  <c:v>13937712.22106909</c:v>
                </c:pt>
                <c:pt idx="14">
                  <c:v>13671125.278145257</c:v>
                </c:pt>
                <c:pt idx="15">
                  <c:v>13401750.101112889</c:v>
                </c:pt>
                <c:pt idx="16">
                  <c:v>13131246.424762776</c:v>
                </c:pt>
                <c:pt idx="17">
                  <c:v>12859902.482384466</c:v>
                </c:pt>
                <c:pt idx="18">
                  <c:v>12588001.646813298</c:v>
                </c:pt>
                <c:pt idx="19">
                  <c:v>12315821.98103248</c:v>
                </c:pt>
                <c:pt idx="20">
                  <c:v>12043635.811688324</c:v>
                </c:pt>
                <c:pt idx="21">
                  <c:v>11772860.03097588</c:v>
                </c:pt>
                <c:pt idx="22">
                  <c:v>11503674.058018252</c:v>
                </c:pt>
                <c:pt idx="23">
                  <c:v>11237348.889340874</c:v>
                </c:pt>
                <c:pt idx="24">
                  <c:v>10975045.306515161</c:v>
                </c:pt>
                <c:pt idx="25">
                  <c:v>10716771.122463783</c:v>
                </c:pt>
                <c:pt idx="26">
                  <c:v>10463553.136559054</c:v>
                </c:pt>
                <c:pt idx="27">
                  <c:v>10216318.235265626</c:v>
                </c:pt>
                <c:pt idx="28">
                  <c:v>9974925.0490779392</c:v>
                </c:pt>
                <c:pt idx="29">
                  <c:v>9739235.5487970505</c:v>
                </c:pt>
                <c:pt idx="30">
                  <c:v>9509114.9666052051</c:v>
                </c:pt>
                <c:pt idx="31">
                  <c:v>9285338.3132557422</c:v>
                </c:pt>
                <c:pt idx="32">
                  <c:v>9067713.1965388097</c:v>
                </c:pt>
                <c:pt idx="33">
                  <c:v>8856918.5353963748</c:v>
                </c:pt>
                <c:pt idx="34">
                  <c:v>8653559.8782573268</c:v>
                </c:pt>
                <c:pt idx="35">
                  <c:v>8459002.8135457747</c:v>
                </c:pt>
                <c:pt idx="36">
                  <c:v>8272863.387330832</c:v>
                </c:pt>
                <c:pt idx="37">
                  <c:v>8095570.3956657518</c:v>
                </c:pt>
                <c:pt idx="38">
                  <c:v>7925179.0461730314</c:v>
                </c:pt>
                <c:pt idx="39">
                  <c:v>7759133.5874026148</c:v>
                </c:pt>
                <c:pt idx="40">
                  <c:v>7595079.8623753078</c:v>
                </c:pt>
                <c:pt idx="41">
                  <c:v>7430857.9027250838</c:v>
                </c:pt>
                <c:pt idx="42">
                  <c:v>7265921.4850152386</c:v>
                </c:pt>
                <c:pt idx="43">
                  <c:v>7099786.4813516103</c:v>
                </c:pt>
                <c:pt idx="44">
                  <c:v>6933385.2356949318</c:v>
                </c:pt>
                <c:pt idx="45">
                  <c:v>6768240.1754148109</c:v>
                </c:pt>
                <c:pt idx="46">
                  <c:v>6605094.3450910617</c:v>
                </c:pt>
                <c:pt idx="47">
                  <c:v>6445881.0823568478</c:v>
                </c:pt>
                <c:pt idx="48">
                  <c:v>6291733.6089378698</c:v>
                </c:pt>
                <c:pt idx="49">
                  <c:v>6143071.2838682579</c:v>
                </c:pt>
                <c:pt idx="50">
                  <c:v>6000264.9774059951</c:v>
                </c:pt>
                <c:pt idx="51">
                  <c:v>5863642.1161008449</c:v>
                </c:pt>
                <c:pt idx="52">
                  <c:v>5732931.2828518236</c:v>
                </c:pt>
                <c:pt idx="53">
                  <c:v>5607327.154589029</c:v>
                </c:pt>
                <c:pt idx="54">
                  <c:v>5487158.3859370081</c:v>
                </c:pt>
                <c:pt idx="55">
                  <c:v>5371667.5339569338</c:v>
                </c:pt>
                <c:pt idx="56">
                  <c:v>5261182.6973133534</c:v>
                </c:pt>
                <c:pt idx="57">
                  <c:v>5155495.048812693</c:v>
                </c:pt>
                <c:pt idx="58">
                  <c:v>5053911.4290880235</c:v>
                </c:pt>
                <c:pt idx="59">
                  <c:v>4956758.9535975121</c:v>
                </c:pt>
                <c:pt idx="60">
                  <c:v>4863382.0188358631</c:v>
                </c:pt>
                <c:pt idx="61">
                  <c:v>4773637.6313661793</c:v>
                </c:pt>
                <c:pt idx="62">
                  <c:v>4687389.661592871</c:v>
                </c:pt>
                <c:pt idx="63">
                  <c:v>4604056.2435840005</c:v>
                </c:pt>
                <c:pt idx="64">
                  <c:v>4523537.28</c:v>
                </c:pt>
                <c:pt idx="65">
                  <c:v>4445300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0-4873-8078-E36ECAB97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05347"/>
        <c:axId val="1042604394"/>
      </c:lineChart>
      <c:catAx>
        <c:axId val="1642205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2604394"/>
        <c:crosses val="autoZero"/>
        <c:auto val="1"/>
        <c:lblAlgn val="ctr"/>
        <c:lblOffset val="100"/>
        <c:noMultiLvlLbl val="1"/>
      </c:catAx>
      <c:valAx>
        <c:axId val="1042604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22053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Walporein!$D$1:$D$67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4.36E-2</c:v>
                </c:pt>
                <c:pt idx="2">
                  <c:v>6.2199999999999998E-2</c:v>
                </c:pt>
                <c:pt idx="3">
                  <c:v>8.6800000000000002E-2</c:v>
                </c:pt>
                <c:pt idx="4">
                  <c:v>0.1166</c:v>
                </c:pt>
                <c:pt idx="5">
                  <c:v>0.1343</c:v>
                </c:pt>
                <c:pt idx="6">
                  <c:v>0.14480000000000001</c:v>
                </c:pt>
                <c:pt idx="7">
                  <c:v>0.1384</c:v>
                </c:pt>
                <c:pt idx="8">
                  <c:v>0.1096</c:v>
                </c:pt>
                <c:pt idx="9">
                  <c:v>7.7399999999999997E-2</c:v>
                </c:pt>
                <c:pt idx="10">
                  <c:v>5.5800000000000002E-2</c:v>
                </c:pt>
                <c:pt idx="11">
                  <c:v>4.2900000000000001E-2</c:v>
                </c:pt>
                <c:pt idx="12">
                  <c:v>3.5799999999999998E-2</c:v>
                </c:pt>
                <c:pt idx="13">
                  <c:v>3.1699999999999999E-2</c:v>
                </c:pt>
                <c:pt idx="14">
                  <c:v>2.9899999999999999E-2</c:v>
                </c:pt>
                <c:pt idx="15">
                  <c:v>2.9700000000000001E-2</c:v>
                </c:pt>
                <c:pt idx="16">
                  <c:v>3.0300000000000001E-2</c:v>
                </c:pt>
                <c:pt idx="17">
                  <c:v>3.09E-2</c:v>
                </c:pt>
                <c:pt idx="18">
                  <c:v>3.1199999999999999E-2</c:v>
                </c:pt>
                <c:pt idx="19">
                  <c:v>3.1099999999999999E-2</c:v>
                </c:pt>
                <c:pt idx="20">
                  <c:v>3.09E-2</c:v>
                </c:pt>
                <c:pt idx="21">
                  <c:v>3.1199999999999999E-2</c:v>
                </c:pt>
                <c:pt idx="22">
                  <c:v>3.4000000000000002E-2</c:v>
                </c:pt>
                <c:pt idx="23">
                  <c:v>0.04</c:v>
                </c:pt>
                <c:pt idx="24">
                  <c:v>4.7199999999999999E-2</c:v>
                </c:pt>
                <c:pt idx="25">
                  <c:v>5.3199999999999997E-2</c:v>
                </c:pt>
                <c:pt idx="26">
                  <c:v>5.8099999999999999E-2</c:v>
                </c:pt>
                <c:pt idx="27">
                  <c:v>6.2899999999999998E-2</c:v>
                </c:pt>
                <c:pt idx="28">
                  <c:v>6.7400000000000002E-2</c:v>
                </c:pt>
                <c:pt idx="29">
                  <c:v>7.0999999999999994E-2</c:v>
                </c:pt>
                <c:pt idx="30">
                  <c:v>7.3800000000000004E-2</c:v>
                </c:pt>
                <c:pt idx="31">
                  <c:v>7.5399999999999995E-2</c:v>
                </c:pt>
                <c:pt idx="32">
                  <c:v>7.5800000000000006E-2</c:v>
                </c:pt>
                <c:pt idx="33">
                  <c:v>7.5499999999999998E-2</c:v>
                </c:pt>
                <c:pt idx="34">
                  <c:v>7.4099999999999999E-2</c:v>
                </c:pt>
                <c:pt idx="35">
                  <c:v>7.1099999999999997E-2</c:v>
                </c:pt>
                <c:pt idx="36">
                  <c:v>6.6699999999999995E-2</c:v>
                </c:pt>
                <c:pt idx="37">
                  <c:v>6.0699999999999997E-2</c:v>
                </c:pt>
                <c:pt idx="38">
                  <c:v>5.3900000000000003E-2</c:v>
                </c:pt>
                <c:pt idx="39">
                  <c:v>4.7800000000000002E-2</c:v>
                </c:pt>
                <c:pt idx="40">
                  <c:v>4.2700000000000002E-2</c:v>
                </c:pt>
                <c:pt idx="41">
                  <c:v>3.9100000000000003E-2</c:v>
                </c:pt>
                <c:pt idx="42">
                  <c:v>3.8300000000000001E-2</c:v>
                </c:pt>
                <c:pt idx="43">
                  <c:v>4.0399999999999998E-2</c:v>
                </c:pt>
                <c:pt idx="44">
                  <c:v>4.6199999999999998E-2</c:v>
                </c:pt>
                <c:pt idx="45">
                  <c:v>5.5300000000000002E-2</c:v>
                </c:pt>
                <c:pt idx="46">
                  <c:v>6.6299999999999998E-2</c:v>
                </c:pt>
                <c:pt idx="47">
                  <c:v>7.7700000000000005E-2</c:v>
                </c:pt>
                <c:pt idx="48">
                  <c:v>8.9099999999999999E-2</c:v>
                </c:pt>
                <c:pt idx="49">
                  <c:v>0.10050000000000001</c:v>
                </c:pt>
                <c:pt idx="50">
                  <c:v>0.1089</c:v>
                </c:pt>
                <c:pt idx="51">
                  <c:v>0.10630000000000001</c:v>
                </c:pt>
                <c:pt idx="52">
                  <c:v>9.2700000000000005E-2</c:v>
                </c:pt>
                <c:pt idx="53">
                  <c:v>7.9600000000000004E-2</c:v>
                </c:pt>
                <c:pt idx="54">
                  <c:v>6.9900000000000004E-2</c:v>
                </c:pt>
                <c:pt idx="55">
                  <c:v>6.3799999999999996E-2</c:v>
                </c:pt>
                <c:pt idx="56">
                  <c:v>6.0699999999999997E-2</c:v>
                </c:pt>
                <c:pt idx="57">
                  <c:v>5.9900000000000002E-2</c:v>
                </c:pt>
                <c:pt idx="58">
                  <c:v>6.0400000000000002E-2</c:v>
                </c:pt>
                <c:pt idx="59">
                  <c:v>6.13E-2</c:v>
                </c:pt>
                <c:pt idx="60">
                  <c:v>6.13E-2</c:v>
                </c:pt>
                <c:pt idx="61">
                  <c:v>5.96E-2</c:v>
                </c:pt>
                <c:pt idx="62">
                  <c:v>5.6800000000000003E-2</c:v>
                </c:pt>
                <c:pt idx="63">
                  <c:v>5.3199999999999997E-2</c:v>
                </c:pt>
                <c:pt idx="64">
                  <c:v>5.0099999999999999E-2</c:v>
                </c:pt>
                <c:pt idx="65">
                  <c:v>4.7699999999999999E-2</c:v>
                </c:pt>
                <c:pt idx="66">
                  <c:v>4.4900000000000002E-2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A5-4533-8985-F64CB6928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353694"/>
        <c:axId val="286650410"/>
      </c:lineChart>
      <c:catAx>
        <c:axId val="1319353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6650410"/>
        <c:crosses val="autoZero"/>
        <c:auto val="1"/>
        <c:lblAlgn val="ctr"/>
        <c:lblOffset val="100"/>
        <c:noMultiLvlLbl val="1"/>
      </c:catAx>
      <c:valAx>
        <c:axId val="286650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93536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Walporein!$C$1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Walporein!$C$2:$C$67</c:f>
              <c:numCache>
                <c:formatCode>#,##0</c:formatCode>
                <c:ptCount val="66"/>
                <c:pt idx="0">
                  <c:v>730350.53362315299</c:v>
                </c:pt>
                <c:pt idx="1">
                  <c:v>699837.61366726039</c:v>
                </c:pt>
                <c:pt idx="2">
                  <c:v>658856.72535046167</c:v>
                </c:pt>
                <c:pt idx="3">
                  <c:v>606235.48523229815</c:v>
                </c:pt>
                <c:pt idx="4">
                  <c:v>542929.86318493471</c:v>
                </c:pt>
                <c:pt idx="5">
                  <c:v>478647.50346904225</c:v>
                </c:pt>
                <c:pt idx="6">
                  <c:v>418105.78569972242</c:v>
                </c:pt>
                <c:pt idx="7">
                  <c:v>367274.93473271467</c:v>
                </c:pt>
                <c:pt idx="8">
                  <c:v>330997.59799271333</c:v>
                </c:pt>
                <c:pt idx="9">
                  <c:v>307218.85835596191</c:v>
                </c:pt>
                <c:pt idx="10">
                  <c:v>290982.05943925167</c:v>
                </c:pt>
                <c:pt idx="11">
                  <c:v>279012.42634888453</c:v>
                </c:pt>
                <c:pt idx="12">
                  <c:v>269369.01559073618</c:v>
                </c:pt>
                <c:pt idx="13">
                  <c:v>261092.3869252071</c:v>
                </c:pt>
                <c:pt idx="14">
                  <c:v>253512.36714749693</c:v>
                </c:pt>
                <c:pt idx="15">
                  <c:v>246200.2205958016</c:v>
                </c:pt>
                <c:pt idx="16">
                  <c:v>238959.74045986761</c:v>
                </c:pt>
                <c:pt idx="17">
                  <c:v>231797.20677065439</c:v>
                </c:pt>
                <c:pt idx="18">
                  <c:v>224783.94760536696</c:v>
                </c:pt>
                <c:pt idx="19">
                  <c:v>218004.02250544756</c:v>
                </c:pt>
                <c:pt idx="20">
                  <c:v>211469.61150979492</c:v>
                </c:pt>
                <c:pt idx="21">
                  <c:v>205071.38431904087</c:v>
                </c:pt>
                <c:pt idx="22">
                  <c:v>198328.22467992347</c:v>
                </c:pt>
                <c:pt idx="23">
                  <c:v>190700.21603838794</c:v>
                </c:pt>
                <c:pt idx="24">
                  <c:v>182104.86634681813</c:v>
                </c:pt>
                <c:pt idx="25">
                  <c:v>172906.25365250488</c:v>
                </c:pt>
                <c:pt idx="26">
                  <c:v>163412.01554910204</c:v>
                </c:pt>
                <c:pt idx="27">
                  <c:v>153741.6648312184</c:v>
                </c:pt>
                <c:pt idx="28">
                  <c:v>144033.78755032641</c:v>
                </c:pt>
                <c:pt idx="29">
                  <c:v>134485.32917864277</c:v>
                </c:pt>
                <c:pt idx="30">
                  <c:v>125242.43730549706</c:v>
                </c:pt>
                <c:pt idx="31">
                  <c:v>116461.25842058497</c:v>
                </c:pt>
                <c:pt idx="32">
                  <c:v>108255.4921180377</c:v>
                </c:pt>
                <c:pt idx="33">
                  <c:v>100655.96663694813</c:v>
                </c:pt>
                <c:pt idx="34">
                  <c:v>93711.913822687013</c:v>
                </c:pt>
                <c:pt idx="35">
                  <c:v>87491.283561466727</c:v>
                </c:pt>
                <c:pt idx="36">
                  <c:v>82020.515197775123</c:v>
                </c:pt>
                <c:pt idx="37">
                  <c:v>77326.779671702767</c:v>
                </c:pt>
                <c:pt idx="38">
                  <c:v>73372.027395106517</c:v>
                </c:pt>
                <c:pt idx="39">
                  <c:v>70024.840041140022</c:v>
                </c:pt>
                <c:pt idx="40">
                  <c:v>67157.226470835361</c:v>
                </c:pt>
                <c:pt idx="41">
                  <c:v>64630.186190776025</c:v>
                </c:pt>
                <c:pt idx="42">
                  <c:v>62246.158326857389</c:v>
                </c:pt>
                <c:pt idx="43">
                  <c:v>59829.064135772191</c:v>
                </c:pt>
                <c:pt idx="44">
                  <c:v>57187.023643445027</c:v>
                </c:pt>
                <c:pt idx="45">
                  <c:v>54190.3000506444</c:v>
                </c:pt>
                <c:pt idx="46">
                  <c:v>50820.875973595044</c:v>
                </c:pt>
                <c:pt idx="47">
                  <c:v>47156.793146139964</c:v>
                </c:pt>
                <c:pt idx="48">
                  <c:v>43298.864333982157</c:v>
                </c:pt>
                <c:pt idx="49">
                  <c:v>39344.719976358159</c:v>
                </c:pt>
                <c:pt idx="50">
                  <c:v>35480.854879933409</c:v>
                </c:pt>
                <c:pt idx="51">
                  <c:v>32071.639591370702</c:v>
                </c:pt>
                <c:pt idx="52">
                  <c:v>29350.818698060495</c:v>
                </c:pt>
                <c:pt idx="53">
                  <c:v>27186.753147518055</c:v>
                </c:pt>
                <c:pt idx="54">
                  <c:v>25410.555329954252</c:v>
                </c:pt>
                <c:pt idx="55">
                  <c:v>23886.590834700368</c:v>
                </c:pt>
                <c:pt idx="56">
                  <c:v>22519.648189592128</c:v>
                </c:pt>
                <c:pt idx="57">
                  <c:v>21246.955552025782</c:v>
                </c:pt>
                <c:pt idx="58">
                  <c:v>20036.736657889269</c:v>
                </c:pt>
                <c:pt idx="59">
                  <c:v>18879.427737575868</c:v>
                </c:pt>
                <c:pt idx="60">
                  <c:v>17788.964230260877</c:v>
                </c:pt>
                <c:pt idx="61">
                  <c:v>16788.37696325111</c:v>
                </c:pt>
                <c:pt idx="62">
                  <c:v>15886.049359624441</c:v>
                </c:pt>
                <c:pt idx="63">
                  <c:v>15083.601746700002</c:v>
                </c:pt>
                <c:pt idx="64">
                  <c:v>14363.967000000001</c:v>
                </c:pt>
                <c:pt idx="65">
                  <c:v>13710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C-4664-A18F-C60498D3F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414278"/>
        <c:axId val="764496437"/>
      </c:lineChart>
      <c:catAx>
        <c:axId val="1028414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496437"/>
        <c:crosses val="autoZero"/>
        <c:auto val="1"/>
        <c:lblAlgn val="ctr"/>
        <c:lblOffset val="100"/>
        <c:noMultiLvlLbl val="1"/>
      </c:catAx>
      <c:valAx>
        <c:axId val="764496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84142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'Welenu Fana'!$D$1:$D$67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1.06E-2</c:v>
                </c:pt>
                <c:pt idx="2">
                  <c:v>1.0800000000000001E-2</c:v>
                </c:pt>
                <c:pt idx="3">
                  <c:v>1.0500000000000001E-2</c:v>
                </c:pt>
                <c:pt idx="4">
                  <c:v>9.9000000000000008E-3</c:v>
                </c:pt>
                <c:pt idx="5">
                  <c:v>9.4000000000000004E-3</c:v>
                </c:pt>
                <c:pt idx="6">
                  <c:v>9.4000000000000004E-3</c:v>
                </c:pt>
                <c:pt idx="7">
                  <c:v>9.5999999999999992E-3</c:v>
                </c:pt>
                <c:pt idx="8">
                  <c:v>9.7999999999999997E-3</c:v>
                </c:pt>
                <c:pt idx="9">
                  <c:v>1.01E-2</c:v>
                </c:pt>
                <c:pt idx="10">
                  <c:v>1.0500000000000001E-2</c:v>
                </c:pt>
                <c:pt idx="11">
                  <c:v>1.0999999999999999E-2</c:v>
                </c:pt>
                <c:pt idx="12">
                  <c:v>1.1599999999999999E-2</c:v>
                </c:pt>
                <c:pt idx="13">
                  <c:v>1.23E-2</c:v>
                </c:pt>
                <c:pt idx="14">
                  <c:v>1.2999999999999999E-2</c:v>
                </c:pt>
                <c:pt idx="15">
                  <c:v>1.38E-2</c:v>
                </c:pt>
                <c:pt idx="16">
                  <c:v>1.47E-2</c:v>
                </c:pt>
                <c:pt idx="17">
                  <c:v>1.55E-2</c:v>
                </c:pt>
                <c:pt idx="18">
                  <c:v>1.6199999999999999E-2</c:v>
                </c:pt>
                <c:pt idx="19">
                  <c:v>1.6799999999999999E-2</c:v>
                </c:pt>
                <c:pt idx="20">
                  <c:v>1.72E-2</c:v>
                </c:pt>
                <c:pt idx="21">
                  <c:v>1.7500000000000002E-2</c:v>
                </c:pt>
                <c:pt idx="22">
                  <c:v>1.77E-2</c:v>
                </c:pt>
                <c:pt idx="23">
                  <c:v>1.8200000000000001E-2</c:v>
                </c:pt>
                <c:pt idx="24">
                  <c:v>1.8800000000000001E-2</c:v>
                </c:pt>
                <c:pt idx="25">
                  <c:v>1.9599999999999999E-2</c:v>
                </c:pt>
                <c:pt idx="26">
                  <c:v>2.0500000000000001E-2</c:v>
                </c:pt>
                <c:pt idx="27">
                  <c:v>2.1499999999999998E-2</c:v>
                </c:pt>
                <c:pt idx="28">
                  <c:v>2.2599999999999999E-2</c:v>
                </c:pt>
                <c:pt idx="29">
                  <c:v>2.3699999999999999E-2</c:v>
                </c:pt>
                <c:pt idx="30">
                  <c:v>2.4500000000000001E-2</c:v>
                </c:pt>
                <c:pt idx="31">
                  <c:v>2.4799999999999999E-2</c:v>
                </c:pt>
                <c:pt idx="32">
                  <c:v>2.3699999999999999E-2</c:v>
                </c:pt>
                <c:pt idx="33">
                  <c:v>2.1999999999999999E-2</c:v>
                </c:pt>
                <c:pt idx="34">
                  <c:v>2.1499999999999998E-2</c:v>
                </c:pt>
                <c:pt idx="35">
                  <c:v>2.1700000000000001E-2</c:v>
                </c:pt>
                <c:pt idx="36">
                  <c:v>2.24E-2</c:v>
                </c:pt>
                <c:pt idx="37">
                  <c:v>2.3599999999999999E-2</c:v>
                </c:pt>
                <c:pt idx="38">
                  <c:v>2.5000000000000001E-2</c:v>
                </c:pt>
                <c:pt idx="39">
                  <c:v>2.6700000000000002E-2</c:v>
                </c:pt>
                <c:pt idx="40">
                  <c:v>2.81E-2</c:v>
                </c:pt>
                <c:pt idx="41">
                  <c:v>2.9000000000000001E-2</c:v>
                </c:pt>
                <c:pt idx="42">
                  <c:v>3.0300000000000001E-2</c:v>
                </c:pt>
                <c:pt idx="43">
                  <c:v>3.0200000000000001E-2</c:v>
                </c:pt>
                <c:pt idx="44">
                  <c:v>3.04E-2</c:v>
                </c:pt>
                <c:pt idx="45">
                  <c:v>2.8799999999999999E-2</c:v>
                </c:pt>
                <c:pt idx="46">
                  <c:v>2.6800000000000001E-2</c:v>
                </c:pt>
                <c:pt idx="47">
                  <c:v>2.69E-2</c:v>
                </c:pt>
                <c:pt idx="48">
                  <c:v>2.5000000000000001E-2</c:v>
                </c:pt>
                <c:pt idx="49">
                  <c:v>2.35E-2</c:v>
                </c:pt>
                <c:pt idx="50">
                  <c:v>2.12E-2</c:v>
                </c:pt>
                <c:pt idx="51">
                  <c:v>2.12E-2</c:v>
                </c:pt>
                <c:pt idx="52">
                  <c:v>2.1700000000000001E-2</c:v>
                </c:pt>
                <c:pt idx="53">
                  <c:v>2.24E-2</c:v>
                </c:pt>
                <c:pt idx="54">
                  <c:v>2.3099999999999999E-2</c:v>
                </c:pt>
                <c:pt idx="55">
                  <c:v>2.3699999999999999E-2</c:v>
                </c:pt>
                <c:pt idx="56">
                  <c:v>2.4299999999999999E-2</c:v>
                </c:pt>
                <c:pt idx="57">
                  <c:v>2.4799999999999999E-2</c:v>
                </c:pt>
                <c:pt idx="58">
                  <c:v>2.5100000000000001E-2</c:v>
                </c:pt>
                <c:pt idx="59">
                  <c:v>2.5399999999999999E-2</c:v>
                </c:pt>
                <c:pt idx="60">
                  <c:v>2.5700000000000001E-2</c:v>
                </c:pt>
                <c:pt idx="61">
                  <c:v>2.63E-2</c:v>
                </c:pt>
                <c:pt idx="62">
                  <c:v>2.6800000000000001E-2</c:v>
                </c:pt>
                <c:pt idx="63">
                  <c:v>2.7400000000000001E-2</c:v>
                </c:pt>
                <c:pt idx="64">
                  <c:v>2.8000000000000001E-2</c:v>
                </c:pt>
                <c:pt idx="65">
                  <c:v>2.8500000000000001E-2</c:v>
                </c:pt>
                <c:pt idx="66">
                  <c:v>2.9100000000000001E-2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8E-46E2-803B-85C4C14F3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437045"/>
        <c:axId val="1946637977"/>
      </c:lineChart>
      <c:catAx>
        <c:axId val="1899437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6637977"/>
        <c:crosses val="autoZero"/>
        <c:auto val="1"/>
        <c:lblAlgn val="ctr"/>
        <c:lblOffset val="100"/>
        <c:noMultiLvlLbl val="1"/>
      </c:catAx>
      <c:valAx>
        <c:axId val="1946637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94370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'Welenu Fana'!$C$1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'Welenu Fana'!$C$2:$C$67</c:f>
              <c:numCache>
                <c:formatCode>#,##0</c:formatCode>
                <c:ptCount val="66"/>
                <c:pt idx="0">
                  <c:v>19672683.488652334</c:v>
                </c:pt>
                <c:pt idx="1">
                  <c:v>19466340.281666666</c:v>
                </c:pt>
                <c:pt idx="2">
                  <c:v>19258350.100580398</c:v>
                </c:pt>
                <c:pt idx="3">
                  <c:v>19058238.595329441</c:v>
                </c:pt>
                <c:pt idx="4">
                  <c:v>18871411.620288584</c:v>
                </c:pt>
                <c:pt idx="5">
                  <c:v>18695672.300662357</c:v>
                </c:pt>
                <c:pt idx="6">
                  <c:v>18521569.546921294</c:v>
                </c:pt>
                <c:pt idx="7">
                  <c:v>18345453.196237415</c:v>
                </c:pt>
                <c:pt idx="8">
                  <c:v>18167412.553215899</c:v>
                </c:pt>
                <c:pt idx="9">
                  <c:v>17985756.413440153</c:v>
                </c:pt>
                <c:pt idx="10">
                  <c:v>17798868.296328701</c:v>
                </c:pt>
                <c:pt idx="11">
                  <c:v>17605210.975597136</c:v>
                </c:pt>
                <c:pt idx="12">
                  <c:v>17403332.320677277</c:v>
                </c:pt>
                <c:pt idx="13">
                  <c:v>17191872.291491926</c:v>
                </c:pt>
                <c:pt idx="14">
                  <c:v>16971246.09229213</c:v>
                </c:pt>
                <c:pt idx="15">
                  <c:v>16740230.905792197</c:v>
                </c:pt>
                <c:pt idx="16">
                  <c:v>16497714.50260392</c:v>
                </c:pt>
                <c:pt idx="17">
                  <c:v>16245903.006010752</c:v>
                </c:pt>
                <c:pt idx="18">
                  <c:v>15986914.98328159</c:v>
                </c:pt>
                <c:pt idx="19">
                  <c:v>15722772.406846568</c:v>
                </c:pt>
                <c:pt idx="20">
                  <c:v>15456913.494737089</c:v>
                </c:pt>
                <c:pt idx="21">
                  <c:v>15191069.773697384</c:v>
                </c:pt>
                <c:pt idx="22">
                  <c:v>14926864.276011972</c:v>
                </c:pt>
                <c:pt idx="23">
                  <c:v>14660051.341594944</c:v>
                </c:pt>
                <c:pt idx="24">
                  <c:v>14389528.211223936</c:v>
                </c:pt>
                <c:pt idx="25">
                  <c:v>14112915.075739441</c:v>
                </c:pt>
                <c:pt idx="26">
                  <c:v>13829412.127133211</c:v>
                </c:pt>
                <c:pt idx="27">
                  <c:v>13538337.863077054</c:v>
                </c:pt>
                <c:pt idx="28">
                  <c:v>13239133.44717099</c:v>
                </c:pt>
                <c:pt idx="29">
                  <c:v>12932630.113481479</c:v>
                </c:pt>
                <c:pt idx="30">
                  <c:v>12623357.846248394</c:v>
                </c:pt>
                <c:pt idx="31">
                  <c:v>12317874.557229113</c:v>
                </c:pt>
                <c:pt idx="32">
                  <c:v>12032699.577248327</c:v>
                </c:pt>
                <c:pt idx="33">
                  <c:v>11773678.647014018</c:v>
                </c:pt>
                <c:pt idx="34">
                  <c:v>11525872.390615778</c:v>
                </c:pt>
                <c:pt idx="35">
                  <c:v>11281073.104253476</c:v>
                </c:pt>
                <c:pt idx="36">
                  <c:v>11033913.443127422</c:v>
                </c:pt>
                <c:pt idx="37">
                  <c:v>10779516.845571924</c:v>
                </c:pt>
                <c:pt idx="38">
                  <c:v>10516601.800557975</c:v>
                </c:pt>
                <c:pt idx="39">
                  <c:v>10243110.743701154</c:v>
                </c:pt>
                <c:pt idx="40">
                  <c:v>9963146.3317781873</c:v>
                </c:pt>
                <c:pt idx="41">
                  <c:v>9682357.9511935748</c:v>
                </c:pt>
                <c:pt idx="42">
                  <c:v>9397610.3573654033</c:v>
                </c:pt>
                <c:pt idx="43">
                  <c:v>9122122.2649635058</c:v>
                </c:pt>
                <c:pt idx="44">
                  <c:v>8852991.3285748307</c:v>
                </c:pt>
                <c:pt idx="45">
                  <c:v>8605162.6444156598</c:v>
                </c:pt>
                <c:pt idx="46">
                  <c:v>8380563.5415033707</c:v>
                </c:pt>
                <c:pt idx="47">
                  <c:v>8161031.7864479227</c:v>
                </c:pt>
                <c:pt idx="48">
                  <c:v>7961982.2306809006</c:v>
                </c:pt>
                <c:pt idx="49">
                  <c:v>7779171.6958289202</c:v>
                </c:pt>
                <c:pt idx="50">
                  <c:v>7617676.9446033286</c:v>
                </c:pt>
                <c:pt idx="51">
                  <c:v>7459534.8067012606</c:v>
                </c:pt>
                <c:pt idx="52">
                  <c:v>7301100.9168065581</c:v>
                </c:pt>
                <c:pt idx="53">
                  <c:v>7141139.3943726122</c:v>
                </c:pt>
                <c:pt idx="54">
                  <c:v>6979903.6207336653</c:v>
                </c:pt>
                <c:pt idx="55">
                  <c:v>6818309.6812871592</c:v>
                </c:pt>
                <c:pt idx="56">
                  <c:v>6656555.3854214186</c:v>
                </c:pt>
                <c:pt idx="57">
                  <c:v>6495467.7843690664</c:v>
                </c:pt>
                <c:pt idx="58">
                  <c:v>6336423.5531841451</c:v>
                </c:pt>
                <c:pt idx="59">
                  <c:v>6179465.1386621268</c:v>
                </c:pt>
                <c:pt idx="60">
                  <c:v>6024632.0938501768</c:v>
                </c:pt>
                <c:pt idx="61">
                  <c:v>5870244.6593103157</c:v>
                </c:pt>
                <c:pt idx="62">
                  <c:v>5717028.3008476002</c:v>
                </c:pt>
                <c:pt idx="63">
                  <c:v>5564559.3739999998</c:v>
                </c:pt>
                <c:pt idx="64">
                  <c:v>5412995.5</c:v>
                </c:pt>
                <c:pt idx="65">
                  <c:v>5263000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1-4483-8EE4-E6981C41C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576755"/>
        <c:axId val="2131884545"/>
      </c:lineChart>
      <c:catAx>
        <c:axId val="207757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1884545"/>
        <c:crosses val="autoZero"/>
        <c:auto val="1"/>
        <c:lblAlgn val="ctr"/>
        <c:lblOffset val="100"/>
        <c:noMultiLvlLbl val="1"/>
      </c:catAx>
      <c:valAx>
        <c:axId val="2131884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75767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'Western Migoku'!$D$1:$D$67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2.1100000000000001E-2</c:v>
                </c:pt>
                <c:pt idx="2">
                  <c:v>2.87E-2</c:v>
                </c:pt>
                <c:pt idx="3">
                  <c:v>3.85E-2</c:v>
                </c:pt>
                <c:pt idx="4">
                  <c:v>4.6199999999999998E-2</c:v>
                </c:pt>
                <c:pt idx="5">
                  <c:v>4.4699999999999997E-2</c:v>
                </c:pt>
                <c:pt idx="6">
                  <c:v>3.8300000000000001E-2</c:v>
                </c:pt>
                <c:pt idx="7">
                  <c:v>3.4700000000000002E-2</c:v>
                </c:pt>
                <c:pt idx="8">
                  <c:v>3.7999999999999999E-2</c:v>
                </c:pt>
                <c:pt idx="9">
                  <c:v>4.5900000000000003E-2</c:v>
                </c:pt>
                <c:pt idx="10">
                  <c:v>5.0500000000000003E-2</c:v>
                </c:pt>
                <c:pt idx="11">
                  <c:v>4.3400000000000001E-2</c:v>
                </c:pt>
                <c:pt idx="12">
                  <c:v>3.1600000000000003E-2</c:v>
                </c:pt>
                <c:pt idx="13">
                  <c:v>2.1499999999999998E-2</c:v>
                </c:pt>
                <c:pt idx="14">
                  <c:v>1.49E-2</c:v>
                </c:pt>
                <c:pt idx="15">
                  <c:v>1.0200000000000001E-2</c:v>
                </c:pt>
                <c:pt idx="16">
                  <c:v>6.8999999999999999E-3</c:v>
                </c:pt>
                <c:pt idx="17">
                  <c:v>5.7999999999999996E-3</c:v>
                </c:pt>
                <c:pt idx="18">
                  <c:v>6.4000000000000003E-3</c:v>
                </c:pt>
                <c:pt idx="19">
                  <c:v>8.3999999999999995E-3</c:v>
                </c:pt>
                <c:pt idx="20">
                  <c:v>1.14E-2</c:v>
                </c:pt>
                <c:pt idx="21">
                  <c:v>1.52E-2</c:v>
                </c:pt>
                <c:pt idx="22">
                  <c:v>1.9099999999999999E-2</c:v>
                </c:pt>
                <c:pt idx="23">
                  <c:v>2.2800000000000001E-2</c:v>
                </c:pt>
                <c:pt idx="24">
                  <c:v>2.5899999999999999E-2</c:v>
                </c:pt>
                <c:pt idx="25">
                  <c:v>2.81E-2</c:v>
                </c:pt>
                <c:pt idx="26">
                  <c:v>2.9499999999999998E-2</c:v>
                </c:pt>
                <c:pt idx="27">
                  <c:v>3.0300000000000001E-2</c:v>
                </c:pt>
                <c:pt idx="28">
                  <c:v>3.04E-2</c:v>
                </c:pt>
                <c:pt idx="29">
                  <c:v>2.9899999999999999E-2</c:v>
                </c:pt>
                <c:pt idx="30">
                  <c:v>2.86E-2</c:v>
                </c:pt>
                <c:pt idx="31">
                  <c:v>2.6700000000000002E-2</c:v>
                </c:pt>
                <c:pt idx="32">
                  <c:v>2.4500000000000001E-2</c:v>
                </c:pt>
                <c:pt idx="33">
                  <c:v>2.2800000000000001E-2</c:v>
                </c:pt>
                <c:pt idx="34">
                  <c:v>2.1499999999999998E-2</c:v>
                </c:pt>
                <c:pt idx="35">
                  <c:v>2.0899999999999998E-2</c:v>
                </c:pt>
                <c:pt idx="36">
                  <c:v>2.0899999999999998E-2</c:v>
                </c:pt>
                <c:pt idx="37">
                  <c:v>2.1399999999999999E-2</c:v>
                </c:pt>
                <c:pt idx="38">
                  <c:v>2.24E-2</c:v>
                </c:pt>
                <c:pt idx="39">
                  <c:v>2.3800000000000002E-2</c:v>
                </c:pt>
                <c:pt idx="40">
                  <c:v>2.5000000000000001E-2</c:v>
                </c:pt>
                <c:pt idx="41">
                  <c:v>2.5700000000000001E-2</c:v>
                </c:pt>
                <c:pt idx="42">
                  <c:v>2.6100000000000002E-2</c:v>
                </c:pt>
                <c:pt idx="43">
                  <c:v>2.64E-2</c:v>
                </c:pt>
                <c:pt idx="44">
                  <c:v>2.64E-2</c:v>
                </c:pt>
                <c:pt idx="45">
                  <c:v>2.6200000000000001E-2</c:v>
                </c:pt>
                <c:pt idx="46">
                  <c:v>2.5700000000000001E-2</c:v>
                </c:pt>
                <c:pt idx="47">
                  <c:v>2.4799999999999999E-2</c:v>
                </c:pt>
                <c:pt idx="48">
                  <c:v>2.35E-2</c:v>
                </c:pt>
                <c:pt idx="49">
                  <c:v>2.1899999999999999E-2</c:v>
                </c:pt>
                <c:pt idx="50">
                  <c:v>0.02</c:v>
                </c:pt>
                <c:pt idx="51">
                  <c:v>1.7999999999999999E-2</c:v>
                </c:pt>
                <c:pt idx="52">
                  <c:v>1.6199999999999999E-2</c:v>
                </c:pt>
                <c:pt idx="53">
                  <c:v>1.47E-2</c:v>
                </c:pt>
                <c:pt idx="54">
                  <c:v>1.3599999999999999E-2</c:v>
                </c:pt>
                <c:pt idx="55">
                  <c:v>1.3100000000000001E-2</c:v>
                </c:pt>
                <c:pt idx="56">
                  <c:v>1.32E-2</c:v>
                </c:pt>
                <c:pt idx="57">
                  <c:v>1.41E-2</c:v>
                </c:pt>
                <c:pt idx="58">
                  <c:v>1.5699999999999999E-2</c:v>
                </c:pt>
                <c:pt idx="59">
                  <c:v>1.7899999999999999E-2</c:v>
                </c:pt>
                <c:pt idx="60">
                  <c:v>2.01E-2</c:v>
                </c:pt>
                <c:pt idx="61">
                  <c:v>2.1899999999999999E-2</c:v>
                </c:pt>
                <c:pt idx="62">
                  <c:v>2.3099999999999999E-2</c:v>
                </c:pt>
                <c:pt idx="63">
                  <c:v>2.3300000000000001E-2</c:v>
                </c:pt>
                <c:pt idx="64">
                  <c:v>2.24E-2</c:v>
                </c:pt>
                <c:pt idx="65">
                  <c:v>2.0199999999999999E-2</c:v>
                </c:pt>
                <c:pt idx="66">
                  <c:v>1.7100000000000001E-2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56-4068-8E30-69FBFABF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204668"/>
        <c:axId val="418919980"/>
      </c:lineChart>
      <c:catAx>
        <c:axId val="1933204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8919980"/>
        <c:crosses val="autoZero"/>
        <c:auto val="1"/>
        <c:lblAlgn val="ctr"/>
        <c:lblOffset val="100"/>
        <c:noMultiLvlLbl val="1"/>
      </c:catAx>
      <c:valAx>
        <c:axId val="418919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32046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'Western Migoku'!$C$1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'Western Migoku'!$C$2:$C$67</c:f>
              <c:numCache>
                <c:formatCode>#,##0</c:formatCode>
                <c:ptCount val="66"/>
                <c:pt idx="0">
                  <c:v>2950736.8483975697</c:v>
                </c:pt>
                <c:pt idx="1">
                  <c:v>2889762.8522158163</c:v>
                </c:pt>
                <c:pt idx="2">
                  <c:v>2809140.5193115743</c:v>
                </c:pt>
                <c:pt idx="3">
                  <c:v>2704998.0927410442</c:v>
                </c:pt>
                <c:pt idx="4">
                  <c:v>2585545.8733904073</c:v>
                </c:pt>
                <c:pt idx="5">
                  <c:v>2474917.0799180698</c:v>
                </c:pt>
                <c:pt idx="6">
                  <c:v>2383624.2703631609</c:v>
                </c:pt>
                <c:pt idx="7">
                  <c:v>2303686.3538834066</c:v>
                </c:pt>
                <c:pt idx="8">
                  <c:v>2219351.015301933</c:v>
                </c:pt>
                <c:pt idx="9">
                  <c:v>2121953.3562500556</c:v>
                </c:pt>
                <c:pt idx="10">
                  <c:v>2019946.0792480302</c:v>
                </c:pt>
                <c:pt idx="11">
                  <c:v>1935926.8537933966</c:v>
                </c:pt>
                <c:pt idx="12">
                  <c:v>1876625.4883611831</c:v>
                </c:pt>
                <c:pt idx="13">
                  <c:v>1837127.2524338551</c:v>
                </c:pt>
                <c:pt idx="14">
                  <c:v>1810155.9290904081</c:v>
                </c:pt>
                <c:pt idx="15">
                  <c:v>1791878.7656804675</c:v>
                </c:pt>
                <c:pt idx="16">
                  <c:v>1779599.5289308447</c:v>
                </c:pt>
                <c:pt idx="17">
                  <c:v>1769337.3721722458</c:v>
                </c:pt>
                <c:pt idx="18">
                  <c:v>1758085.6241775097</c:v>
                </c:pt>
                <c:pt idx="19">
                  <c:v>1743440.7221117709</c:v>
                </c:pt>
                <c:pt idx="20">
                  <c:v>1723789.5215659193</c:v>
                </c:pt>
                <c:pt idx="21">
                  <c:v>1697980.2221886516</c:v>
                </c:pt>
                <c:pt idx="22">
                  <c:v>1666156.6305452378</c:v>
                </c:pt>
                <c:pt idx="23">
                  <c:v>1629015.0865714098</c:v>
                </c:pt>
                <c:pt idx="24">
                  <c:v>1587888.7674933325</c:v>
                </c:pt>
                <c:pt idx="25">
                  <c:v>1544488.6367992728</c:v>
                </c:pt>
                <c:pt idx="26">
                  <c:v>1500231.7987365446</c:v>
                </c:pt>
                <c:pt idx="27">
                  <c:v>1456111.6167490485</c:v>
                </c:pt>
                <c:pt idx="28">
                  <c:v>1413151.8019691852</c:v>
                </c:pt>
                <c:pt idx="29">
                  <c:v>1372125.2567911304</c:v>
                </c:pt>
                <c:pt idx="30">
                  <c:v>1333973.6115021685</c:v>
                </c:pt>
                <c:pt idx="31">
                  <c:v>1299282.761763094</c:v>
                </c:pt>
                <c:pt idx="32">
                  <c:v>1268211.5780996527</c:v>
                </c:pt>
                <c:pt idx="33">
                  <c:v>1239940.9250094376</c:v>
                </c:pt>
                <c:pt idx="34">
                  <c:v>1213843.2941844715</c:v>
                </c:pt>
                <c:pt idx="35">
                  <c:v>1188993.3335140285</c:v>
                </c:pt>
                <c:pt idx="36">
                  <c:v>1164652.1045293647</c:v>
                </c:pt>
                <c:pt idx="37">
                  <c:v>1140250.7387207409</c:v>
                </c:pt>
                <c:pt idx="38">
                  <c:v>1115268.7194060455</c:v>
                </c:pt>
                <c:pt idx="39">
                  <c:v>1089342.3709767978</c:v>
                </c:pt>
                <c:pt idx="40">
                  <c:v>1062773.0448554126</c:v>
                </c:pt>
                <c:pt idx="41">
                  <c:v>1036144.1404459515</c:v>
                </c:pt>
                <c:pt idx="42">
                  <c:v>1009788.656511014</c:v>
                </c:pt>
                <c:pt idx="43">
                  <c:v>983815.91632016178</c:v>
                </c:pt>
                <c:pt idx="44">
                  <c:v>958511.22010927694</c:v>
                </c:pt>
                <c:pt idx="45">
                  <c:v>934039.38814000867</c:v>
                </c:pt>
                <c:pt idx="46">
                  <c:v>910636.04186410119</c:v>
                </c:pt>
                <c:pt idx="47">
                  <c:v>888598.79182679672</c:v>
                </c:pt>
                <c:pt idx="48">
                  <c:v>868196.18156013347</c:v>
                </c:pt>
                <c:pt idx="49">
                  <c:v>849590.15711922245</c:v>
                </c:pt>
                <c:pt idx="50">
                  <c:v>832931.526587473</c:v>
                </c:pt>
                <c:pt idx="51">
                  <c:v>818203.85715861782</c:v>
                </c:pt>
                <c:pt idx="52">
                  <c:v>805160.26093152713</c:v>
                </c:pt>
                <c:pt idx="53">
                  <c:v>793495.87161873176</c:v>
                </c:pt>
                <c:pt idx="54">
                  <c:v>782849.12353860668</c:v>
                </c:pt>
                <c:pt idx="55">
                  <c:v>772726.40759905893</c:v>
                </c:pt>
                <c:pt idx="56">
                  <c:v>762659.30477601546</c:v>
                </c:pt>
                <c:pt idx="57">
                  <c:v>752055.32469777681</c:v>
                </c:pt>
                <c:pt idx="58">
                  <c:v>740430.56482994661</c:v>
                </c:pt>
                <c:pt idx="59">
                  <c:v>727409.92713424366</c:v>
                </c:pt>
                <c:pt idx="60">
                  <c:v>713077.07786907523</c:v>
                </c:pt>
                <c:pt idx="61">
                  <c:v>697795.35949611035</c:v>
                </c:pt>
                <c:pt idx="62">
                  <c:v>682040.23017897608</c:v>
                </c:pt>
                <c:pt idx="63">
                  <c:v>666510.53472</c:v>
                </c:pt>
                <c:pt idx="64">
                  <c:v>651907.80000000005</c:v>
                </c:pt>
                <c:pt idx="65">
                  <c:v>639000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6-4A32-B279-6D778AFD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620553"/>
        <c:axId val="316148298"/>
      </c:lineChart>
      <c:catAx>
        <c:axId val="266620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6148298"/>
        <c:crosses val="autoZero"/>
        <c:auto val="1"/>
        <c:lblAlgn val="ctr"/>
        <c:lblOffset val="100"/>
        <c:noMultiLvlLbl val="1"/>
      </c:catAx>
      <c:valAx>
        <c:axId val="316148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66205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Wundry!$D$1:$D$67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2.1100000000000001E-2</c:v>
                </c:pt>
                <c:pt idx="2">
                  <c:v>2.12E-2</c:v>
                </c:pt>
                <c:pt idx="3">
                  <c:v>2.1100000000000001E-2</c:v>
                </c:pt>
                <c:pt idx="4">
                  <c:v>2.12E-2</c:v>
                </c:pt>
                <c:pt idx="5">
                  <c:v>2.2100000000000002E-2</c:v>
                </c:pt>
                <c:pt idx="6">
                  <c:v>2.3800000000000002E-2</c:v>
                </c:pt>
                <c:pt idx="7">
                  <c:v>2.5899999999999999E-2</c:v>
                </c:pt>
                <c:pt idx="8">
                  <c:v>2.7799999999999998E-2</c:v>
                </c:pt>
                <c:pt idx="9">
                  <c:v>2.9000000000000001E-2</c:v>
                </c:pt>
                <c:pt idx="10">
                  <c:v>2.9399999999999999E-2</c:v>
                </c:pt>
                <c:pt idx="11">
                  <c:v>2.92E-2</c:v>
                </c:pt>
                <c:pt idx="12">
                  <c:v>2.87E-2</c:v>
                </c:pt>
                <c:pt idx="13">
                  <c:v>2.8400000000000002E-2</c:v>
                </c:pt>
                <c:pt idx="14">
                  <c:v>2.8400000000000002E-2</c:v>
                </c:pt>
                <c:pt idx="15">
                  <c:v>2.8400000000000002E-2</c:v>
                </c:pt>
                <c:pt idx="16">
                  <c:v>2.8299999999999999E-2</c:v>
                </c:pt>
                <c:pt idx="17">
                  <c:v>2.8199999999999999E-2</c:v>
                </c:pt>
                <c:pt idx="18">
                  <c:v>2.8400000000000002E-2</c:v>
                </c:pt>
                <c:pt idx="19">
                  <c:v>2.8899999999999999E-2</c:v>
                </c:pt>
                <c:pt idx="20">
                  <c:v>2.9499999999999998E-2</c:v>
                </c:pt>
                <c:pt idx="21">
                  <c:v>3.0200000000000001E-2</c:v>
                </c:pt>
                <c:pt idx="22">
                  <c:v>3.09E-2</c:v>
                </c:pt>
                <c:pt idx="23">
                  <c:v>3.15E-2</c:v>
                </c:pt>
                <c:pt idx="24">
                  <c:v>3.2099999999999997E-2</c:v>
                </c:pt>
                <c:pt idx="25">
                  <c:v>3.2399999999999998E-2</c:v>
                </c:pt>
                <c:pt idx="26">
                  <c:v>3.2599999999999997E-2</c:v>
                </c:pt>
                <c:pt idx="27">
                  <c:v>3.2599999999999997E-2</c:v>
                </c:pt>
                <c:pt idx="28">
                  <c:v>3.2599999999999997E-2</c:v>
                </c:pt>
                <c:pt idx="29">
                  <c:v>3.2599999999999997E-2</c:v>
                </c:pt>
                <c:pt idx="30">
                  <c:v>3.2500000000000001E-2</c:v>
                </c:pt>
                <c:pt idx="31">
                  <c:v>3.2399999999999998E-2</c:v>
                </c:pt>
                <c:pt idx="32">
                  <c:v>3.2000000000000001E-2</c:v>
                </c:pt>
                <c:pt idx="33">
                  <c:v>3.1199999999999999E-2</c:v>
                </c:pt>
                <c:pt idx="34">
                  <c:v>3.0300000000000001E-2</c:v>
                </c:pt>
                <c:pt idx="35">
                  <c:v>2.9399999999999999E-2</c:v>
                </c:pt>
                <c:pt idx="36">
                  <c:v>2.87E-2</c:v>
                </c:pt>
                <c:pt idx="37">
                  <c:v>2.81E-2</c:v>
                </c:pt>
                <c:pt idx="38">
                  <c:v>2.76E-2</c:v>
                </c:pt>
                <c:pt idx="39">
                  <c:v>2.7099999999999999E-2</c:v>
                </c:pt>
                <c:pt idx="40">
                  <c:v>2.6700000000000002E-2</c:v>
                </c:pt>
                <c:pt idx="41">
                  <c:v>2.64E-2</c:v>
                </c:pt>
                <c:pt idx="42">
                  <c:v>2.63E-2</c:v>
                </c:pt>
                <c:pt idx="43">
                  <c:v>2.63E-2</c:v>
                </c:pt>
                <c:pt idx="44">
                  <c:v>2.63E-2</c:v>
                </c:pt>
                <c:pt idx="45">
                  <c:v>2.6200000000000001E-2</c:v>
                </c:pt>
                <c:pt idx="46">
                  <c:v>2.5899999999999999E-2</c:v>
                </c:pt>
                <c:pt idx="47">
                  <c:v>2.53E-2</c:v>
                </c:pt>
                <c:pt idx="48">
                  <c:v>2.4500000000000001E-2</c:v>
                </c:pt>
                <c:pt idx="49">
                  <c:v>2.3400000000000001E-2</c:v>
                </c:pt>
                <c:pt idx="50">
                  <c:v>2.2200000000000001E-2</c:v>
                </c:pt>
                <c:pt idx="51">
                  <c:v>2.12E-2</c:v>
                </c:pt>
                <c:pt idx="52">
                  <c:v>2.0500000000000001E-2</c:v>
                </c:pt>
                <c:pt idx="53">
                  <c:v>2.01E-2</c:v>
                </c:pt>
                <c:pt idx="54">
                  <c:v>1.9699999999999999E-2</c:v>
                </c:pt>
                <c:pt idx="55">
                  <c:v>1.9199999999999998E-2</c:v>
                </c:pt>
                <c:pt idx="56">
                  <c:v>1.8499999999999999E-2</c:v>
                </c:pt>
                <c:pt idx="57">
                  <c:v>1.7600000000000001E-2</c:v>
                </c:pt>
                <c:pt idx="58">
                  <c:v>1.67E-2</c:v>
                </c:pt>
                <c:pt idx="59">
                  <c:v>1.5900000000000001E-2</c:v>
                </c:pt>
                <c:pt idx="60">
                  <c:v>1.52E-2</c:v>
                </c:pt>
                <c:pt idx="61">
                  <c:v>1.47E-2</c:v>
                </c:pt>
                <c:pt idx="62">
                  <c:v>1.4500000000000001E-2</c:v>
                </c:pt>
                <c:pt idx="63">
                  <c:v>1.46E-2</c:v>
                </c:pt>
                <c:pt idx="64">
                  <c:v>1.4999999999999999E-2</c:v>
                </c:pt>
                <c:pt idx="65">
                  <c:v>1.5599999999999999E-2</c:v>
                </c:pt>
                <c:pt idx="66">
                  <c:v>1.6199999999999999E-2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F8-4BBC-8340-875B38E8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786305"/>
        <c:axId val="803297980"/>
      </c:lineChart>
      <c:catAx>
        <c:axId val="2072786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3297980"/>
        <c:crosses val="autoZero"/>
        <c:auto val="1"/>
        <c:lblAlgn val="ctr"/>
        <c:lblOffset val="100"/>
        <c:noMultiLvlLbl val="1"/>
      </c:catAx>
      <c:valAx>
        <c:axId val="803297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27863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Wundry!$C$1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Wundry!$C$2:$C$67</c:f>
              <c:numCache>
                <c:formatCode>#,##0</c:formatCode>
                <c:ptCount val="66"/>
                <c:pt idx="0">
                  <c:v>140078910.17877722</c:v>
                </c:pt>
                <c:pt idx="1">
                  <c:v>137184321.00555992</c:v>
                </c:pt>
                <c:pt idx="2">
                  <c:v>134336389.54716012</c:v>
                </c:pt>
                <c:pt idx="3">
                  <c:v>131560463.76178645</c:v>
                </c:pt>
                <c:pt idx="4">
                  <c:v>128829282.96297143</c:v>
                </c:pt>
                <c:pt idx="5">
                  <c:v>126043716.82122242</c:v>
                </c:pt>
                <c:pt idx="6">
                  <c:v>123113612.835732</c:v>
                </c:pt>
                <c:pt idx="7">
                  <c:v>120005471.13337752</c:v>
                </c:pt>
                <c:pt idx="8">
                  <c:v>116759555.49073508</c:v>
                </c:pt>
                <c:pt idx="9">
                  <c:v>113468955.77330913</c:v>
                </c:pt>
                <c:pt idx="10">
                  <c:v>110228245.35973297</c:v>
                </c:pt>
                <c:pt idx="11">
                  <c:v>107100899.10584238</c:v>
                </c:pt>
                <c:pt idx="12">
                  <c:v>104112860.02317721</c:v>
                </c:pt>
                <c:pt idx="13">
                  <c:v>101237709.08515871</c:v>
                </c:pt>
                <c:pt idx="14">
                  <c:v>98441957.492375255</c:v>
                </c:pt>
                <c:pt idx="15">
                  <c:v>95723412.575238481</c:v>
                </c:pt>
                <c:pt idx="16">
                  <c:v>93088994.043798968</c:v>
                </c:pt>
                <c:pt idx="17">
                  <c:v>90535882.166698083</c:v>
                </c:pt>
                <c:pt idx="18">
                  <c:v>88035669.162483558</c:v>
                </c:pt>
                <c:pt idx="19">
                  <c:v>85562901.314494669</c:v>
                </c:pt>
                <c:pt idx="20">
                  <c:v>83111123.180665046</c:v>
                </c:pt>
                <c:pt idx="21">
                  <c:v>80674745.8558193</c:v>
                </c:pt>
                <c:pt idx="22">
                  <c:v>78256616.408787757</c:v>
                </c:pt>
                <c:pt idx="23">
                  <c:v>75866811.835955158</c:v>
                </c:pt>
                <c:pt idx="24">
                  <c:v>73507229.760638654</c:v>
                </c:pt>
                <c:pt idx="25">
                  <c:v>71200338.784035891</c:v>
                </c:pt>
                <c:pt idx="26">
                  <c:v>68952487.685488954</c:v>
                </c:pt>
                <c:pt idx="27">
                  <c:v>66775603.026814789</c:v>
                </c:pt>
                <c:pt idx="28">
                  <c:v>64667444.341288775</c:v>
                </c:pt>
                <c:pt idx="29">
                  <c:v>62625841.895495623</c:v>
                </c:pt>
                <c:pt idx="30">
                  <c:v>60654568.42178753</c:v>
                </c:pt>
                <c:pt idx="31">
                  <c:v>58751034.891309112</c:v>
                </c:pt>
                <c:pt idx="32">
                  <c:v>56929297.375299528</c:v>
                </c:pt>
                <c:pt idx="33">
                  <c:v>55206843.847264871</c:v>
                </c:pt>
                <c:pt idx="34">
                  <c:v>53583270.74372986</c:v>
                </c:pt>
                <c:pt idx="35">
                  <c:v>52052915.041509479</c:v>
                </c:pt>
                <c:pt idx="36">
                  <c:v>50600675.650344595</c:v>
                </c:pt>
                <c:pt idx="37">
                  <c:v>49217659.420625031</c:v>
                </c:pt>
                <c:pt idx="38">
                  <c:v>47895737.077291772</c:v>
                </c:pt>
                <c:pt idx="39">
                  <c:v>46632009.616679758</c:v>
                </c:pt>
                <c:pt idx="40">
                  <c:v>45419313.934625268</c:v>
                </c:pt>
                <c:pt idx="41">
                  <c:v>44251085.283150107</c:v>
                </c:pt>
                <c:pt idx="42">
                  <c:v>43117105.410844885</c:v>
                </c:pt>
                <c:pt idx="43">
                  <c:v>42012184.946745478</c:v>
                </c:pt>
                <c:pt idx="44">
                  <c:v>40935579.213432208</c:v>
                </c:pt>
                <c:pt idx="45">
                  <c:v>39890449.438152611</c:v>
                </c:pt>
                <c:pt idx="46">
                  <c:v>38883370.15123561</c:v>
                </c:pt>
                <c:pt idx="47">
                  <c:v>37923895.592739299</c:v>
                </c:pt>
                <c:pt idx="48">
                  <c:v>37016979.592717715</c:v>
                </c:pt>
                <c:pt idx="49">
                  <c:v>36170587.837324321</c:v>
                </c:pt>
                <c:pt idx="50">
                  <c:v>35385039.950424887</c:v>
                </c:pt>
                <c:pt idx="51">
                  <c:v>34650450.401904508</c:v>
                </c:pt>
                <c:pt idx="52">
                  <c:v>33954385.499171495</c:v>
                </c:pt>
                <c:pt idx="53">
                  <c:v>33285349.96487746</c:v>
                </c:pt>
                <c:pt idx="54">
                  <c:v>32642296.719503246</c:v>
                </c:pt>
                <c:pt idx="55">
                  <c:v>32027371.192605224</c:v>
                </c:pt>
                <c:pt idx="56">
                  <c:v>31445627.091414064</c:v>
                </c:pt>
                <c:pt idx="57">
                  <c:v>30901756.182600297</c:v>
                </c:pt>
                <c:pt idx="58">
                  <c:v>30394173.485394217</c:v>
                </c:pt>
                <c:pt idx="59">
                  <c:v>29918469.815330461</c:v>
                </c:pt>
                <c:pt idx="60">
                  <c:v>29470517.942602895</c:v>
                </c:pt>
                <c:pt idx="61">
                  <c:v>29043577.355477378</c:v>
                </c:pt>
                <c:pt idx="62">
                  <c:v>28628464.618508998</c:v>
                </c:pt>
                <c:pt idx="63">
                  <c:v>28216503.664999999</c:v>
                </c:pt>
                <c:pt idx="64">
                  <c:v>27799511</c:v>
                </c:pt>
                <c:pt idx="65">
                  <c:v>27372500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0-4794-9A80-D49B2D2BD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4376"/>
        <c:axId val="1597310548"/>
      </c:lineChart>
      <c:catAx>
        <c:axId val="226294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7310548"/>
        <c:crosses val="autoZero"/>
        <c:auto val="1"/>
        <c:lblAlgn val="ctr"/>
        <c:lblOffset val="100"/>
        <c:noMultiLvlLbl val="1"/>
      </c:catAx>
      <c:valAx>
        <c:axId val="1597310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62943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Yaxuto!$D$1:$D$67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5.0000000000000001E-3</c:v>
                </c:pt>
                <c:pt idx="2">
                  <c:v>5.4000000000000003E-3</c:v>
                </c:pt>
                <c:pt idx="3">
                  <c:v>5.8999999999999999E-3</c:v>
                </c:pt>
                <c:pt idx="4">
                  <c:v>5.3E-3</c:v>
                </c:pt>
                <c:pt idx="5">
                  <c:v>6.3E-3</c:v>
                </c:pt>
                <c:pt idx="6">
                  <c:v>5.7000000000000002E-3</c:v>
                </c:pt>
                <c:pt idx="7">
                  <c:v>4.7999999999999996E-3</c:v>
                </c:pt>
                <c:pt idx="8">
                  <c:v>4.0000000000000001E-3</c:v>
                </c:pt>
                <c:pt idx="9">
                  <c:v>1.1999999999999999E-3</c:v>
                </c:pt>
                <c:pt idx="10">
                  <c:v>-1E-3</c:v>
                </c:pt>
                <c:pt idx="11">
                  <c:v>-2.0999999999999999E-3</c:v>
                </c:pt>
                <c:pt idx="12">
                  <c:v>-3.8E-3</c:v>
                </c:pt>
                <c:pt idx="13">
                  <c:v>-5.8999999999999999E-3</c:v>
                </c:pt>
                <c:pt idx="14">
                  <c:v>-8.3999999999999995E-3</c:v>
                </c:pt>
                <c:pt idx="15">
                  <c:v>-1.0200000000000001E-2</c:v>
                </c:pt>
                <c:pt idx="16">
                  <c:v>-9.7999999999999997E-3</c:v>
                </c:pt>
                <c:pt idx="17">
                  <c:v>-1.0699999999999999E-2</c:v>
                </c:pt>
                <c:pt idx="18">
                  <c:v>-1.21E-2</c:v>
                </c:pt>
                <c:pt idx="19">
                  <c:v>-1.2999999999999999E-2</c:v>
                </c:pt>
                <c:pt idx="20">
                  <c:v>-1.4500000000000001E-2</c:v>
                </c:pt>
                <c:pt idx="21">
                  <c:v>-1.26E-2</c:v>
                </c:pt>
                <c:pt idx="22">
                  <c:v>-1.0699999999999999E-2</c:v>
                </c:pt>
                <c:pt idx="23">
                  <c:v>-2.8E-3</c:v>
                </c:pt>
                <c:pt idx="24">
                  <c:v>-2.9999999999999997E-4</c:v>
                </c:pt>
                <c:pt idx="25">
                  <c:v>2E-3</c:v>
                </c:pt>
                <c:pt idx="26">
                  <c:v>3.3E-3</c:v>
                </c:pt>
                <c:pt idx="27">
                  <c:v>4.1000000000000003E-3</c:v>
                </c:pt>
                <c:pt idx="28">
                  <c:v>4.4000000000000003E-3</c:v>
                </c:pt>
                <c:pt idx="29">
                  <c:v>5.7000000000000002E-3</c:v>
                </c:pt>
                <c:pt idx="30">
                  <c:v>6.8999999999999999E-3</c:v>
                </c:pt>
                <c:pt idx="31">
                  <c:v>7.7999999999999996E-3</c:v>
                </c:pt>
                <c:pt idx="32">
                  <c:v>8.3999999999999995E-3</c:v>
                </c:pt>
                <c:pt idx="33">
                  <c:v>8.9999999999999993E-3</c:v>
                </c:pt>
                <c:pt idx="34">
                  <c:v>9.4000000000000004E-3</c:v>
                </c:pt>
                <c:pt idx="35">
                  <c:v>9.4999999999999998E-3</c:v>
                </c:pt>
                <c:pt idx="36">
                  <c:v>9.7000000000000003E-3</c:v>
                </c:pt>
                <c:pt idx="37">
                  <c:v>1.03E-2</c:v>
                </c:pt>
                <c:pt idx="38">
                  <c:v>1.11E-2</c:v>
                </c:pt>
                <c:pt idx="39">
                  <c:v>1.15E-2</c:v>
                </c:pt>
                <c:pt idx="40">
                  <c:v>1.1299999999999999E-2</c:v>
                </c:pt>
                <c:pt idx="41">
                  <c:v>1.0200000000000001E-2</c:v>
                </c:pt>
                <c:pt idx="42">
                  <c:v>8.3999999999999995E-3</c:v>
                </c:pt>
                <c:pt idx="43">
                  <c:v>8.6999999999999994E-3</c:v>
                </c:pt>
                <c:pt idx="44">
                  <c:v>9.7999999999999997E-3</c:v>
                </c:pt>
                <c:pt idx="45">
                  <c:v>1.09E-2</c:v>
                </c:pt>
                <c:pt idx="46">
                  <c:v>1.14E-2</c:v>
                </c:pt>
                <c:pt idx="47">
                  <c:v>1.23E-2</c:v>
                </c:pt>
                <c:pt idx="48">
                  <c:v>1.34E-2</c:v>
                </c:pt>
                <c:pt idx="49">
                  <c:v>1.47E-2</c:v>
                </c:pt>
                <c:pt idx="50">
                  <c:v>1.61E-2</c:v>
                </c:pt>
                <c:pt idx="51">
                  <c:v>1.7399999999999999E-2</c:v>
                </c:pt>
                <c:pt idx="52">
                  <c:v>1.84E-2</c:v>
                </c:pt>
                <c:pt idx="53">
                  <c:v>1.8100000000000002E-2</c:v>
                </c:pt>
                <c:pt idx="54">
                  <c:v>1.6299999999999999E-2</c:v>
                </c:pt>
                <c:pt idx="55">
                  <c:v>1.3299999999999999E-2</c:v>
                </c:pt>
                <c:pt idx="56">
                  <c:v>1.0200000000000001E-2</c:v>
                </c:pt>
                <c:pt idx="57">
                  <c:v>8.5000000000000006E-3</c:v>
                </c:pt>
                <c:pt idx="58">
                  <c:v>8.5000000000000006E-3</c:v>
                </c:pt>
                <c:pt idx="59">
                  <c:v>9.7000000000000003E-3</c:v>
                </c:pt>
                <c:pt idx="60">
                  <c:v>1.1599999999999999E-2</c:v>
                </c:pt>
                <c:pt idx="61">
                  <c:v>1.35E-2</c:v>
                </c:pt>
                <c:pt idx="62">
                  <c:v>1.47E-2</c:v>
                </c:pt>
                <c:pt idx="63">
                  <c:v>1.52E-2</c:v>
                </c:pt>
                <c:pt idx="64">
                  <c:v>1.5599999999999999E-2</c:v>
                </c:pt>
                <c:pt idx="65">
                  <c:v>1.5100000000000001E-2</c:v>
                </c:pt>
                <c:pt idx="66">
                  <c:v>1.35E-2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AE-4513-82CB-230C1A9D9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961659"/>
        <c:axId val="1661901029"/>
      </c:lineChart>
      <c:catAx>
        <c:axId val="111696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1901029"/>
        <c:crosses val="autoZero"/>
        <c:auto val="1"/>
        <c:lblAlgn val="ctr"/>
        <c:lblOffset val="100"/>
        <c:noMultiLvlLbl val="1"/>
      </c:catAx>
      <c:valAx>
        <c:axId val="1661901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169616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Yaxuto!$C$1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Yaxuto!$C$2:$C$67</c:f>
              <c:numCache>
                <c:formatCode>#,##0</c:formatCode>
                <c:ptCount val="66"/>
                <c:pt idx="0">
                  <c:v>18401603.813197922</c:v>
                </c:pt>
                <c:pt idx="1">
                  <c:v>18310053.545470569</c:v>
                </c:pt>
                <c:pt idx="2">
                  <c:v>18211710.30979766</c:v>
                </c:pt>
                <c:pt idx="3">
                  <c:v>18104891.450241234</c:v>
                </c:pt>
                <c:pt idx="4">
                  <c:v>18009441.410764184</c:v>
                </c:pt>
                <c:pt idx="5">
                  <c:v>17896692.249591757</c:v>
                </c:pt>
                <c:pt idx="6">
                  <c:v>17795259.271742821</c:v>
                </c:pt>
                <c:pt idx="7">
                  <c:v>17710250.071400102</c:v>
                </c:pt>
                <c:pt idx="8">
                  <c:v>17639691.3061754</c:v>
                </c:pt>
                <c:pt idx="9">
                  <c:v>17618549.047318615</c:v>
                </c:pt>
                <c:pt idx="10">
                  <c:v>17636185.232551165</c:v>
                </c:pt>
                <c:pt idx="11">
                  <c:v>17673299.160788823</c:v>
                </c:pt>
                <c:pt idx="12">
                  <c:v>17740713.873508155</c:v>
                </c:pt>
                <c:pt idx="13">
                  <c:v>17846005.304806516</c:v>
                </c:pt>
                <c:pt idx="14">
                  <c:v>17997181.630502738</c:v>
                </c:pt>
                <c:pt idx="15">
                  <c:v>18182644.605478618</c:v>
                </c:pt>
                <c:pt idx="16">
                  <c:v>18362598.066530619</c:v>
                </c:pt>
                <c:pt idx="17">
                  <c:v>18561202.937966865</c:v>
                </c:pt>
                <c:pt idx="18">
                  <c:v>18788544.324290782</c:v>
                </c:pt>
                <c:pt idx="19">
                  <c:v>19036012.486616801</c:v>
                </c:pt>
                <c:pt idx="20">
                  <c:v>19316095.87683085</c:v>
                </c:pt>
                <c:pt idx="21">
                  <c:v>19562584.440784737</c:v>
                </c:pt>
                <c:pt idx="22">
                  <c:v>19774168.038799897</c:v>
                </c:pt>
                <c:pt idx="23">
                  <c:v>19829691.174087342</c:v>
                </c:pt>
                <c:pt idx="24">
                  <c:v>19835641.866647337</c:v>
                </c:pt>
                <c:pt idx="25">
                  <c:v>19796049.767113112</c:v>
                </c:pt>
                <c:pt idx="26">
                  <c:v>19730937.672792893</c:v>
                </c:pt>
                <c:pt idx="27">
                  <c:v>19650371.151073493</c:v>
                </c:pt>
                <c:pt idx="28">
                  <c:v>19564288.282629922</c:v>
                </c:pt>
                <c:pt idx="29">
                  <c:v>19453403.880511008</c:v>
                </c:pt>
                <c:pt idx="30">
                  <c:v>19320095.223469075</c:v>
                </c:pt>
                <c:pt idx="31">
                  <c:v>19170564.817889538</c:v>
                </c:pt>
                <c:pt idx="32">
                  <c:v>19010873.48065206</c:v>
                </c:pt>
                <c:pt idx="33">
                  <c:v>18841301.764769141</c:v>
                </c:pt>
                <c:pt idx="34">
                  <c:v>18665842.842053834</c:v>
                </c:pt>
                <c:pt idx="35">
                  <c:v>18490186.074347533</c:v>
                </c:pt>
                <c:pt idx="36">
                  <c:v>18312554.297660228</c:v>
                </c:pt>
                <c:pt idx="37">
                  <c:v>18125857.960665375</c:v>
                </c:pt>
                <c:pt idx="38">
                  <c:v>17926869.706918579</c:v>
                </c:pt>
                <c:pt idx="39">
                  <c:v>17723054.579257119</c:v>
                </c:pt>
                <c:pt idx="40">
                  <c:v>17525021.832549311</c:v>
                </c:pt>
                <c:pt idx="41">
                  <c:v>17348071.503216501</c:v>
                </c:pt>
                <c:pt idx="42">
                  <c:v>17203561.585894983</c:v>
                </c:pt>
                <c:pt idx="43">
                  <c:v>17055181.506785948</c:v>
                </c:pt>
                <c:pt idx="44">
                  <c:v>16889662.811235838</c:v>
                </c:pt>
                <c:pt idx="45">
                  <c:v>16707550.510669542</c:v>
                </c:pt>
                <c:pt idx="46">
                  <c:v>16519231.274144296</c:v>
                </c:pt>
                <c:pt idx="47">
                  <c:v>16318513.557388419</c:v>
                </c:pt>
                <c:pt idx="48">
                  <c:v>16102736.883154152</c:v>
                </c:pt>
                <c:pt idx="49">
                  <c:v>15869455.881693263</c:v>
                </c:pt>
                <c:pt idx="50">
                  <c:v>15618005.985329458</c:v>
                </c:pt>
                <c:pt idx="51">
                  <c:v>15350900.319765536</c:v>
                </c:pt>
                <c:pt idx="52">
                  <c:v>15073547.053972444</c:v>
                </c:pt>
                <c:pt idx="53">
                  <c:v>14805566.303872354</c:v>
                </c:pt>
                <c:pt idx="54">
                  <c:v>14568106.173248406</c:v>
                </c:pt>
                <c:pt idx="55">
                  <c:v>14376893.489833618</c:v>
                </c:pt>
                <c:pt idx="56">
                  <c:v>14231729.845410431</c:v>
                </c:pt>
                <c:pt idx="57">
                  <c:v>14111779.717809055</c:v>
                </c:pt>
                <c:pt idx="58">
                  <c:v>13992840.572939074</c:v>
                </c:pt>
                <c:pt idx="59">
                  <c:v>13858413.957550829</c:v>
                </c:pt>
                <c:pt idx="60">
                  <c:v>13699499.76033099</c:v>
                </c:pt>
                <c:pt idx="61">
                  <c:v>13517019.990459781</c:v>
                </c:pt>
                <c:pt idx="62">
                  <c:v>13321198.374356737</c:v>
                </c:pt>
                <c:pt idx="63">
                  <c:v>13121747.80768</c:v>
                </c:pt>
                <c:pt idx="64">
                  <c:v>12920192.799999999</c:v>
                </c:pt>
                <c:pt idx="65">
                  <c:v>12728000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A-4487-892A-2DD134077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59384"/>
        <c:axId val="30595252"/>
      </c:lineChart>
      <c:catAx>
        <c:axId val="9735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595252"/>
        <c:crosses val="autoZero"/>
        <c:auto val="1"/>
        <c:lblAlgn val="ctr"/>
        <c:lblOffset val="100"/>
        <c:noMultiLvlLbl val="1"/>
      </c:catAx>
      <c:valAx>
        <c:axId val="30595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3593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Yihnurda!$D$1:$D$67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-1.1999999999999999E-3</c:v>
                </c:pt>
                <c:pt idx="2">
                  <c:v>1.14E-2</c:v>
                </c:pt>
                <c:pt idx="3">
                  <c:v>1.55E-2</c:v>
                </c:pt>
                <c:pt idx="4">
                  <c:v>1.23E-2</c:v>
                </c:pt>
                <c:pt idx="5">
                  <c:v>1.21E-2</c:v>
                </c:pt>
                <c:pt idx="6">
                  <c:v>1.2E-2</c:v>
                </c:pt>
                <c:pt idx="7">
                  <c:v>1.3599999999999999E-2</c:v>
                </c:pt>
                <c:pt idx="8">
                  <c:v>1.4200000000000001E-2</c:v>
                </c:pt>
                <c:pt idx="9">
                  <c:v>1.46E-2</c:v>
                </c:pt>
                <c:pt idx="10">
                  <c:v>1.4999999999999999E-2</c:v>
                </c:pt>
                <c:pt idx="11">
                  <c:v>1.5299999999999999E-2</c:v>
                </c:pt>
                <c:pt idx="12">
                  <c:v>1.5599999999999999E-2</c:v>
                </c:pt>
                <c:pt idx="13">
                  <c:v>1.54E-2</c:v>
                </c:pt>
                <c:pt idx="14">
                  <c:v>1.47E-2</c:v>
                </c:pt>
                <c:pt idx="15">
                  <c:v>1.43E-2</c:v>
                </c:pt>
                <c:pt idx="16">
                  <c:v>1.43E-2</c:v>
                </c:pt>
                <c:pt idx="17">
                  <c:v>1.5599999999999999E-2</c:v>
                </c:pt>
                <c:pt idx="18">
                  <c:v>1.7399999999999999E-2</c:v>
                </c:pt>
                <c:pt idx="19">
                  <c:v>1.89E-2</c:v>
                </c:pt>
                <c:pt idx="20">
                  <c:v>1.95E-2</c:v>
                </c:pt>
                <c:pt idx="21">
                  <c:v>1.9599999999999999E-2</c:v>
                </c:pt>
                <c:pt idx="22">
                  <c:v>2.0299999999999999E-2</c:v>
                </c:pt>
                <c:pt idx="23">
                  <c:v>2.1499999999999998E-2</c:v>
                </c:pt>
                <c:pt idx="24">
                  <c:v>2.24E-2</c:v>
                </c:pt>
                <c:pt idx="25">
                  <c:v>2.2700000000000001E-2</c:v>
                </c:pt>
                <c:pt idx="26">
                  <c:v>2.2200000000000001E-2</c:v>
                </c:pt>
                <c:pt idx="27">
                  <c:v>2.1700000000000001E-2</c:v>
                </c:pt>
                <c:pt idx="28">
                  <c:v>2.1499999999999998E-2</c:v>
                </c:pt>
                <c:pt idx="29">
                  <c:v>2.1999999999999999E-2</c:v>
                </c:pt>
                <c:pt idx="30">
                  <c:v>2.29E-2</c:v>
                </c:pt>
                <c:pt idx="31">
                  <c:v>2.3800000000000002E-2</c:v>
                </c:pt>
                <c:pt idx="32">
                  <c:v>2.4500000000000001E-2</c:v>
                </c:pt>
                <c:pt idx="33">
                  <c:v>2.4899999999999999E-2</c:v>
                </c:pt>
                <c:pt idx="34">
                  <c:v>2.5000000000000001E-2</c:v>
                </c:pt>
                <c:pt idx="35">
                  <c:v>2.47E-2</c:v>
                </c:pt>
                <c:pt idx="36">
                  <c:v>2.41E-2</c:v>
                </c:pt>
                <c:pt idx="37">
                  <c:v>2.35E-2</c:v>
                </c:pt>
                <c:pt idx="38">
                  <c:v>2.2800000000000001E-2</c:v>
                </c:pt>
                <c:pt idx="39">
                  <c:v>2.2100000000000002E-2</c:v>
                </c:pt>
                <c:pt idx="40">
                  <c:v>2.1499999999999998E-2</c:v>
                </c:pt>
                <c:pt idx="41">
                  <c:v>2.1000000000000001E-2</c:v>
                </c:pt>
                <c:pt idx="42">
                  <c:v>2.06E-2</c:v>
                </c:pt>
                <c:pt idx="43">
                  <c:v>2.06E-2</c:v>
                </c:pt>
                <c:pt idx="44">
                  <c:v>2.12E-2</c:v>
                </c:pt>
                <c:pt idx="45">
                  <c:v>2.2200000000000001E-2</c:v>
                </c:pt>
                <c:pt idx="46">
                  <c:v>2.3400000000000001E-2</c:v>
                </c:pt>
                <c:pt idx="47">
                  <c:v>2.46E-2</c:v>
                </c:pt>
                <c:pt idx="48">
                  <c:v>2.5499999999999998E-2</c:v>
                </c:pt>
                <c:pt idx="49">
                  <c:v>2.5899999999999999E-2</c:v>
                </c:pt>
                <c:pt idx="50">
                  <c:v>2.58E-2</c:v>
                </c:pt>
                <c:pt idx="51">
                  <c:v>2.5000000000000001E-2</c:v>
                </c:pt>
                <c:pt idx="52">
                  <c:v>2.35E-2</c:v>
                </c:pt>
                <c:pt idx="53">
                  <c:v>2.1399999999999999E-2</c:v>
                </c:pt>
                <c:pt idx="54">
                  <c:v>1.8599999999999998E-2</c:v>
                </c:pt>
                <c:pt idx="55">
                  <c:v>1.52E-2</c:v>
                </c:pt>
                <c:pt idx="56">
                  <c:v>1.1299999999999999E-2</c:v>
                </c:pt>
                <c:pt idx="57">
                  <c:v>7.1999999999999998E-3</c:v>
                </c:pt>
                <c:pt idx="58">
                  <c:v>3.3999999999999998E-3</c:v>
                </c:pt>
                <c:pt idx="59">
                  <c:v>1E-4</c:v>
                </c:pt>
                <c:pt idx="60">
                  <c:v>-2.7000000000000001E-3</c:v>
                </c:pt>
                <c:pt idx="61">
                  <c:v>-4.8999999999999998E-3</c:v>
                </c:pt>
                <c:pt idx="62">
                  <c:v>-6.4999999999999997E-3</c:v>
                </c:pt>
                <c:pt idx="63">
                  <c:v>-7.4999999999999997E-3</c:v>
                </c:pt>
                <c:pt idx="64">
                  <c:v>-7.7999999999999996E-3</c:v>
                </c:pt>
                <c:pt idx="65">
                  <c:v>-7.4999999999999997E-3</c:v>
                </c:pt>
                <c:pt idx="66">
                  <c:v>-6.6E-3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2F-4885-A3D2-EF9FFE21B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935495"/>
        <c:axId val="663677533"/>
      </c:lineChart>
      <c:catAx>
        <c:axId val="1143935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3677533"/>
        <c:crosses val="autoZero"/>
        <c:auto val="1"/>
        <c:lblAlgn val="ctr"/>
        <c:lblOffset val="100"/>
        <c:noMultiLvlLbl val="1"/>
      </c:catAx>
      <c:valAx>
        <c:axId val="663677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439354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Yihnurda!$C$1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Yihnurda!$C$2:$C$67</c:f>
              <c:numCache>
                <c:formatCode>#,##0</c:formatCode>
                <c:ptCount val="66"/>
                <c:pt idx="0">
                  <c:v>8714392.4416103438</c:v>
                </c:pt>
                <c:pt idx="1">
                  <c:v>8724862.2763419542</c:v>
                </c:pt>
                <c:pt idx="2">
                  <c:v>8626519.9489242174</c:v>
                </c:pt>
                <c:pt idx="3">
                  <c:v>8494849.7773749065</c:v>
                </c:pt>
                <c:pt idx="4">
                  <c:v>8391632.6952236556</c:v>
                </c:pt>
                <c:pt idx="5">
                  <c:v>8291307.8699966958</c:v>
                </c:pt>
                <c:pt idx="6">
                  <c:v>8192991.9663998969</c:v>
                </c:pt>
                <c:pt idx="7">
                  <c:v>8083062.3188633546</c:v>
                </c:pt>
                <c:pt idx="8">
                  <c:v>7969889.8825314092</c:v>
                </c:pt>
                <c:pt idx="9">
                  <c:v>7855203.9055109499</c:v>
                </c:pt>
                <c:pt idx="10">
                  <c:v>7739117.1482866509</c:v>
                </c:pt>
                <c:pt idx="11">
                  <c:v>7622493.0053054765</c:v>
                </c:pt>
                <c:pt idx="12">
                  <c:v>7505408.6306670699</c:v>
                </c:pt>
                <c:pt idx="13">
                  <c:v>7391578.3244702276</c:v>
                </c:pt>
                <c:pt idx="14">
                  <c:v>7284496.2298908327</c:v>
                </c:pt>
                <c:pt idx="15">
                  <c:v>7181796.5393777313</c:v>
                </c:pt>
                <c:pt idx="16">
                  <c:v>7080544.7494604466</c:v>
                </c:pt>
                <c:pt idx="17">
                  <c:v>6971784.9049433302</c:v>
                </c:pt>
                <c:pt idx="18">
                  <c:v>6852550.5257945051</c:v>
                </c:pt>
                <c:pt idx="19">
                  <c:v>6725439.7151776478</c:v>
                </c:pt>
                <c:pt idx="20">
                  <c:v>6596802.074720596</c:v>
                </c:pt>
                <c:pt idx="21">
                  <c:v>6469990.265516473</c:v>
                </c:pt>
                <c:pt idx="22">
                  <c:v>6341262.6340453522</c:v>
                </c:pt>
                <c:pt idx="23">
                  <c:v>6207795.0406709267</c:v>
                </c:pt>
                <c:pt idx="24">
                  <c:v>6071787.0116108442</c:v>
                </c:pt>
                <c:pt idx="25">
                  <c:v>5937016.7317990074</c:v>
                </c:pt>
                <c:pt idx="26">
                  <c:v>5808077.4132254031</c:v>
                </c:pt>
                <c:pt idx="27">
                  <c:v>5684719.0106933573</c:v>
                </c:pt>
                <c:pt idx="28">
                  <c:v>5565070.005573526</c:v>
                </c:pt>
                <c:pt idx="29">
                  <c:v>5445273.9780562874</c:v>
                </c:pt>
                <c:pt idx="30">
                  <c:v>5323368.8318078872</c:v>
                </c:pt>
                <c:pt idx="31">
                  <c:v>5199617.9251884026</c:v>
                </c:pt>
                <c:pt idx="32">
                  <c:v>5075273.7190711591</c:v>
                </c:pt>
                <c:pt idx="33">
                  <c:v>4951969.6741839787</c:v>
                </c:pt>
                <c:pt idx="34">
                  <c:v>4831189.9260331504</c:v>
                </c:pt>
                <c:pt idx="35">
                  <c:v>4714735.9481147174</c:v>
                </c:pt>
                <c:pt idx="36">
                  <c:v>4603784.7359776562</c:v>
                </c:pt>
                <c:pt idx="37">
                  <c:v>4498079.8592844708</c:v>
                </c:pt>
                <c:pt idx="38">
                  <c:v>4397809.7959371051</c:v>
                </c:pt>
                <c:pt idx="39">
                  <c:v>4302719.6907710647</c:v>
                </c:pt>
                <c:pt idx="40">
                  <c:v>4212158.2875879239</c:v>
                </c:pt>
                <c:pt idx="41">
                  <c:v>4125522.3188912091</c:v>
                </c:pt>
                <c:pt idx="42">
                  <c:v>4042251.9291507048</c:v>
                </c:pt>
                <c:pt idx="43">
                  <c:v>3960662.2860579118</c:v>
                </c:pt>
                <c:pt idx="44">
                  <c:v>3878439.3713845587</c:v>
                </c:pt>
                <c:pt idx="45">
                  <c:v>3794207.9547882592</c:v>
                </c:pt>
                <c:pt idx="46">
                  <c:v>3707453.5419076206</c:v>
                </c:pt>
                <c:pt idx="47">
                  <c:v>3618439.9198786072</c:v>
                </c:pt>
                <c:pt idx="48">
                  <c:v>3528464.0856934246</c:v>
                </c:pt>
                <c:pt idx="49">
                  <c:v>3439384.039081221</c:v>
                </c:pt>
                <c:pt idx="50">
                  <c:v>3352879.7417442198</c:v>
                </c:pt>
                <c:pt idx="51">
                  <c:v>3271102.187067532</c:v>
                </c:pt>
                <c:pt idx="52">
                  <c:v>3195996.2746141003</c:v>
                </c:pt>
                <c:pt idx="53">
                  <c:v>3129034.9271726063</c:v>
                </c:pt>
                <c:pt idx="54">
                  <c:v>3071897.6312316968</c:v>
                </c:pt>
                <c:pt idx="55">
                  <c:v>3025903.8920721989</c:v>
                </c:pt>
                <c:pt idx="56">
                  <c:v>2992093.2384774038</c:v>
                </c:pt>
                <c:pt idx="57">
                  <c:v>2970704.1684644595</c:v>
                </c:pt>
                <c:pt idx="58">
                  <c:v>2960637.9992669518</c:v>
                </c:pt>
                <c:pt idx="59">
                  <c:v>2960341.9650704446</c:v>
                </c:pt>
                <c:pt idx="60">
                  <c:v>2968356.5276952218</c:v>
                </c:pt>
                <c:pt idx="61">
                  <c:v>2982973.09586496</c:v>
                </c:pt>
                <c:pt idx="62">
                  <c:v>3002489.2761599999</c:v>
                </c:pt>
                <c:pt idx="63">
                  <c:v>3025178.1119999997</c:v>
                </c:pt>
                <c:pt idx="64">
                  <c:v>3048960</c:v>
                </c:pt>
                <c:pt idx="65">
                  <c:v>3072000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F-4476-8F61-A831B9F6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668891"/>
        <c:axId val="132901062"/>
      </c:lineChart>
      <c:catAx>
        <c:axId val="1197668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901062"/>
        <c:crosses val="autoZero"/>
        <c:auto val="1"/>
        <c:lblAlgn val="ctr"/>
        <c:lblOffset val="100"/>
        <c:noMultiLvlLbl val="1"/>
      </c:catAx>
      <c:valAx>
        <c:axId val="132901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688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Yoprioq!$D$1:$D$67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2.3800000000000002E-2</c:v>
                </c:pt>
                <c:pt idx="2">
                  <c:v>2.4500000000000001E-2</c:v>
                </c:pt>
                <c:pt idx="3">
                  <c:v>2.52E-2</c:v>
                </c:pt>
                <c:pt idx="4">
                  <c:v>2.5600000000000001E-2</c:v>
                </c:pt>
                <c:pt idx="5">
                  <c:v>2.5399999999999999E-2</c:v>
                </c:pt>
                <c:pt idx="6">
                  <c:v>2.4799999999999999E-2</c:v>
                </c:pt>
                <c:pt idx="7">
                  <c:v>2.4199999999999999E-2</c:v>
                </c:pt>
                <c:pt idx="8">
                  <c:v>2.3699999999999999E-2</c:v>
                </c:pt>
                <c:pt idx="9">
                  <c:v>2.3400000000000001E-2</c:v>
                </c:pt>
                <c:pt idx="10">
                  <c:v>2.35E-2</c:v>
                </c:pt>
                <c:pt idx="11">
                  <c:v>2.4E-2</c:v>
                </c:pt>
                <c:pt idx="12">
                  <c:v>2.4899999999999999E-2</c:v>
                </c:pt>
                <c:pt idx="13">
                  <c:v>2.5899999999999999E-2</c:v>
                </c:pt>
                <c:pt idx="14">
                  <c:v>2.6800000000000001E-2</c:v>
                </c:pt>
                <c:pt idx="15">
                  <c:v>2.75E-2</c:v>
                </c:pt>
                <c:pt idx="16">
                  <c:v>2.7900000000000001E-2</c:v>
                </c:pt>
                <c:pt idx="17">
                  <c:v>2.81E-2</c:v>
                </c:pt>
                <c:pt idx="18">
                  <c:v>2.8000000000000001E-2</c:v>
                </c:pt>
                <c:pt idx="19">
                  <c:v>2.7799999999999998E-2</c:v>
                </c:pt>
                <c:pt idx="20">
                  <c:v>2.75E-2</c:v>
                </c:pt>
                <c:pt idx="21">
                  <c:v>2.7300000000000001E-2</c:v>
                </c:pt>
                <c:pt idx="22">
                  <c:v>2.7E-2</c:v>
                </c:pt>
                <c:pt idx="23">
                  <c:v>2.69E-2</c:v>
                </c:pt>
                <c:pt idx="24">
                  <c:v>2.7199999999999998E-2</c:v>
                </c:pt>
                <c:pt idx="25">
                  <c:v>2.75E-2</c:v>
                </c:pt>
                <c:pt idx="26">
                  <c:v>2.81E-2</c:v>
                </c:pt>
                <c:pt idx="27">
                  <c:v>2.87E-2</c:v>
                </c:pt>
                <c:pt idx="28">
                  <c:v>2.9100000000000001E-2</c:v>
                </c:pt>
                <c:pt idx="29">
                  <c:v>2.9499999999999998E-2</c:v>
                </c:pt>
                <c:pt idx="30">
                  <c:v>2.9899999999999999E-2</c:v>
                </c:pt>
                <c:pt idx="31">
                  <c:v>3.0300000000000001E-2</c:v>
                </c:pt>
                <c:pt idx="32">
                  <c:v>3.0700000000000002E-2</c:v>
                </c:pt>
                <c:pt idx="33">
                  <c:v>3.1E-2</c:v>
                </c:pt>
                <c:pt idx="34">
                  <c:v>3.1199999999999999E-2</c:v>
                </c:pt>
                <c:pt idx="35">
                  <c:v>3.1199999999999999E-2</c:v>
                </c:pt>
                <c:pt idx="36">
                  <c:v>3.1E-2</c:v>
                </c:pt>
                <c:pt idx="37">
                  <c:v>3.0599999999999999E-2</c:v>
                </c:pt>
                <c:pt idx="38">
                  <c:v>3.0099999999999998E-2</c:v>
                </c:pt>
                <c:pt idx="39">
                  <c:v>2.9499999999999998E-2</c:v>
                </c:pt>
                <c:pt idx="40">
                  <c:v>2.8799999999999999E-2</c:v>
                </c:pt>
                <c:pt idx="41">
                  <c:v>2.8199999999999999E-2</c:v>
                </c:pt>
                <c:pt idx="42">
                  <c:v>2.7799999999999998E-2</c:v>
                </c:pt>
                <c:pt idx="43">
                  <c:v>2.75E-2</c:v>
                </c:pt>
                <c:pt idx="44">
                  <c:v>2.75E-2</c:v>
                </c:pt>
                <c:pt idx="45">
                  <c:v>2.7699999999999999E-2</c:v>
                </c:pt>
                <c:pt idx="46">
                  <c:v>2.8199999999999999E-2</c:v>
                </c:pt>
                <c:pt idx="47">
                  <c:v>2.87E-2</c:v>
                </c:pt>
                <c:pt idx="48">
                  <c:v>2.9100000000000001E-2</c:v>
                </c:pt>
                <c:pt idx="49">
                  <c:v>2.9399999999999999E-2</c:v>
                </c:pt>
                <c:pt idx="50">
                  <c:v>2.9600000000000001E-2</c:v>
                </c:pt>
                <c:pt idx="51">
                  <c:v>2.9600000000000001E-2</c:v>
                </c:pt>
                <c:pt idx="52">
                  <c:v>2.9499999999999998E-2</c:v>
                </c:pt>
                <c:pt idx="53">
                  <c:v>2.92E-2</c:v>
                </c:pt>
                <c:pt idx="54">
                  <c:v>2.8799999999999999E-2</c:v>
                </c:pt>
                <c:pt idx="55">
                  <c:v>2.8299999999999999E-2</c:v>
                </c:pt>
                <c:pt idx="56">
                  <c:v>2.76E-2</c:v>
                </c:pt>
                <c:pt idx="57">
                  <c:v>2.69E-2</c:v>
                </c:pt>
                <c:pt idx="58">
                  <c:v>2.6100000000000002E-2</c:v>
                </c:pt>
                <c:pt idx="59">
                  <c:v>2.5399999999999999E-2</c:v>
                </c:pt>
                <c:pt idx="60">
                  <c:v>2.47E-2</c:v>
                </c:pt>
                <c:pt idx="61">
                  <c:v>2.4E-2</c:v>
                </c:pt>
                <c:pt idx="62">
                  <c:v>2.3300000000000001E-2</c:v>
                </c:pt>
                <c:pt idx="63">
                  <c:v>2.2599999999999999E-2</c:v>
                </c:pt>
                <c:pt idx="64">
                  <c:v>2.1899999999999999E-2</c:v>
                </c:pt>
                <c:pt idx="65">
                  <c:v>2.1299999999999999E-2</c:v>
                </c:pt>
                <c:pt idx="66">
                  <c:v>2.07E-2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9F-4359-B216-027A342D6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643282"/>
        <c:axId val="611928911"/>
      </c:lineChart>
      <c:catAx>
        <c:axId val="1612643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1928911"/>
        <c:crosses val="autoZero"/>
        <c:auto val="1"/>
        <c:lblAlgn val="ctr"/>
        <c:lblOffset val="100"/>
        <c:noMultiLvlLbl val="1"/>
      </c:catAx>
      <c:valAx>
        <c:axId val="611928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26432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Yoprioq!$C$1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Yoprioq!$C$2:$C$67</c:f>
              <c:numCache>
                <c:formatCode>#,##0</c:formatCode>
                <c:ptCount val="66"/>
                <c:pt idx="0">
                  <c:v>5131526.1085583651</c:v>
                </c:pt>
                <c:pt idx="1">
                  <c:v>5012234.9175213566</c:v>
                </c:pt>
                <c:pt idx="2">
                  <c:v>4892371.8082199674</c:v>
                </c:pt>
                <c:pt idx="3">
                  <c:v>4772114.5222590398</c:v>
                </c:pt>
                <c:pt idx="4">
                  <c:v>4652997.7791137276</c:v>
                </c:pt>
                <c:pt idx="5">
                  <c:v>4537739.2033486711</c:v>
                </c:pt>
                <c:pt idx="6">
                  <c:v>4427926.6230958933</c:v>
                </c:pt>
                <c:pt idx="7">
                  <c:v>4323302.6978089176</c:v>
                </c:pt>
                <c:pt idx="8">
                  <c:v>4223212.5601337478</c:v>
                </c:pt>
                <c:pt idx="9">
                  <c:v>4126648.9741388969</c:v>
                </c:pt>
                <c:pt idx="10">
                  <c:v>4031899.3396569579</c:v>
                </c:pt>
                <c:pt idx="11">
                  <c:v>3937401.6988837477</c:v>
                </c:pt>
                <c:pt idx="12">
                  <c:v>3841742.315234411</c:v>
                </c:pt>
                <c:pt idx="13">
                  <c:v>3744753.2071687407</c:v>
                </c:pt>
                <c:pt idx="14">
                  <c:v>3647013.252014746</c:v>
                </c:pt>
                <c:pt idx="15">
                  <c:v>3549404.6248318693</c:v>
                </c:pt>
                <c:pt idx="16">
                  <c:v>3453064.1354527376</c:v>
                </c:pt>
                <c:pt idx="17">
                  <c:v>3358685.0845761476</c:v>
                </c:pt>
                <c:pt idx="18">
                  <c:v>3267203.3896655133</c:v>
                </c:pt>
                <c:pt idx="19">
                  <c:v>3178831.8638504702</c:v>
                </c:pt>
                <c:pt idx="20">
                  <c:v>3093753.6387839122</c:v>
                </c:pt>
                <c:pt idx="21">
                  <c:v>3011538.6340736998</c:v>
                </c:pt>
                <c:pt idx="22">
                  <c:v>2932364.7848818889</c:v>
                </c:pt>
                <c:pt idx="23">
                  <c:v>2855550.4770492641</c:v>
                </c:pt>
                <c:pt idx="24">
                  <c:v>2779936.2120806701</c:v>
                </c:pt>
                <c:pt idx="25">
                  <c:v>2705534.0263558831</c:v>
                </c:pt>
                <c:pt idx="26">
                  <c:v>2631586.4471898484</c:v>
                </c:pt>
                <c:pt idx="27">
                  <c:v>2558167.0527752005</c:v>
                </c:pt>
                <c:pt idx="28">
                  <c:v>2485829.4167478387</c:v>
                </c:pt>
                <c:pt idx="29">
                  <c:v>2414598.753519027</c:v>
                </c:pt>
                <c:pt idx="30">
                  <c:v>2344498.2556743636</c:v>
                </c:pt>
                <c:pt idx="31">
                  <c:v>2275549.1174166393</c:v>
                </c:pt>
                <c:pt idx="32">
                  <c:v>2207770.5611881628</c:v>
                </c:pt>
                <c:pt idx="33">
                  <c:v>2141387.5472242124</c:v>
                </c:pt>
                <c:pt idx="34">
                  <c:v>2076597.6990149461</c:v>
                </c:pt>
                <c:pt idx="35">
                  <c:v>2013768.1332573181</c:v>
                </c:pt>
                <c:pt idx="36">
                  <c:v>1953218.3639741205</c:v>
                </c:pt>
                <c:pt idx="37">
                  <c:v>1895224.4944441302</c:v>
                </c:pt>
                <c:pt idx="38">
                  <c:v>1839845.1552704885</c:v>
                </c:pt>
                <c:pt idx="39">
                  <c:v>1787124.9686940149</c:v>
                </c:pt>
                <c:pt idx="40">
                  <c:v>1737096.5869887394</c:v>
                </c:pt>
                <c:pt idx="41">
                  <c:v>1689453.9846223881</c:v>
                </c:pt>
                <c:pt idx="42">
                  <c:v>1643757.525415828</c:v>
                </c:pt>
                <c:pt idx="43">
                  <c:v>1599764.0150032388</c:v>
                </c:pt>
                <c:pt idx="44">
                  <c:v>1556947.9464751715</c:v>
                </c:pt>
                <c:pt idx="45">
                  <c:v>1514982.9196021906</c:v>
                </c:pt>
                <c:pt idx="46">
                  <c:v>1473432.1334392051</c:v>
                </c:pt>
                <c:pt idx="47">
                  <c:v>1432324.4225130798</c:v>
                </c:pt>
                <c:pt idx="48">
                  <c:v>1391822.3909368184</c:v>
                </c:pt>
                <c:pt idx="49">
                  <c:v>1352071.4891556425</c:v>
                </c:pt>
                <c:pt idx="50">
                  <c:v>1313200.7470431647</c:v>
                </c:pt>
                <c:pt idx="51">
                  <c:v>1275447.5010131747</c:v>
                </c:pt>
                <c:pt idx="52">
                  <c:v>1238899.9524168768</c:v>
                </c:pt>
                <c:pt idx="53">
                  <c:v>1203750.4395811085</c:v>
                </c:pt>
                <c:pt idx="54">
                  <c:v>1170052.9156114974</c:v>
                </c:pt>
                <c:pt idx="55">
                  <c:v>1137851.7121574418</c:v>
                </c:pt>
                <c:pt idx="56">
                  <c:v>1107290.4945089936</c:v>
                </c:pt>
                <c:pt idx="57">
                  <c:v>1078284.6377534266</c:v>
                </c:pt>
                <c:pt idx="58">
                  <c:v>1050857.263184316</c:v>
                </c:pt>
                <c:pt idx="59">
                  <c:v>1024826.6658711877</c:v>
                </c:pt>
                <c:pt idx="60">
                  <c:v>1000123.6126390044</c:v>
                </c:pt>
                <c:pt idx="61">
                  <c:v>976683.21546777769</c:v>
                </c:pt>
                <c:pt idx="62">
                  <c:v>954444.65500613465</c:v>
                </c:pt>
                <c:pt idx="63">
                  <c:v>933350.92412100011</c:v>
                </c:pt>
                <c:pt idx="64">
                  <c:v>913348.59000000008</c:v>
                </c:pt>
                <c:pt idx="65">
                  <c:v>894300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D-460E-8E2A-5F7711A12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020249"/>
        <c:axId val="1532586035"/>
      </c:lineChart>
      <c:catAx>
        <c:axId val="1786020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2586035"/>
        <c:crosses val="autoZero"/>
        <c:auto val="1"/>
        <c:lblAlgn val="ctr"/>
        <c:lblOffset val="100"/>
        <c:noMultiLvlLbl val="1"/>
      </c:catAx>
      <c:valAx>
        <c:axId val="1532586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60202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Yutnitu!$D$1:$D$67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1.3599999999999999E-2</c:v>
                </c:pt>
                <c:pt idx="2">
                  <c:v>1.43E-2</c:v>
                </c:pt>
                <c:pt idx="3">
                  <c:v>1.5100000000000001E-2</c:v>
                </c:pt>
                <c:pt idx="4">
                  <c:v>1.5699999999999999E-2</c:v>
                </c:pt>
                <c:pt idx="5">
                  <c:v>1.6199999999999999E-2</c:v>
                </c:pt>
                <c:pt idx="6">
                  <c:v>1.6299999999999999E-2</c:v>
                </c:pt>
                <c:pt idx="7">
                  <c:v>1.6199999999999999E-2</c:v>
                </c:pt>
                <c:pt idx="8">
                  <c:v>1.5900000000000001E-2</c:v>
                </c:pt>
                <c:pt idx="9">
                  <c:v>1.5599999999999999E-2</c:v>
                </c:pt>
                <c:pt idx="10">
                  <c:v>1.55E-2</c:v>
                </c:pt>
                <c:pt idx="11">
                  <c:v>1.5900000000000001E-2</c:v>
                </c:pt>
                <c:pt idx="12">
                  <c:v>1.6400000000000001E-2</c:v>
                </c:pt>
                <c:pt idx="13">
                  <c:v>1.72E-2</c:v>
                </c:pt>
                <c:pt idx="14">
                  <c:v>1.7999999999999999E-2</c:v>
                </c:pt>
                <c:pt idx="15">
                  <c:v>1.8599999999999998E-2</c:v>
                </c:pt>
                <c:pt idx="16">
                  <c:v>1.9099999999999999E-2</c:v>
                </c:pt>
                <c:pt idx="17">
                  <c:v>1.9199999999999998E-2</c:v>
                </c:pt>
                <c:pt idx="18">
                  <c:v>1.9400000000000001E-2</c:v>
                </c:pt>
                <c:pt idx="19">
                  <c:v>1.95E-2</c:v>
                </c:pt>
                <c:pt idx="20">
                  <c:v>1.9900000000000001E-2</c:v>
                </c:pt>
                <c:pt idx="21">
                  <c:v>2.01E-2</c:v>
                </c:pt>
                <c:pt idx="22">
                  <c:v>2.0199999999999999E-2</c:v>
                </c:pt>
                <c:pt idx="23">
                  <c:v>2.0400000000000001E-2</c:v>
                </c:pt>
                <c:pt idx="24">
                  <c:v>2.0500000000000001E-2</c:v>
                </c:pt>
                <c:pt idx="25">
                  <c:v>2.0500000000000001E-2</c:v>
                </c:pt>
                <c:pt idx="26">
                  <c:v>2.06E-2</c:v>
                </c:pt>
                <c:pt idx="27">
                  <c:v>2.0799999999999999E-2</c:v>
                </c:pt>
                <c:pt idx="28">
                  <c:v>2.1100000000000001E-2</c:v>
                </c:pt>
                <c:pt idx="29">
                  <c:v>2.1299999999999999E-2</c:v>
                </c:pt>
                <c:pt idx="30">
                  <c:v>2.1399999999999999E-2</c:v>
                </c:pt>
                <c:pt idx="31">
                  <c:v>2.1600000000000001E-2</c:v>
                </c:pt>
                <c:pt idx="32">
                  <c:v>2.18E-2</c:v>
                </c:pt>
                <c:pt idx="33">
                  <c:v>2.2200000000000001E-2</c:v>
                </c:pt>
                <c:pt idx="34">
                  <c:v>2.2700000000000001E-2</c:v>
                </c:pt>
                <c:pt idx="35">
                  <c:v>2.35E-2</c:v>
                </c:pt>
                <c:pt idx="36">
                  <c:v>2.4500000000000001E-2</c:v>
                </c:pt>
                <c:pt idx="37">
                  <c:v>2.5600000000000001E-2</c:v>
                </c:pt>
                <c:pt idx="38">
                  <c:v>2.6800000000000001E-2</c:v>
                </c:pt>
                <c:pt idx="39">
                  <c:v>2.81E-2</c:v>
                </c:pt>
                <c:pt idx="40">
                  <c:v>2.9499999999999998E-2</c:v>
                </c:pt>
                <c:pt idx="41">
                  <c:v>3.0800000000000001E-2</c:v>
                </c:pt>
                <c:pt idx="42">
                  <c:v>3.1899999999999998E-2</c:v>
                </c:pt>
                <c:pt idx="43">
                  <c:v>3.3000000000000002E-2</c:v>
                </c:pt>
                <c:pt idx="44">
                  <c:v>3.4000000000000002E-2</c:v>
                </c:pt>
                <c:pt idx="45">
                  <c:v>3.5099999999999999E-2</c:v>
                </c:pt>
                <c:pt idx="46">
                  <c:v>3.6200000000000003E-2</c:v>
                </c:pt>
                <c:pt idx="47">
                  <c:v>3.73E-2</c:v>
                </c:pt>
                <c:pt idx="48">
                  <c:v>3.8100000000000002E-2</c:v>
                </c:pt>
                <c:pt idx="49">
                  <c:v>3.8399999999999997E-2</c:v>
                </c:pt>
                <c:pt idx="50">
                  <c:v>3.8199999999999998E-2</c:v>
                </c:pt>
                <c:pt idx="51">
                  <c:v>3.73E-2</c:v>
                </c:pt>
                <c:pt idx="52">
                  <c:v>3.5999999999999997E-2</c:v>
                </c:pt>
                <c:pt idx="53">
                  <c:v>3.4500000000000003E-2</c:v>
                </c:pt>
                <c:pt idx="54">
                  <c:v>3.3099999999999997E-2</c:v>
                </c:pt>
                <c:pt idx="55">
                  <c:v>3.2099999999999997E-2</c:v>
                </c:pt>
                <c:pt idx="56">
                  <c:v>3.1300000000000001E-2</c:v>
                </c:pt>
                <c:pt idx="57">
                  <c:v>3.0599999999999999E-2</c:v>
                </c:pt>
                <c:pt idx="58">
                  <c:v>0.03</c:v>
                </c:pt>
                <c:pt idx="59">
                  <c:v>2.92E-2</c:v>
                </c:pt>
                <c:pt idx="60">
                  <c:v>2.81E-2</c:v>
                </c:pt>
                <c:pt idx="61">
                  <c:v>2.6700000000000002E-2</c:v>
                </c:pt>
                <c:pt idx="62">
                  <c:v>2.5100000000000001E-2</c:v>
                </c:pt>
                <c:pt idx="63">
                  <c:v>2.3599999999999999E-2</c:v>
                </c:pt>
                <c:pt idx="64">
                  <c:v>2.24E-2</c:v>
                </c:pt>
                <c:pt idx="65">
                  <c:v>2.1499999999999998E-2</c:v>
                </c:pt>
                <c:pt idx="66">
                  <c:v>2.0899999999999998E-2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56-4726-B1A3-2A8D3328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353587"/>
        <c:axId val="1412895966"/>
      </c:lineChart>
      <c:catAx>
        <c:axId val="192435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895966"/>
        <c:crosses val="autoZero"/>
        <c:auto val="1"/>
        <c:lblAlgn val="ctr"/>
        <c:lblOffset val="100"/>
        <c:noMultiLvlLbl val="1"/>
      </c:catAx>
      <c:valAx>
        <c:axId val="1412895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43535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Yutnitu!$C$1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Yutnitu!$C$2:$C$67</c:f>
              <c:numCache>
                <c:formatCode>#,##0</c:formatCode>
                <c:ptCount val="66"/>
                <c:pt idx="0">
                  <c:v>447989.69281208352</c:v>
                </c:pt>
                <c:pt idx="1">
                  <c:v>441978.78138524416</c:v>
                </c:pt>
                <c:pt idx="2">
                  <c:v>435747.59083628526</c:v>
                </c:pt>
                <c:pt idx="3">
                  <c:v>429265.67908214492</c:v>
                </c:pt>
                <c:pt idx="4">
                  <c:v>422630.38208343496</c:v>
                </c:pt>
                <c:pt idx="5">
                  <c:v>415892.91683077638</c:v>
                </c:pt>
                <c:pt idx="6">
                  <c:v>409222.58863600943</c:v>
                </c:pt>
                <c:pt idx="7">
                  <c:v>402698.86699075915</c:v>
                </c:pt>
                <c:pt idx="8">
                  <c:v>396396.16792081814</c:v>
                </c:pt>
                <c:pt idx="9">
                  <c:v>390307.37290352315</c:v>
                </c:pt>
                <c:pt idx="10">
                  <c:v>384349.94869869336</c:v>
                </c:pt>
                <c:pt idx="11">
                  <c:v>378334.43124194641</c:v>
                </c:pt>
                <c:pt idx="12">
                  <c:v>372229.86151313107</c:v>
                </c:pt>
                <c:pt idx="13">
                  <c:v>365935.76633221691</c:v>
                </c:pt>
                <c:pt idx="14">
                  <c:v>359465.38932437811</c:v>
                </c:pt>
                <c:pt idx="15">
                  <c:v>352901.42285919708</c:v>
                </c:pt>
                <c:pt idx="16">
                  <c:v>346287.33476518211</c:v>
                </c:pt>
                <c:pt idx="17">
                  <c:v>339763.8684901708</c:v>
                </c:pt>
                <c:pt idx="18">
                  <c:v>333297.88943512924</c:v>
                </c:pt>
                <c:pt idx="19">
                  <c:v>326922.89302121551</c:v>
                </c:pt>
                <c:pt idx="20">
                  <c:v>320544.06610571186</c:v>
                </c:pt>
                <c:pt idx="21">
                  <c:v>314228.08166426024</c:v>
                </c:pt>
                <c:pt idx="22">
                  <c:v>308006.35332705377</c:v>
                </c:pt>
                <c:pt idx="23">
                  <c:v>301848.64104964113</c:v>
                </c:pt>
                <c:pt idx="24">
                  <c:v>295785.04757436662</c:v>
                </c:pt>
                <c:pt idx="25">
                  <c:v>289843.26072941365</c:v>
                </c:pt>
                <c:pt idx="26">
                  <c:v>283993.00482991739</c:v>
                </c:pt>
                <c:pt idx="27">
                  <c:v>278206.31350893166</c:v>
                </c:pt>
                <c:pt idx="28">
                  <c:v>272457.46108014073</c:v>
                </c:pt>
                <c:pt idx="29">
                  <c:v>266775.15037710831</c:v>
                </c:pt>
                <c:pt idx="30">
                  <c:v>261185.77479646396</c:v>
                </c:pt>
                <c:pt idx="31">
                  <c:v>255663.44439747839</c:v>
                </c:pt>
                <c:pt idx="32">
                  <c:v>250208.89058277392</c:v>
                </c:pt>
                <c:pt idx="33">
                  <c:v>244774.88806767162</c:v>
                </c:pt>
                <c:pt idx="34">
                  <c:v>239341.82855937385</c:v>
                </c:pt>
                <c:pt idx="35">
                  <c:v>233846.4372832182</c:v>
                </c:pt>
                <c:pt idx="36">
                  <c:v>228254.20915882694</c:v>
                </c:pt>
                <c:pt idx="37">
                  <c:v>222556.75620010425</c:v>
                </c:pt>
                <c:pt idx="38">
                  <c:v>216747.91215436722</c:v>
                </c:pt>
                <c:pt idx="39">
                  <c:v>210823.76437541799</c:v>
                </c:pt>
                <c:pt idx="40">
                  <c:v>204782.67544965321</c:v>
                </c:pt>
                <c:pt idx="41">
                  <c:v>198663.82950102174</c:v>
                </c:pt>
                <c:pt idx="42">
                  <c:v>192522.36602482968</c:v>
                </c:pt>
                <c:pt idx="43">
                  <c:v>186372.08714891548</c:v>
                </c:pt>
                <c:pt idx="44">
                  <c:v>180243.79801635927</c:v>
                </c:pt>
                <c:pt idx="45">
                  <c:v>174131.77279138178</c:v>
                </c:pt>
                <c:pt idx="46">
                  <c:v>168048.41998782259</c:v>
                </c:pt>
                <c:pt idx="47">
                  <c:v>162005.61070839927</c:v>
                </c:pt>
                <c:pt idx="48">
                  <c:v>156059.73481205979</c:v>
                </c:pt>
                <c:pt idx="49">
                  <c:v>150288.65062794663</c:v>
                </c:pt>
                <c:pt idx="50">
                  <c:v>144758.86209588387</c:v>
                </c:pt>
                <c:pt idx="51">
                  <c:v>139553.51595091473</c:v>
                </c:pt>
                <c:pt idx="52">
                  <c:v>134704.16597578643</c:v>
                </c:pt>
                <c:pt idx="53">
                  <c:v>130211.85691231168</c:v>
                </c:pt>
                <c:pt idx="54">
                  <c:v>126039.93506176719</c:v>
                </c:pt>
                <c:pt idx="55">
                  <c:v>122119.88669873771</c:v>
                </c:pt>
                <c:pt idx="56">
                  <c:v>118413.54280882158</c:v>
                </c:pt>
                <c:pt idx="57">
                  <c:v>114897.67398488414</c:v>
                </c:pt>
                <c:pt idx="58">
                  <c:v>111551.13979114965</c:v>
                </c:pt>
                <c:pt idx="59">
                  <c:v>108386.26097080224</c:v>
                </c:pt>
                <c:pt idx="60">
                  <c:v>105423.85076432471</c:v>
                </c:pt>
                <c:pt idx="61">
                  <c:v>102682.23508748876</c:v>
                </c:pt>
                <c:pt idx="62">
                  <c:v>100168.017839712</c:v>
                </c:pt>
                <c:pt idx="63">
                  <c:v>97858.555919999999</c:v>
                </c:pt>
                <c:pt idx="64">
                  <c:v>95714.55</c:v>
                </c:pt>
                <c:pt idx="65">
                  <c:v>93700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E-4785-A41E-E8296D11E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153679"/>
        <c:axId val="418525078"/>
      </c:lineChart>
      <c:catAx>
        <c:axId val="125415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8525078"/>
        <c:crosses val="autoZero"/>
        <c:auto val="1"/>
        <c:lblAlgn val="ctr"/>
        <c:lblOffset val="100"/>
        <c:noMultiLvlLbl val="1"/>
      </c:catAx>
      <c:valAx>
        <c:axId val="418525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41536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Zenashan!$D$1:$D$67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2.5600000000000001E-2</c:v>
                </c:pt>
                <c:pt idx="2">
                  <c:v>2.6700000000000002E-2</c:v>
                </c:pt>
                <c:pt idx="3">
                  <c:v>2.7799999999999998E-2</c:v>
                </c:pt>
                <c:pt idx="4">
                  <c:v>2.8799999999999999E-2</c:v>
                </c:pt>
                <c:pt idx="5">
                  <c:v>2.9700000000000001E-2</c:v>
                </c:pt>
                <c:pt idx="6">
                  <c:v>3.0300000000000001E-2</c:v>
                </c:pt>
                <c:pt idx="7">
                  <c:v>3.0800000000000001E-2</c:v>
                </c:pt>
                <c:pt idx="8">
                  <c:v>3.1099999999999999E-2</c:v>
                </c:pt>
                <c:pt idx="9">
                  <c:v>3.2099999999999997E-2</c:v>
                </c:pt>
                <c:pt idx="10">
                  <c:v>3.4000000000000002E-2</c:v>
                </c:pt>
                <c:pt idx="11">
                  <c:v>3.5400000000000001E-2</c:v>
                </c:pt>
                <c:pt idx="12">
                  <c:v>3.6600000000000001E-2</c:v>
                </c:pt>
                <c:pt idx="13">
                  <c:v>3.7199999999999997E-2</c:v>
                </c:pt>
                <c:pt idx="14">
                  <c:v>3.7100000000000001E-2</c:v>
                </c:pt>
                <c:pt idx="15">
                  <c:v>3.5799999999999998E-2</c:v>
                </c:pt>
                <c:pt idx="16">
                  <c:v>3.3700000000000001E-2</c:v>
                </c:pt>
                <c:pt idx="17">
                  <c:v>3.1800000000000002E-2</c:v>
                </c:pt>
                <c:pt idx="18">
                  <c:v>3.0700000000000002E-2</c:v>
                </c:pt>
                <c:pt idx="19">
                  <c:v>3.0499999999999999E-2</c:v>
                </c:pt>
                <c:pt idx="20">
                  <c:v>3.1099999999999999E-2</c:v>
                </c:pt>
                <c:pt idx="21">
                  <c:v>3.2199999999999999E-2</c:v>
                </c:pt>
                <c:pt idx="22">
                  <c:v>3.3599999999999998E-2</c:v>
                </c:pt>
                <c:pt idx="23">
                  <c:v>3.5299999999999998E-2</c:v>
                </c:pt>
                <c:pt idx="24">
                  <c:v>3.73E-2</c:v>
                </c:pt>
                <c:pt idx="25">
                  <c:v>3.9399999999999998E-2</c:v>
                </c:pt>
                <c:pt idx="26">
                  <c:v>4.1399999999999999E-2</c:v>
                </c:pt>
                <c:pt idx="27">
                  <c:v>4.3200000000000002E-2</c:v>
                </c:pt>
                <c:pt idx="28">
                  <c:v>4.4600000000000001E-2</c:v>
                </c:pt>
                <c:pt idx="29">
                  <c:v>4.53E-2</c:v>
                </c:pt>
                <c:pt idx="30">
                  <c:v>4.48E-2</c:v>
                </c:pt>
                <c:pt idx="31">
                  <c:v>4.2700000000000002E-2</c:v>
                </c:pt>
                <c:pt idx="32">
                  <c:v>3.9699999999999999E-2</c:v>
                </c:pt>
                <c:pt idx="33">
                  <c:v>3.6600000000000001E-2</c:v>
                </c:pt>
                <c:pt idx="34">
                  <c:v>3.3399999999999999E-2</c:v>
                </c:pt>
                <c:pt idx="35">
                  <c:v>3.0200000000000001E-2</c:v>
                </c:pt>
                <c:pt idx="36">
                  <c:v>2.7199999999999998E-2</c:v>
                </c:pt>
                <c:pt idx="37">
                  <c:v>2.4500000000000001E-2</c:v>
                </c:pt>
                <c:pt idx="38">
                  <c:v>2.24E-2</c:v>
                </c:pt>
                <c:pt idx="39">
                  <c:v>2.1499999999999998E-2</c:v>
                </c:pt>
                <c:pt idx="40">
                  <c:v>2.1399999999999999E-2</c:v>
                </c:pt>
                <c:pt idx="41">
                  <c:v>2.1899999999999999E-2</c:v>
                </c:pt>
                <c:pt idx="42">
                  <c:v>2.18E-2</c:v>
                </c:pt>
                <c:pt idx="43">
                  <c:v>2.0199999999999999E-2</c:v>
                </c:pt>
                <c:pt idx="44">
                  <c:v>1.7399999999999999E-2</c:v>
                </c:pt>
                <c:pt idx="45">
                  <c:v>1.47E-2</c:v>
                </c:pt>
                <c:pt idx="46">
                  <c:v>1.2999999999999999E-2</c:v>
                </c:pt>
                <c:pt idx="47">
                  <c:v>1.2699999999999999E-2</c:v>
                </c:pt>
                <c:pt idx="48">
                  <c:v>1.2800000000000001E-2</c:v>
                </c:pt>
                <c:pt idx="49">
                  <c:v>1.3100000000000001E-2</c:v>
                </c:pt>
                <c:pt idx="50">
                  <c:v>1.3299999999999999E-2</c:v>
                </c:pt>
                <c:pt idx="51">
                  <c:v>1.3299999999999999E-2</c:v>
                </c:pt>
                <c:pt idx="52">
                  <c:v>1.32E-2</c:v>
                </c:pt>
                <c:pt idx="53">
                  <c:v>1.2999999999999999E-2</c:v>
                </c:pt>
                <c:pt idx="54">
                  <c:v>1.2699999999999999E-2</c:v>
                </c:pt>
                <c:pt idx="55">
                  <c:v>1.2500000000000001E-2</c:v>
                </c:pt>
                <c:pt idx="56">
                  <c:v>1.2200000000000001E-2</c:v>
                </c:pt>
                <c:pt idx="57">
                  <c:v>1.1900000000000001E-2</c:v>
                </c:pt>
                <c:pt idx="58">
                  <c:v>1.15E-2</c:v>
                </c:pt>
                <c:pt idx="59">
                  <c:v>1.0999999999999999E-2</c:v>
                </c:pt>
                <c:pt idx="60">
                  <c:v>1.0500000000000001E-2</c:v>
                </c:pt>
                <c:pt idx="61">
                  <c:v>0.01</c:v>
                </c:pt>
                <c:pt idx="62">
                  <c:v>9.5999999999999992E-3</c:v>
                </c:pt>
                <c:pt idx="63">
                  <c:v>9.1999999999999998E-3</c:v>
                </c:pt>
                <c:pt idx="64">
                  <c:v>8.8000000000000005E-3</c:v>
                </c:pt>
                <c:pt idx="65">
                  <c:v>8.5000000000000006E-3</c:v>
                </c:pt>
                <c:pt idx="66">
                  <c:v>8.2000000000000007E-3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B9-430F-9C8B-8F13BD854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897870"/>
        <c:axId val="1848694886"/>
      </c:lineChart>
      <c:catAx>
        <c:axId val="1503897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8694886"/>
        <c:crosses val="autoZero"/>
        <c:auto val="1"/>
        <c:lblAlgn val="ctr"/>
        <c:lblOffset val="100"/>
        <c:noMultiLvlLbl val="1"/>
      </c:catAx>
      <c:valAx>
        <c:axId val="1848694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38978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Zenashan!$C$1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Zenashan!$C$2:$C$67</c:f>
              <c:numCache>
                <c:formatCode>#,##0</c:formatCode>
                <c:ptCount val="66"/>
                <c:pt idx="0">
                  <c:v>9819152.0528906826</c:v>
                </c:pt>
                <c:pt idx="1">
                  <c:v>9574056.2138169669</c:v>
                </c:pt>
                <c:pt idx="2">
                  <c:v>9325076.6668130588</c:v>
                </c:pt>
                <c:pt idx="3">
                  <c:v>9072851.3979500476</c:v>
                </c:pt>
                <c:pt idx="4">
                  <c:v>8818867.9995626435</c:v>
                </c:pt>
                <c:pt idx="5">
                  <c:v>8564502.2817933802</c:v>
                </c:pt>
                <c:pt idx="6">
                  <c:v>8312629.6047688834</c:v>
                </c:pt>
                <c:pt idx="7">
                  <c:v>8064250.6837105975</c:v>
                </c:pt>
                <c:pt idx="8">
                  <c:v>7821017.0533513706</c:v>
                </c:pt>
                <c:pt idx="9">
                  <c:v>7577770.6165598007</c:v>
                </c:pt>
                <c:pt idx="10">
                  <c:v>7328598.275202902</c:v>
                </c:pt>
                <c:pt idx="11">
                  <c:v>7078035.8076133877</c:v>
                </c:pt>
                <c:pt idx="12">
                  <c:v>6828126.3820310514</c:v>
                </c:pt>
                <c:pt idx="13">
                  <c:v>6583230.2179242689</c:v>
                </c:pt>
                <c:pt idx="14">
                  <c:v>6347729.4551386265</c:v>
                </c:pt>
                <c:pt idx="15">
                  <c:v>6128335.0599909499</c:v>
                </c:pt>
                <c:pt idx="16">
                  <c:v>5928543.1556456899</c:v>
                </c:pt>
                <c:pt idx="17">
                  <c:v>5745825.8922714572</c:v>
                </c:pt>
                <c:pt idx="18">
                  <c:v>5574683.1204729388</c:v>
                </c:pt>
                <c:pt idx="19">
                  <c:v>5409687.6472323518</c:v>
                </c:pt>
                <c:pt idx="20">
                  <c:v>5246520.8488336261</c:v>
                </c:pt>
                <c:pt idx="21">
                  <c:v>5082852.9827878568</c:v>
                </c:pt>
                <c:pt idx="22">
                  <c:v>4917620.9198798919</c:v>
                </c:pt>
                <c:pt idx="23">
                  <c:v>4749947.7638171474</c:v>
                </c:pt>
                <c:pt idx="24">
                  <c:v>4579145.6317527685</c:v>
                </c:pt>
                <c:pt idx="25">
                  <c:v>4405566.3187923497</c:v>
                </c:pt>
                <c:pt idx="26">
                  <c:v>4230426.6552644027</c:v>
                </c:pt>
                <c:pt idx="27">
                  <c:v>4055240.2753684847</c:v>
                </c:pt>
                <c:pt idx="28">
                  <c:v>3882098.6744863917</c:v>
                </c:pt>
                <c:pt idx="29">
                  <c:v>3713860.781102451</c:v>
                </c:pt>
                <c:pt idx="30">
                  <c:v>3554614.0707335863</c:v>
                </c:pt>
                <c:pt idx="31">
                  <c:v>3409047.73255355</c:v>
                </c:pt>
                <c:pt idx="32">
                  <c:v>3278876.3417846975</c:v>
                </c:pt>
                <c:pt idx="33">
                  <c:v>3163106.6388044544</c:v>
                </c:pt>
                <c:pt idx="34">
                  <c:v>3060873.4650710798</c:v>
                </c:pt>
                <c:pt idx="35">
                  <c:v>2971144.8894108715</c:v>
                </c:pt>
                <c:pt idx="36">
                  <c:v>2892469.7132115187</c:v>
                </c:pt>
                <c:pt idx="37">
                  <c:v>2823298.8903967971</c:v>
                </c:pt>
                <c:pt idx="38">
                  <c:v>2761442.5766791836</c:v>
                </c:pt>
                <c:pt idx="39">
                  <c:v>2703321.171492103</c:v>
                </c:pt>
                <c:pt idx="40">
                  <c:v>2646682.1729901144</c:v>
                </c:pt>
                <c:pt idx="41">
                  <c:v>2589962.0050788866</c:v>
                </c:pt>
                <c:pt idx="42">
                  <c:v>2534705.4267751873</c:v>
                </c:pt>
                <c:pt idx="43">
                  <c:v>2484518.1599443122</c:v>
                </c:pt>
                <c:pt idx="44">
                  <c:v>2442026.8920231098</c:v>
                </c:pt>
                <c:pt idx="45">
                  <c:v>2406649.1495250911</c:v>
                </c:pt>
                <c:pt idx="46">
                  <c:v>2375764.214733555</c:v>
                </c:pt>
                <c:pt idx="47">
                  <c:v>2345970.3907707664</c:v>
                </c:pt>
                <c:pt idx="48">
                  <c:v>2316321.475879509</c:v>
                </c:pt>
                <c:pt idx="49">
                  <c:v>2286370.0285060792</c:v>
                </c:pt>
                <c:pt idx="50">
                  <c:v>2256360.4347242466</c:v>
                </c:pt>
                <c:pt idx="51">
                  <c:v>2226744.7298176712</c:v>
                </c:pt>
                <c:pt idx="52">
                  <c:v>2197734.6326664737</c:v>
                </c:pt>
                <c:pt idx="53">
                  <c:v>2169530.7331357095</c:v>
                </c:pt>
                <c:pt idx="54">
                  <c:v>2142323.2281383527</c:v>
                </c:pt>
                <c:pt idx="55">
                  <c:v>2115874.7932230644</c:v>
                </c:pt>
                <c:pt idx="56">
                  <c:v>2090372.2517516937</c:v>
                </c:pt>
                <c:pt idx="57">
                  <c:v>2065789.3583868896</c:v>
                </c:pt>
                <c:pt idx="58">
                  <c:v>2042302.8753207014</c:v>
                </c:pt>
                <c:pt idx="59">
                  <c:v>2020081.9736109809</c:v>
                </c:pt>
                <c:pt idx="60">
                  <c:v>1999091.5127273439</c:v>
                </c:pt>
                <c:pt idx="61">
                  <c:v>1979298.5274528158</c:v>
                </c:pt>
                <c:pt idx="62">
                  <c:v>1960477.9392361487</c:v>
                </c:pt>
                <c:pt idx="63">
                  <c:v>1942605.9643639997</c:v>
                </c:pt>
                <c:pt idx="64">
                  <c:v>1925660.1549999998</c:v>
                </c:pt>
                <c:pt idx="65">
                  <c:v>1909430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1-4F80-A7BF-A90834F9A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835068"/>
        <c:axId val="2108583879"/>
      </c:lineChart>
      <c:catAx>
        <c:axId val="743835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583879"/>
        <c:crosses val="autoZero"/>
        <c:auto val="1"/>
        <c:lblAlgn val="ctr"/>
        <c:lblOffset val="100"/>
        <c:noMultiLvlLbl val="1"/>
      </c:catAx>
      <c:valAx>
        <c:axId val="2108583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3835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Zhanshe!$D$1:$D$67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1.6199999999999999E-2</c:v>
                </c:pt>
                <c:pt idx="2">
                  <c:v>1.9099999999999999E-2</c:v>
                </c:pt>
                <c:pt idx="3">
                  <c:v>2.24E-2</c:v>
                </c:pt>
                <c:pt idx="4">
                  <c:v>2.5000000000000001E-2</c:v>
                </c:pt>
                <c:pt idx="5">
                  <c:v>2.7400000000000001E-2</c:v>
                </c:pt>
                <c:pt idx="6">
                  <c:v>2.87E-2</c:v>
                </c:pt>
                <c:pt idx="7">
                  <c:v>2.8400000000000002E-2</c:v>
                </c:pt>
                <c:pt idx="8">
                  <c:v>2.7400000000000001E-2</c:v>
                </c:pt>
                <c:pt idx="9">
                  <c:v>2.6800000000000001E-2</c:v>
                </c:pt>
                <c:pt idx="10">
                  <c:v>2.6800000000000001E-2</c:v>
                </c:pt>
                <c:pt idx="11">
                  <c:v>2.75E-2</c:v>
                </c:pt>
                <c:pt idx="12">
                  <c:v>2.86E-2</c:v>
                </c:pt>
                <c:pt idx="13">
                  <c:v>3.0200000000000001E-2</c:v>
                </c:pt>
                <c:pt idx="14">
                  <c:v>3.2099999999999997E-2</c:v>
                </c:pt>
                <c:pt idx="15">
                  <c:v>3.4000000000000002E-2</c:v>
                </c:pt>
                <c:pt idx="16">
                  <c:v>3.5400000000000001E-2</c:v>
                </c:pt>
                <c:pt idx="17">
                  <c:v>3.6600000000000001E-2</c:v>
                </c:pt>
                <c:pt idx="18">
                  <c:v>3.73E-2</c:v>
                </c:pt>
                <c:pt idx="19">
                  <c:v>3.7400000000000003E-2</c:v>
                </c:pt>
                <c:pt idx="20">
                  <c:v>3.7100000000000001E-2</c:v>
                </c:pt>
                <c:pt idx="21">
                  <c:v>3.6200000000000003E-2</c:v>
                </c:pt>
                <c:pt idx="22">
                  <c:v>3.4500000000000003E-2</c:v>
                </c:pt>
                <c:pt idx="23">
                  <c:v>3.1699999999999999E-2</c:v>
                </c:pt>
                <c:pt idx="24">
                  <c:v>2.86E-2</c:v>
                </c:pt>
                <c:pt idx="25">
                  <c:v>2.5499999999999998E-2</c:v>
                </c:pt>
                <c:pt idx="26">
                  <c:v>2.4500000000000001E-2</c:v>
                </c:pt>
                <c:pt idx="27">
                  <c:v>2.6800000000000001E-2</c:v>
                </c:pt>
                <c:pt idx="28">
                  <c:v>2.8500000000000001E-2</c:v>
                </c:pt>
                <c:pt idx="29">
                  <c:v>2.8199999999999999E-2</c:v>
                </c:pt>
                <c:pt idx="30">
                  <c:v>2.76E-2</c:v>
                </c:pt>
                <c:pt idx="31">
                  <c:v>2.7199999999999998E-2</c:v>
                </c:pt>
                <c:pt idx="32">
                  <c:v>2.7099999999999999E-2</c:v>
                </c:pt>
                <c:pt idx="33">
                  <c:v>2.7300000000000001E-2</c:v>
                </c:pt>
                <c:pt idx="34">
                  <c:v>2.75E-2</c:v>
                </c:pt>
                <c:pt idx="35">
                  <c:v>2.75E-2</c:v>
                </c:pt>
                <c:pt idx="36">
                  <c:v>2.7400000000000001E-2</c:v>
                </c:pt>
                <c:pt idx="37">
                  <c:v>2.7300000000000001E-2</c:v>
                </c:pt>
                <c:pt idx="38">
                  <c:v>2.75E-2</c:v>
                </c:pt>
                <c:pt idx="39">
                  <c:v>2.81E-2</c:v>
                </c:pt>
                <c:pt idx="40">
                  <c:v>2.8799999999999999E-2</c:v>
                </c:pt>
                <c:pt idx="41">
                  <c:v>2.9399999999999999E-2</c:v>
                </c:pt>
                <c:pt idx="42">
                  <c:v>2.9499999999999998E-2</c:v>
                </c:pt>
                <c:pt idx="43">
                  <c:v>2.9399999999999999E-2</c:v>
                </c:pt>
                <c:pt idx="44">
                  <c:v>2.93E-2</c:v>
                </c:pt>
                <c:pt idx="45">
                  <c:v>2.9000000000000001E-2</c:v>
                </c:pt>
                <c:pt idx="46">
                  <c:v>2.8799999999999999E-2</c:v>
                </c:pt>
                <c:pt idx="47">
                  <c:v>2.86E-2</c:v>
                </c:pt>
                <c:pt idx="48">
                  <c:v>2.8299999999999999E-2</c:v>
                </c:pt>
                <c:pt idx="49">
                  <c:v>2.8000000000000001E-2</c:v>
                </c:pt>
                <c:pt idx="50">
                  <c:v>2.76E-2</c:v>
                </c:pt>
                <c:pt idx="51">
                  <c:v>2.7E-2</c:v>
                </c:pt>
                <c:pt idx="52">
                  <c:v>2.6499999999999999E-2</c:v>
                </c:pt>
                <c:pt idx="53">
                  <c:v>2.5899999999999999E-2</c:v>
                </c:pt>
                <c:pt idx="54">
                  <c:v>2.5399999999999999E-2</c:v>
                </c:pt>
                <c:pt idx="55">
                  <c:v>2.4799999999999999E-2</c:v>
                </c:pt>
                <c:pt idx="56">
                  <c:v>2.4199999999999999E-2</c:v>
                </c:pt>
                <c:pt idx="57">
                  <c:v>2.35E-2</c:v>
                </c:pt>
                <c:pt idx="58">
                  <c:v>2.29E-2</c:v>
                </c:pt>
                <c:pt idx="59">
                  <c:v>2.2200000000000001E-2</c:v>
                </c:pt>
                <c:pt idx="60">
                  <c:v>2.1499999999999998E-2</c:v>
                </c:pt>
                <c:pt idx="61">
                  <c:v>2.0899999999999998E-2</c:v>
                </c:pt>
                <c:pt idx="62">
                  <c:v>2.0299999999999999E-2</c:v>
                </c:pt>
                <c:pt idx="63">
                  <c:v>1.9800000000000002E-2</c:v>
                </c:pt>
                <c:pt idx="64">
                  <c:v>1.9400000000000001E-2</c:v>
                </c:pt>
                <c:pt idx="65">
                  <c:v>1.9E-2</c:v>
                </c:pt>
                <c:pt idx="66">
                  <c:v>1.8700000000000001E-2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A6-4DDF-991A-6A14A2FD4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03071"/>
        <c:axId val="1552161263"/>
      </c:lineChart>
      <c:catAx>
        <c:axId val="1542003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2161263"/>
        <c:crosses val="autoZero"/>
        <c:auto val="1"/>
        <c:lblAlgn val="ctr"/>
        <c:lblOffset val="100"/>
        <c:noMultiLvlLbl val="1"/>
      </c:catAx>
      <c:valAx>
        <c:axId val="1552161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20030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Zhanshe!$C$1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Zhanshe!$C$2:$C$67</c:f>
              <c:numCache>
                <c:formatCode>#,##0</c:formatCode>
                <c:ptCount val="66"/>
                <c:pt idx="0">
                  <c:v>7354498.7064310331</c:v>
                </c:pt>
                <c:pt idx="1">
                  <c:v>7237255.1726343567</c:v>
                </c:pt>
                <c:pt idx="2">
                  <c:v>7101614.3387639653</c:v>
                </c:pt>
                <c:pt idx="3">
                  <c:v>6946023.4142840039</c:v>
                </c:pt>
                <c:pt idx="4">
                  <c:v>6776608.2090575658</c:v>
                </c:pt>
                <c:pt idx="5">
                  <c:v>6595881.0677998494</c:v>
                </c:pt>
                <c:pt idx="6">
                  <c:v>6411860.6666665208</c:v>
                </c:pt>
                <c:pt idx="7">
                  <c:v>6234792.5580187878</c:v>
                </c:pt>
                <c:pt idx="8">
                  <c:v>6068515.2404309781</c:v>
                </c:pt>
                <c:pt idx="9">
                  <c:v>5910123.9193912921</c:v>
                </c:pt>
                <c:pt idx="10">
                  <c:v>5755866.6920445003</c:v>
                </c:pt>
                <c:pt idx="11">
                  <c:v>5601816.731916788</c:v>
                </c:pt>
                <c:pt idx="12">
                  <c:v>5446059.4321570955</c:v>
                </c:pt>
                <c:pt idx="13">
                  <c:v>5286409.8545496948</c:v>
                </c:pt>
                <c:pt idx="14">
                  <c:v>5121993.8519035894</c:v>
                </c:pt>
                <c:pt idx="15">
                  <c:v>4953572.3906224268</c:v>
                </c:pt>
                <c:pt idx="16">
                  <c:v>4784211.3102399325</c:v>
                </c:pt>
                <c:pt idx="17">
                  <c:v>4615291.6363495393</c:v>
                </c:pt>
                <c:pt idx="18">
                  <c:v>4449331.5688321013</c:v>
                </c:pt>
                <c:pt idx="19">
                  <c:v>4288925.7459341632</c:v>
                </c:pt>
                <c:pt idx="20">
                  <c:v>4135498.7425842863</c:v>
                </c:pt>
                <c:pt idx="21">
                  <c:v>3991023.6851807432</c:v>
                </c:pt>
                <c:pt idx="22">
                  <c:v>3857925.2635869919</c:v>
                </c:pt>
                <c:pt idx="23">
                  <c:v>3739386.7050373089</c:v>
                </c:pt>
                <c:pt idx="24">
                  <c:v>3635413.8684010394</c:v>
                </c:pt>
                <c:pt idx="25">
                  <c:v>3545015.9613857036</c:v>
                </c:pt>
                <c:pt idx="26">
                  <c:v>3460240.0794394375</c:v>
                </c:pt>
                <c:pt idx="27">
                  <c:v>3369926.0610045167</c:v>
                </c:pt>
                <c:pt idx="28">
                  <c:v>3276544.5415697782</c:v>
                </c:pt>
                <c:pt idx="29">
                  <c:v>3186680.161028767</c:v>
                </c:pt>
                <c:pt idx="30">
                  <c:v>3101090.0749598742</c:v>
                </c:pt>
                <c:pt idx="31">
                  <c:v>3018973.9826322766</c:v>
                </c:pt>
                <c:pt idx="32">
                  <c:v>2939318.4525676924</c:v>
                </c:pt>
                <c:pt idx="33">
                  <c:v>2861207.488141431</c:v>
                </c:pt>
                <c:pt idx="34">
                  <c:v>2784630.1587751149</c:v>
                </c:pt>
                <c:pt idx="35">
                  <c:v>2710102.3443066808</c:v>
                </c:pt>
                <c:pt idx="36">
                  <c:v>2637825.9142560642</c:v>
                </c:pt>
                <c:pt idx="37">
                  <c:v>2567726.9680288755</c:v>
                </c:pt>
                <c:pt idx="38">
                  <c:v>2499004.3484465941</c:v>
                </c:pt>
                <c:pt idx="39">
                  <c:v>2430701.6325713396</c:v>
                </c:pt>
                <c:pt idx="40">
                  <c:v>2362657.1078648325</c:v>
                </c:pt>
                <c:pt idx="41">
                  <c:v>2295178.8496841192</c:v>
                </c:pt>
                <c:pt idx="42">
                  <c:v>2229411.2187315389</c:v>
                </c:pt>
                <c:pt idx="43">
                  <c:v>2165738.5066364277</c:v>
                </c:pt>
                <c:pt idx="44">
                  <c:v>2104088.7075064876</c:v>
                </c:pt>
                <c:pt idx="45">
                  <c:v>2044789.8032133018</c:v>
                </c:pt>
                <c:pt idx="46">
                  <c:v>1987548.4090331474</c:v>
                </c:pt>
                <c:pt idx="47">
                  <c:v>1932285.0564195483</c:v>
                </c:pt>
                <c:pt idx="48">
                  <c:v>1879106.3468049678</c:v>
                </c:pt>
                <c:pt idx="49">
                  <c:v>1827924.4618725367</c:v>
                </c:pt>
                <c:pt idx="50">
                  <c:v>1778828.7873419002</c:v>
                </c:pt>
                <c:pt idx="51">
                  <c:v>1732063.0840719575</c:v>
                </c:pt>
                <c:pt idx="52">
                  <c:v>1687348.3527247517</c:v>
                </c:pt>
                <c:pt idx="53">
                  <c:v>1644749.3446970969</c:v>
                </c:pt>
                <c:pt idx="54">
                  <c:v>1604007.5528545901</c:v>
                </c:pt>
                <c:pt idx="55">
                  <c:v>1565190.8205060405</c:v>
                </c:pt>
                <c:pt idx="56">
                  <c:v>1528208.1824897877</c:v>
                </c:pt>
                <c:pt idx="57">
                  <c:v>1493119.8656470813</c:v>
                </c:pt>
                <c:pt idx="58">
                  <c:v>1459692.8982765484</c:v>
                </c:pt>
                <c:pt idx="59">
                  <c:v>1427991.4872593898</c:v>
                </c:pt>
                <c:pt idx="60">
                  <c:v>1397935.866137435</c:v>
                </c:pt>
                <c:pt idx="61">
                  <c:v>1369317.1379541925</c:v>
                </c:pt>
                <c:pt idx="62">
                  <c:v>1342073.0549389322</c:v>
                </c:pt>
                <c:pt idx="63">
                  <c:v>1316015.93934</c:v>
                </c:pt>
                <c:pt idx="64">
                  <c:v>1290971.0999999999</c:v>
                </c:pt>
                <c:pt idx="65">
                  <c:v>1266900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3-4D9D-968E-74D3538C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092245"/>
        <c:axId val="2032670427"/>
      </c:lineChart>
      <c:catAx>
        <c:axId val="1464092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2670427"/>
        <c:crosses val="autoZero"/>
        <c:auto val="1"/>
        <c:lblAlgn val="ctr"/>
        <c:lblOffset val="100"/>
        <c:noMultiLvlLbl val="1"/>
      </c:catAx>
      <c:valAx>
        <c:axId val="2032670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0922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  <c:strCache>
                <c:ptCount val="67"/>
                <c:pt idx="0">
                  <c:v>Year</c:v>
                </c:pt>
                <c:pt idx="1">
                  <c:v>1765</c:v>
                </c:pt>
                <c:pt idx="2">
                  <c:v>1764</c:v>
                </c:pt>
                <c:pt idx="3">
                  <c:v>1763</c:v>
                </c:pt>
                <c:pt idx="4">
                  <c:v>1762</c:v>
                </c:pt>
                <c:pt idx="5">
                  <c:v>1761</c:v>
                </c:pt>
                <c:pt idx="6">
                  <c:v>1760</c:v>
                </c:pt>
                <c:pt idx="7">
                  <c:v>1759</c:v>
                </c:pt>
                <c:pt idx="8">
                  <c:v>1758</c:v>
                </c:pt>
                <c:pt idx="9">
                  <c:v>1757</c:v>
                </c:pt>
                <c:pt idx="10">
                  <c:v>1756</c:v>
                </c:pt>
                <c:pt idx="11">
                  <c:v>1755</c:v>
                </c:pt>
                <c:pt idx="12">
                  <c:v>1754</c:v>
                </c:pt>
                <c:pt idx="13">
                  <c:v>1753</c:v>
                </c:pt>
                <c:pt idx="14">
                  <c:v>1752</c:v>
                </c:pt>
                <c:pt idx="15">
                  <c:v>1751</c:v>
                </c:pt>
                <c:pt idx="16">
                  <c:v>1750</c:v>
                </c:pt>
                <c:pt idx="17">
                  <c:v>1749</c:v>
                </c:pt>
                <c:pt idx="18">
                  <c:v>1748</c:v>
                </c:pt>
                <c:pt idx="19">
                  <c:v>1747</c:v>
                </c:pt>
                <c:pt idx="20">
                  <c:v>1746</c:v>
                </c:pt>
                <c:pt idx="21">
                  <c:v>1745</c:v>
                </c:pt>
                <c:pt idx="22">
                  <c:v>1744</c:v>
                </c:pt>
                <c:pt idx="23">
                  <c:v>1743</c:v>
                </c:pt>
                <c:pt idx="24">
                  <c:v>1742</c:v>
                </c:pt>
                <c:pt idx="25">
                  <c:v>1741</c:v>
                </c:pt>
                <c:pt idx="26">
                  <c:v>1740</c:v>
                </c:pt>
                <c:pt idx="27">
                  <c:v>1739</c:v>
                </c:pt>
                <c:pt idx="28">
                  <c:v>1738</c:v>
                </c:pt>
                <c:pt idx="29">
                  <c:v>1737</c:v>
                </c:pt>
                <c:pt idx="30">
                  <c:v>1736</c:v>
                </c:pt>
                <c:pt idx="31">
                  <c:v>1735</c:v>
                </c:pt>
                <c:pt idx="32">
                  <c:v>1734</c:v>
                </c:pt>
                <c:pt idx="33">
                  <c:v>1733</c:v>
                </c:pt>
                <c:pt idx="34">
                  <c:v>1732</c:v>
                </c:pt>
                <c:pt idx="35">
                  <c:v>1731</c:v>
                </c:pt>
                <c:pt idx="36">
                  <c:v>1730</c:v>
                </c:pt>
                <c:pt idx="37">
                  <c:v>1729</c:v>
                </c:pt>
                <c:pt idx="38">
                  <c:v>1728</c:v>
                </c:pt>
                <c:pt idx="39">
                  <c:v>1727</c:v>
                </c:pt>
                <c:pt idx="40">
                  <c:v>1726</c:v>
                </c:pt>
                <c:pt idx="41">
                  <c:v>1725</c:v>
                </c:pt>
                <c:pt idx="42">
                  <c:v>1724</c:v>
                </c:pt>
                <c:pt idx="43">
                  <c:v>1723</c:v>
                </c:pt>
                <c:pt idx="44">
                  <c:v>1722</c:v>
                </c:pt>
                <c:pt idx="45">
                  <c:v>1721</c:v>
                </c:pt>
                <c:pt idx="46">
                  <c:v>1720</c:v>
                </c:pt>
                <c:pt idx="47">
                  <c:v>1719</c:v>
                </c:pt>
                <c:pt idx="48">
                  <c:v>1718</c:v>
                </c:pt>
                <c:pt idx="49">
                  <c:v>1717</c:v>
                </c:pt>
                <c:pt idx="50">
                  <c:v>1716</c:v>
                </c:pt>
                <c:pt idx="51">
                  <c:v>1715</c:v>
                </c:pt>
                <c:pt idx="52">
                  <c:v>1714</c:v>
                </c:pt>
                <c:pt idx="53">
                  <c:v>1713</c:v>
                </c:pt>
                <c:pt idx="54">
                  <c:v>1712</c:v>
                </c:pt>
                <c:pt idx="55">
                  <c:v>1711</c:v>
                </c:pt>
                <c:pt idx="56">
                  <c:v>1710</c:v>
                </c:pt>
                <c:pt idx="57">
                  <c:v>1709</c:v>
                </c:pt>
                <c:pt idx="58">
                  <c:v>1708</c:v>
                </c:pt>
                <c:pt idx="59">
                  <c:v>1707</c:v>
                </c:pt>
                <c:pt idx="60">
                  <c:v>1706</c:v>
                </c:pt>
                <c:pt idx="61">
                  <c:v>1705</c:v>
                </c:pt>
                <c:pt idx="62">
                  <c:v>1704</c:v>
                </c:pt>
                <c:pt idx="63">
                  <c:v>1703</c:v>
                </c:pt>
                <c:pt idx="64">
                  <c:v>1702</c:v>
                </c:pt>
                <c:pt idx="65">
                  <c:v>1701</c:v>
                </c:pt>
                <c:pt idx="66">
                  <c:v>1700</c:v>
                </c:pt>
              </c:strCache>
            </c:strRef>
          </c:cat>
          <c:val>
            <c:numRef>
              <c:f>Ztesh!$D$1:$D$67</c:f>
              <c:numCache>
                <c:formatCode>0.00%</c:formatCode>
                <c:ptCount val="67"/>
                <c:pt idx="0" formatCode="General">
                  <c:v>0</c:v>
                </c:pt>
                <c:pt idx="1">
                  <c:v>1.26E-2</c:v>
                </c:pt>
                <c:pt idx="2">
                  <c:v>1.34E-2</c:v>
                </c:pt>
                <c:pt idx="3">
                  <c:v>1.43E-2</c:v>
                </c:pt>
                <c:pt idx="4">
                  <c:v>1.5100000000000001E-2</c:v>
                </c:pt>
                <c:pt idx="5">
                  <c:v>1.5800000000000002E-2</c:v>
                </c:pt>
                <c:pt idx="6">
                  <c:v>1.6400000000000001E-2</c:v>
                </c:pt>
                <c:pt idx="7">
                  <c:v>1.6899999999999998E-2</c:v>
                </c:pt>
                <c:pt idx="8">
                  <c:v>1.7399999999999999E-2</c:v>
                </c:pt>
                <c:pt idx="9">
                  <c:v>1.78E-2</c:v>
                </c:pt>
                <c:pt idx="10">
                  <c:v>1.8200000000000001E-2</c:v>
                </c:pt>
                <c:pt idx="11">
                  <c:v>1.8599999999999998E-2</c:v>
                </c:pt>
                <c:pt idx="12">
                  <c:v>1.9099999999999999E-2</c:v>
                </c:pt>
                <c:pt idx="13">
                  <c:v>1.9599999999999999E-2</c:v>
                </c:pt>
                <c:pt idx="14">
                  <c:v>2.01E-2</c:v>
                </c:pt>
                <c:pt idx="15">
                  <c:v>2.0400000000000001E-2</c:v>
                </c:pt>
                <c:pt idx="16">
                  <c:v>2.07E-2</c:v>
                </c:pt>
                <c:pt idx="17">
                  <c:v>2.0899999999999998E-2</c:v>
                </c:pt>
                <c:pt idx="18">
                  <c:v>2.1100000000000001E-2</c:v>
                </c:pt>
                <c:pt idx="19">
                  <c:v>2.12E-2</c:v>
                </c:pt>
                <c:pt idx="20">
                  <c:v>2.1399999999999999E-2</c:v>
                </c:pt>
                <c:pt idx="21">
                  <c:v>2.1700000000000001E-2</c:v>
                </c:pt>
                <c:pt idx="22">
                  <c:v>2.1999999999999999E-2</c:v>
                </c:pt>
                <c:pt idx="23">
                  <c:v>2.23E-2</c:v>
                </c:pt>
                <c:pt idx="24">
                  <c:v>2.2700000000000001E-2</c:v>
                </c:pt>
                <c:pt idx="25">
                  <c:v>2.3E-2</c:v>
                </c:pt>
                <c:pt idx="26">
                  <c:v>2.3199999999999998E-2</c:v>
                </c:pt>
                <c:pt idx="27">
                  <c:v>2.3400000000000001E-2</c:v>
                </c:pt>
                <c:pt idx="28">
                  <c:v>2.35E-2</c:v>
                </c:pt>
                <c:pt idx="29">
                  <c:v>2.3599999999999999E-2</c:v>
                </c:pt>
                <c:pt idx="30">
                  <c:v>2.3699999999999999E-2</c:v>
                </c:pt>
                <c:pt idx="31">
                  <c:v>2.3699999999999999E-2</c:v>
                </c:pt>
                <c:pt idx="32">
                  <c:v>2.3699999999999999E-2</c:v>
                </c:pt>
                <c:pt idx="33">
                  <c:v>2.3699999999999999E-2</c:v>
                </c:pt>
                <c:pt idx="34">
                  <c:v>2.35E-2</c:v>
                </c:pt>
                <c:pt idx="35">
                  <c:v>2.3199999999999998E-2</c:v>
                </c:pt>
                <c:pt idx="36">
                  <c:v>2.2800000000000001E-2</c:v>
                </c:pt>
                <c:pt idx="37">
                  <c:v>2.2499999999999999E-2</c:v>
                </c:pt>
                <c:pt idx="38">
                  <c:v>2.24E-2</c:v>
                </c:pt>
                <c:pt idx="39">
                  <c:v>2.2499999999999999E-2</c:v>
                </c:pt>
                <c:pt idx="40">
                  <c:v>2.2700000000000001E-2</c:v>
                </c:pt>
                <c:pt idx="41">
                  <c:v>2.2800000000000001E-2</c:v>
                </c:pt>
                <c:pt idx="42">
                  <c:v>2.2800000000000001E-2</c:v>
                </c:pt>
                <c:pt idx="43">
                  <c:v>2.2700000000000001E-2</c:v>
                </c:pt>
                <c:pt idx="44">
                  <c:v>2.24E-2</c:v>
                </c:pt>
                <c:pt idx="45">
                  <c:v>2.1999999999999999E-2</c:v>
                </c:pt>
                <c:pt idx="46">
                  <c:v>2.1700000000000001E-2</c:v>
                </c:pt>
                <c:pt idx="47">
                  <c:v>2.1499999999999998E-2</c:v>
                </c:pt>
                <c:pt idx="48">
                  <c:v>2.1499999999999998E-2</c:v>
                </c:pt>
                <c:pt idx="49">
                  <c:v>2.1499999999999998E-2</c:v>
                </c:pt>
                <c:pt idx="50">
                  <c:v>2.1499999999999998E-2</c:v>
                </c:pt>
                <c:pt idx="51">
                  <c:v>2.12E-2</c:v>
                </c:pt>
                <c:pt idx="52">
                  <c:v>2.0799999999999999E-2</c:v>
                </c:pt>
                <c:pt idx="53">
                  <c:v>2.0400000000000001E-2</c:v>
                </c:pt>
                <c:pt idx="54">
                  <c:v>2.01E-2</c:v>
                </c:pt>
                <c:pt idx="55">
                  <c:v>1.9900000000000001E-2</c:v>
                </c:pt>
                <c:pt idx="56">
                  <c:v>1.9800000000000002E-2</c:v>
                </c:pt>
                <c:pt idx="57">
                  <c:v>1.9699999999999999E-2</c:v>
                </c:pt>
                <c:pt idx="58">
                  <c:v>1.9599999999999999E-2</c:v>
                </c:pt>
                <c:pt idx="59">
                  <c:v>1.9400000000000001E-2</c:v>
                </c:pt>
                <c:pt idx="60">
                  <c:v>1.9E-2</c:v>
                </c:pt>
                <c:pt idx="61">
                  <c:v>1.8499999999999999E-2</c:v>
                </c:pt>
                <c:pt idx="62">
                  <c:v>1.7999999999999999E-2</c:v>
                </c:pt>
                <c:pt idx="63">
                  <c:v>1.7399999999999999E-2</c:v>
                </c:pt>
                <c:pt idx="64">
                  <c:v>1.6899999999999998E-2</c:v>
                </c:pt>
                <c:pt idx="65">
                  <c:v>1.6500000000000001E-2</c:v>
                </c:pt>
                <c:pt idx="66">
                  <c:v>1.6199999999999999E-2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F2-43F7-9D17-E7BB3920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609325"/>
        <c:axId val="1930821444"/>
      </c:lineChart>
      <c:catAx>
        <c:axId val="621609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0821444"/>
        <c:crosses val="autoZero"/>
        <c:auto val="1"/>
        <c:lblAlgn val="ctr"/>
        <c:lblOffset val="100"/>
        <c:noMultiLvlLbl val="1"/>
      </c:catAx>
      <c:valAx>
        <c:axId val="1930821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16093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Ztesh!$C$1</c:f>
              <c:strCache>
                <c:ptCount val="1"/>
                <c:pt idx="0">
                  <c:v>Population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Aetintio!$B$2:$B$67</c:f>
              <c:numCache>
                <c:formatCode>General</c:formatCode>
                <c:ptCount val="66"/>
                <c:pt idx="0">
                  <c:v>1765</c:v>
                </c:pt>
                <c:pt idx="1">
                  <c:v>1764</c:v>
                </c:pt>
                <c:pt idx="2">
                  <c:v>1763</c:v>
                </c:pt>
                <c:pt idx="3">
                  <c:v>1762</c:v>
                </c:pt>
                <c:pt idx="4">
                  <c:v>1761</c:v>
                </c:pt>
                <c:pt idx="5">
                  <c:v>1760</c:v>
                </c:pt>
                <c:pt idx="6">
                  <c:v>1759</c:v>
                </c:pt>
                <c:pt idx="7">
                  <c:v>1758</c:v>
                </c:pt>
                <c:pt idx="8">
                  <c:v>1757</c:v>
                </c:pt>
                <c:pt idx="9">
                  <c:v>1756</c:v>
                </c:pt>
                <c:pt idx="10">
                  <c:v>1755</c:v>
                </c:pt>
                <c:pt idx="11">
                  <c:v>1754</c:v>
                </c:pt>
                <c:pt idx="12">
                  <c:v>1753</c:v>
                </c:pt>
                <c:pt idx="13">
                  <c:v>1752</c:v>
                </c:pt>
                <c:pt idx="14">
                  <c:v>1751</c:v>
                </c:pt>
                <c:pt idx="15">
                  <c:v>1750</c:v>
                </c:pt>
                <c:pt idx="16">
                  <c:v>1749</c:v>
                </c:pt>
                <c:pt idx="17">
                  <c:v>1748</c:v>
                </c:pt>
                <c:pt idx="18">
                  <c:v>1747</c:v>
                </c:pt>
                <c:pt idx="19">
                  <c:v>1746</c:v>
                </c:pt>
                <c:pt idx="20">
                  <c:v>1745</c:v>
                </c:pt>
                <c:pt idx="21">
                  <c:v>1744</c:v>
                </c:pt>
                <c:pt idx="22">
                  <c:v>1743</c:v>
                </c:pt>
                <c:pt idx="23">
                  <c:v>1742</c:v>
                </c:pt>
                <c:pt idx="24">
                  <c:v>1741</c:v>
                </c:pt>
                <c:pt idx="25">
                  <c:v>1740</c:v>
                </c:pt>
                <c:pt idx="26">
                  <c:v>1739</c:v>
                </c:pt>
                <c:pt idx="27">
                  <c:v>1738</c:v>
                </c:pt>
                <c:pt idx="28">
                  <c:v>1737</c:v>
                </c:pt>
                <c:pt idx="29">
                  <c:v>1736</c:v>
                </c:pt>
                <c:pt idx="30">
                  <c:v>1735</c:v>
                </c:pt>
                <c:pt idx="31">
                  <c:v>1734</c:v>
                </c:pt>
                <c:pt idx="32">
                  <c:v>1733</c:v>
                </c:pt>
                <c:pt idx="33">
                  <c:v>1732</c:v>
                </c:pt>
                <c:pt idx="34">
                  <c:v>1731</c:v>
                </c:pt>
                <c:pt idx="35">
                  <c:v>1730</c:v>
                </c:pt>
                <c:pt idx="36">
                  <c:v>1729</c:v>
                </c:pt>
                <c:pt idx="37">
                  <c:v>1728</c:v>
                </c:pt>
                <c:pt idx="38">
                  <c:v>1727</c:v>
                </c:pt>
                <c:pt idx="39">
                  <c:v>1726</c:v>
                </c:pt>
                <c:pt idx="40">
                  <c:v>1725</c:v>
                </c:pt>
                <c:pt idx="41">
                  <c:v>1724</c:v>
                </c:pt>
                <c:pt idx="42">
                  <c:v>1723</c:v>
                </c:pt>
                <c:pt idx="43">
                  <c:v>1722</c:v>
                </c:pt>
                <c:pt idx="44">
                  <c:v>1721</c:v>
                </c:pt>
                <c:pt idx="45">
                  <c:v>1720</c:v>
                </c:pt>
                <c:pt idx="46">
                  <c:v>1719</c:v>
                </c:pt>
                <c:pt idx="47">
                  <c:v>1718</c:v>
                </c:pt>
                <c:pt idx="48">
                  <c:v>1717</c:v>
                </c:pt>
                <c:pt idx="49">
                  <c:v>1716</c:v>
                </c:pt>
                <c:pt idx="50">
                  <c:v>1715</c:v>
                </c:pt>
                <c:pt idx="51">
                  <c:v>1714</c:v>
                </c:pt>
                <c:pt idx="52">
                  <c:v>1713</c:v>
                </c:pt>
                <c:pt idx="53">
                  <c:v>1712</c:v>
                </c:pt>
                <c:pt idx="54">
                  <c:v>1711</c:v>
                </c:pt>
                <c:pt idx="55">
                  <c:v>1710</c:v>
                </c:pt>
                <c:pt idx="56">
                  <c:v>1709</c:v>
                </c:pt>
                <c:pt idx="57">
                  <c:v>1708</c:v>
                </c:pt>
                <c:pt idx="58">
                  <c:v>1707</c:v>
                </c:pt>
                <c:pt idx="59">
                  <c:v>1706</c:v>
                </c:pt>
                <c:pt idx="60">
                  <c:v>1705</c:v>
                </c:pt>
                <c:pt idx="61">
                  <c:v>1704</c:v>
                </c:pt>
                <c:pt idx="62">
                  <c:v>1703</c:v>
                </c:pt>
                <c:pt idx="63">
                  <c:v>1702</c:v>
                </c:pt>
                <c:pt idx="64">
                  <c:v>1701</c:v>
                </c:pt>
                <c:pt idx="65">
                  <c:v>1700</c:v>
                </c:pt>
              </c:numCache>
            </c:numRef>
          </c:cat>
          <c:val>
            <c:numRef>
              <c:f>Ztesh!$C$2:$C$67</c:f>
              <c:numCache>
                <c:formatCode>#,##0</c:formatCode>
                <c:ptCount val="66"/>
                <c:pt idx="0">
                  <c:v>425141489.37159437</c:v>
                </c:pt>
                <c:pt idx="1">
                  <c:v>419851362.20777643</c:v>
                </c:pt>
                <c:pt idx="2">
                  <c:v>414299745.6165151</c:v>
                </c:pt>
                <c:pt idx="3">
                  <c:v>408458784.9911418</c:v>
                </c:pt>
                <c:pt idx="4">
                  <c:v>402382804.64106178</c:v>
                </c:pt>
                <c:pt idx="5">
                  <c:v>396124044.73426044</c:v>
                </c:pt>
                <c:pt idx="6">
                  <c:v>389732432.8357541</c:v>
                </c:pt>
                <c:pt idx="7">
                  <c:v>383255416.30027938</c:v>
                </c:pt>
                <c:pt idx="8">
                  <c:v>376700821.99752247</c:v>
                </c:pt>
                <c:pt idx="9">
                  <c:v>370112813.90992576</c:v>
                </c:pt>
                <c:pt idx="10">
                  <c:v>363497165.4978646</c:v>
                </c:pt>
                <c:pt idx="11">
                  <c:v>356859577.35898745</c:v>
                </c:pt>
                <c:pt idx="12">
                  <c:v>350171305.42536306</c:v>
                </c:pt>
                <c:pt idx="13">
                  <c:v>343439883.70474994</c:v>
                </c:pt>
                <c:pt idx="14">
                  <c:v>336672761.2045387</c:v>
                </c:pt>
                <c:pt idx="15">
                  <c:v>329941945.51601207</c:v>
                </c:pt>
                <c:pt idx="16">
                  <c:v>323250656.91781336</c:v>
                </c:pt>
                <c:pt idx="17">
                  <c:v>316633026.66060668</c:v>
                </c:pt>
                <c:pt idx="18">
                  <c:v>310090125.02262926</c:v>
                </c:pt>
                <c:pt idx="19">
                  <c:v>303652688.03626049</c:v>
                </c:pt>
                <c:pt idx="20">
                  <c:v>297290667.74648565</c:v>
                </c:pt>
                <c:pt idx="21">
                  <c:v>290976478.17019248</c:v>
                </c:pt>
                <c:pt idx="22">
                  <c:v>284712796.64402395</c:v>
                </c:pt>
                <c:pt idx="23">
                  <c:v>278502197.63672501</c:v>
                </c:pt>
                <c:pt idx="24">
                  <c:v>272320521.79204559</c:v>
                </c:pt>
                <c:pt idx="25">
                  <c:v>266197968.51617363</c:v>
                </c:pt>
                <c:pt idx="26">
                  <c:v>260162205.35200703</c:v>
                </c:pt>
                <c:pt idx="27">
                  <c:v>254213606.94939125</c:v>
                </c:pt>
                <c:pt idx="28">
                  <c:v>248376753.24806178</c:v>
                </c:pt>
                <c:pt idx="29">
                  <c:v>242650208.33143979</c:v>
                </c:pt>
                <c:pt idx="30">
                  <c:v>237032537.19980443</c:v>
                </c:pt>
                <c:pt idx="31">
                  <c:v>231544922.53570813</c:v>
                </c:pt>
                <c:pt idx="32">
                  <c:v>226184353.3610512</c:v>
                </c:pt>
                <c:pt idx="33">
                  <c:v>220947888.40583295</c:v>
                </c:pt>
                <c:pt idx="34">
                  <c:v>215874829.90310985</c:v>
                </c:pt>
                <c:pt idx="35">
                  <c:v>210980091.77395409</c:v>
                </c:pt>
                <c:pt idx="36">
                  <c:v>206276976.70507833</c:v>
                </c:pt>
                <c:pt idx="37">
                  <c:v>201737874.52819398</c:v>
                </c:pt>
                <c:pt idx="38">
                  <c:v>197317952.39455593</c:v>
                </c:pt>
                <c:pt idx="39">
                  <c:v>192975992.56191289</c:v>
                </c:pt>
                <c:pt idx="40">
                  <c:v>188692668.97615421</c:v>
                </c:pt>
                <c:pt idx="41">
                  <c:v>184486379.52302915</c:v>
                </c:pt>
                <c:pt idx="42">
                  <c:v>180373855.61500701</c:v>
                </c:pt>
                <c:pt idx="43">
                  <c:v>176370250.91914248</c:v>
                </c:pt>
                <c:pt idx="44">
                  <c:v>172506113.96629742</c:v>
                </c:pt>
                <c:pt idx="45">
                  <c:v>168792675.11379394</c:v>
                </c:pt>
                <c:pt idx="46">
                  <c:v>165207668.70294014</c:v>
                </c:pt>
                <c:pt idx="47">
                  <c:v>161730463.73268735</c:v>
                </c:pt>
                <c:pt idx="48">
                  <c:v>158326445.16171056</c:v>
                </c:pt>
                <c:pt idx="49">
                  <c:v>154994072.60079348</c:v>
                </c:pt>
                <c:pt idx="50">
                  <c:v>151731838.08202982</c:v>
                </c:pt>
                <c:pt idx="51">
                  <c:v>148581901.76461986</c:v>
                </c:pt>
                <c:pt idx="52">
                  <c:v>145554370.85092071</c:v>
                </c:pt>
                <c:pt idx="53">
                  <c:v>142644424.58929902</c:v>
                </c:pt>
                <c:pt idx="54">
                  <c:v>139833765.89481327</c:v>
                </c:pt>
                <c:pt idx="55">
                  <c:v>137105369.05070424</c:v>
                </c:pt>
                <c:pt idx="56">
                  <c:v>134443389.93008849</c:v>
                </c:pt>
                <c:pt idx="57">
                  <c:v>131846023.27163723</c:v>
                </c:pt>
                <c:pt idx="58">
                  <c:v>129311517.52808672</c:v>
                </c:pt>
                <c:pt idx="59">
                  <c:v>126850615.58572367</c:v>
                </c:pt>
                <c:pt idx="60">
                  <c:v>124485393.11650999</c:v>
                </c:pt>
                <c:pt idx="61">
                  <c:v>122224244.59156603</c:v>
                </c:pt>
                <c:pt idx="62">
                  <c:v>120063108.63611594</c:v>
                </c:pt>
                <c:pt idx="63">
                  <c:v>118009739.17447998</c:v>
                </c:pt>
                <c:pt idx="64">
                  <c:v>116048519.19999999</c:v>
                </c:pt>
                <c:pt idx="65">
                  <c:v>114164800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C-4167-AFAD-24D75D01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731143"/>
        <c:axId val="1568539385"/>
      </c:lineChart>
      <c:catAx>
        <c:axId val="538731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1800000"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8539385"/>
        <c:crosses val="autoZero"/>
        <c:auto val="1"/>
        <c:lblAlgn val="ctr"/>
        <c:lblOffset val="100"/>
        <c:noMultiLvlLbl val="1"/>
      </c:catAx>
      <c:valAx>
        <c:axId val="1568539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87311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50.xml"/><Relationship Id="rId21" Type="http://schemas.openxmlformats.org/officeDocument/2006/relationships/chart" Target="../charts/chart45.xml"/><Relationship Id="rId42" Type="http://schemas.openxmlformats.org/officeDocument/2006/relationships/chart" Target="../charts/chart66.xml"/><Relationship Id="rId47" Type="http://schemas.openxmlformats.org/officeDocument/2006/relationships/chart" Target="../charts/chart71.xml"/><Relationship Id="rId63" Type="http://schemas.openxmlformats.org/officeDocument/2006/relationships/chart" Target="../charts/chart87.xml"/><Relationship Id="rId68" Type="http://schemas.openxmlformats.org/officeDocument/2006/relationships/chart" Target="../charts/chart92.xml"/><Relationship Id="rId7" Type="http://schemas.openxmlformats.org/officeDocument/2006/relationships/chart" Target="../charts/chart31.xml"/><Relationship Id="rId71" Type="http://schemas.openxmlformats.org/officeDocument/2006/relationships/chart" Target="../charts/chart95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9" Type="http://schemas.openxmlformats.org/officeDocument/2006/relationships/chart" Target="../charts/chart53.xml"/><Relationship Id="rId11" Type="http://schemas.openxmlformats.org/officeDocument/2006/relationships/chart" Target="../charts/chart35.xml"/><Relationship Id="rId24" Type="http://schemas.openxmlformats.org/officeDocument/2006/relationships/chart" Target="../charts/chart48.xml"/><Relationship Id="rId32" Type="http://schemas.openxmlformats.org/officeDocument/2006/relationships/chart" Target="../charts/chart56.xml"/><Relationship Id="rId37" Type="http://schemas.openxmlformats.org/officeDocument/2006/relationships/chart" Target="../charts/chart61.xml"/><Relationship Id="rId40" Type="http://schemas.openxmlformats.org/officeDocument/2006/relationships/chart" Target="../charts/chart64.xml"/><Relationship Id="rId45" Type="http://schemas.openxmlformats.org/officeDocument/2006/relationships/chart" Target="../charts/chart69.xml"/><Relationship Id="rId53" Type="http://schemas.openxmlformats.org/officeDocument/2006/relationships/chart" Target="../charts/chart77.xml"/><Relationship Id="rId58" Type="http://schemas.openxmlformats.org/officeDocument/2006/relationships/chart" Target="../charts/chart82.xml"/><Relationship Id="rId66" Type="http://schemas.openxmlformats.org/officeDocument/2006/relationships/chart" Target="../charts/chart90.xml"/><Relationship Id="rId5" Type="http://schemas.openxmlformats.org/officeDocument/2006/relationships/chart" Target="../charts/chart29.xml"/><Relationship Id="rId61" Type="http://schemas.openxmlformats.org/officeDocument/2006/relationships/chart" Target="../charts/chart85.xml"/><Relationship Id="rId19" Type="http://schemas.openxmlformats.org/officeDocument/2006/relationships/chart" Target="../charts/chart4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Relationship Id="rId27" Type="http://schemas.openxmlformats.org/officeDocument/2006/relationships/chart" Target="../charts/chart51.xml"/><Relationship Id="rId30" Type="http://schemas.openxmlformats.org/officeDocument/2006/relationships/chart" Target="../charts/chart54.xml"/><Relationship Id="rId35" Type="http://schemas.openxmlformats.org/officeDocument/2006/relationships/chart" Target="../charts/chart59.xml"/><Relationship Id="rId43" Type="http://schemas.openxmlformats.org/officeDocument/2006/relationships/chart" Target="../charts/chart67.xml"/><Relationship Id="rId48" Type="http://schemas.openxmlformats.org/officeDocument/2006/relationships/chart" Target="../charts/chart72.xml"/><Relationship Id="rId56" Type="http://schemas.openxmlformats.org/officeDocument/2006/relationships/chart" Target="../charts/chart80.xml"/><Relationship Id="rId64" Type="http://schemas.openxmlformats.org/officeDocument/2006/relationships/chart" Target="../charts/chart88.xml"/><Relationship Id="rId69" Type="http://schemas.openxmlformats.org/officeDocument/2006/relationships/chart" Target="../charts/chart93.xml"/><Relationship Id="rId8" Type="http://schemas.openxmlformats.org/officeDocument/2006/relationships/chart" Target="../charts/chart32.xml"/><Relationship Id="rId51" Type="http://schemas.openxmlformats.org/officeDocument/2006/relationships/chart" Target="../charts/chart75.xml"/><Relationship Id="rId72" Type="http://schemas.openxmlformats.org/officeDocument/2006/relationships/chart" Target="../charts/chart96.xml"/><Relationship Id="rId3" Type="http://schemas.openxmlformats.org/officeDocument/2006/relationships/chart" Target="../charts/chart27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5" Type="http://schemas.openxmlformats.org/officeDocument/2006/relationships/chart" Target="../charts/chart49.xml"/><Relationship Id="rId33" Type="http://schemas.openxmlformats.org/officeDocument/2006/relationships/chart" Target="../charts/chart57.xml"/><Relationship Id="rId38" Type="http://schemas.openxmlformats.org/officeDocument/2006/relationships/chart" Target="../charts/chart62.xml"/><Relationship Id="rId46" Type="http://schemas.openxmlformats.org/officeDocument/2006/relationships/chart" Target="../charts/chart70.xml"/><Relationship Id="rId59" Type="http://schemas.openxmlformats.org/officeDocument/2006/relationships/chart" Target="../charts/chart83.xml"/><Relationship Id="rId67" Type="http://schemas.openxmlformats.org/officeDocument/2006/relationships/chart" Target="../charts/chart91.xml"/><Relationship Id="rId20" Type="http://schemas.openxmlformats.org/officeDocument/2006/relationships/chart" Target="../charts/chart44.xml"/><Relationship Id="rId41" Type="http://schemas.openxmlformats.org/officeDocument/2006/relationships/chart" Target="../charts/chart65.xml"/><Relationship Id="rId54" Type="http://schemas.openxmlformats.org/officeDocument/2006/relationships/chart" Target="../charts/chart78.xml"/><Relationship Id="rId62" Type="http://schemas.openxmlformats.org/officeDocument/2006/relationships/chart" Target="../charts/chart86.xml"/><Relationship Id="rId70" Type="http://schemas.openxmlformats.org/officeDocument/2006/relationships/chart" Target="../charts/chart9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5" Type="http://schemas.openxmlformats.org/officeDocument/2006/relationships/chart" Target="../charts/chart39.xml"/><Relationship Id="rId23" Type="http://schemas.openxmlformats.org/officeDocument/2006/relationships/chart" Target="../charts/chart47.xml"/><Relationship Id="rId28" Type="http://schemas.openxmlformats.org/officeDocument/2006/relationships/chart" Target="../charts/chart52.xml"/><Relationship Id="rId36" Type="http://schemas.openxmlformats.org/officeDocument/2006/relationships/chart" Target="../charts/chart60.xml"/><Relationship Id="rId49" Type="http://schemas.openxmlformats.org/officeDocument/2006/relationships/chart" Target="../charts/chart73.xml"/><Relationship Id="rId57" Type="http://schemas.openxmlformats.org/officeDocument/2006/relationships/chart" Target="../charts/chart81.xml"/><Relationship Id="rId10" Type="http://schemas.openxmlformats.org/officeDocument/2006/relationships/chart" Target="../charts/chart34.xml"/><Relationship Id="rId31" Type="http://schemas.openxmlformats.org/officeDocument/2006/relationships/chart" Target="../charts/chart55.xml"/><Relationship Id="rId44" Type="http://schemas.openxmlformats.org/officeDocument/2006/relationships/chart" Target="../charts/chart68.xml"/><Relationship Id="rId52" Type="http://schemas.openxmlformats.org/officeDocument/2006/relationships/chart" Target="../charts/chart76.xml"/><Relationship Id="rId60" Type="http://schemas.openxmlformats.org/officeDocument/2006/relationships/chart" Target="../charts/chart84.xml"/><Relationship Id="rId65" Type="http://schemas.openxmlformats.org/officeDocument/2006/relationships/chart" Target="../charts/chart89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9" Type="http://schemas.openxmlformats.org/officeDocument/2006/relationships/chart" Target="../charts/chart63.xml"/><Relationship Id="rId34" Type="http://schemas.openxmlformats.org/officeDocument/2006/relationships/chart" Target="../charts/chart58.xml"/><Relationship Id="rId50" Type="http://schemas.openxmlformats.org/officeDocument/2006/relationships/chart" Target="../charts/chart74.xml"/><Relationship Id="rId55" Type="http://schemas.openxmlformats.org/officeDocument/2006/relationships/chart" Target="../charts/chart7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0.xml"/><Relationship Id="rId1" Type="http://schemas.openxmlformats.org/officeDocument/2006/relationships/chart" Target="../charts/chart9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4.xml"/><Relationship Id="rId1" Type="http://schemas.openxmlformats.org/officeDocument/2006/relationships/chart" Target="../charts/chart10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6.xml"/><Relationship Id="rId1" Type="http://schemas.openxmlformats.org/officeDocument/2006/relationships/chart" Target="../charts/chart10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8.xml"/><Relationship Id="rId1" Type="http://schemas.openxmlformats.org/officeDocument/2006/relationships/chart" Target="../charts/chart10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0.xml"/><Relationship Id="rId1" Type="http://schemas.openxmlformats.org/officeDocument/2006/relationships/chart" Target="../charts/chart10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2.xml"/><Relationship Id="rId1" Type="http://schemas.openxmlformats.org/officeDocument/2006/relationships/chart" Target="../charts/chart1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4.xml"/><Relationship Id="rId1" Type="http://schemas.openxmlformats.org/officeDocument/2006/relationships/chart" Target="../charts/chart11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8.xml"/><Relationship Id="rId1" Type="http://schemas.openxmlformats.org/officeDocument/2006/relationships/chart" Target="../charts/chart117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0.xml"/><Relationship Id="rId1" Type="http://schemas.openxmlformats.org/officeDocument/2006/relationships/chart" Target="../charts/chart119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2.xml"/><Relationship Id="rId1" Type="http://schemas.openxmlformats.org/officeDocument/2006/relationships/chart" Target="../charts/chart121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4.xml"/><Relationship Id="rId1" Type="http://schemas.openxmlformats.org/officeDocument/2006/relationships/chart" Target="../charts/chart123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6.xml"/><Relationship Id="rId1" Type="http://schemas.openxmlformats.org/officeDocument/2006/relationships/chart" Target="../charts/chart125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8.xml"/><Relationship Id="rId1" Type="http://schemas.openxmlformats.org/officeDocument/2006/relationships/chart" Target="../charts/chart12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0.xml"/><Relationship Id="rId1" Type="http://schemas.openxmlformats.org/officeDocument/2006/relationships/chart" Target="../charts/chart12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2.xml"/><Relationship Id="rId1" Type="http://schemas.openxmlformats.org/officeDocument/2006/relationships/chart" Target="../charts/chart131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4.xml"/><Relationship Id="rId1" Type="http://schemas.openxmlformats.org/officeDocument/2006/relationships/chart" Target="../charts/chart133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6.xml"/><Relationship Id="rId1" Type="http://schemas.openxmlformats.org/officeDocument/2006/relationships/chart" Target="../charts/chart135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8.xml"/><Relationship Id="rId1" Type="http://schemas.openxmlformats.org/officeDocument/2006/relationships/chart" Target="../charts/chart137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0.xml"/><Relationship Id="rId1" Type="http://schemas.openxmlformats.org/officeDocument/2006/relationships/chart" Target="../charts/chart139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2.xml"/><Relationship Id="rId1" Type="http://schemas.openxmlformats.org/officeDocument/2006/relationships/chart" Target="../charts/chart141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4.xml"/><Relationship Id="rId1" Type="http://schemas.openxmlformats.org/officeDocument/2006/relationships/chart" Target="../charts/chart143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6.xml"/><Relationship Id="rId1" Type="http://schemas.openxmlformats.org/officeDocument/2006/relationships/chart" Target="../charts/chart145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8.xml"/><Relationship Id="rId1" Type="http://schemas.openxmlformats.org/officeDocument/2006/relationships/chart" Target="../charts/chart14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0.xml"/><Relationship Id="rId1" Type="http://schemas.openxmlformats.org/officeDocument/2006/relationships/chart" Target="../charts/chart149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2.xml"/><Relationship Id="rId1" Type="http://schemas.openxmlformats.org/officeDocument/2006/relationships/chart" Target="../charts/chart151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4.xml"/><Relationship Id="rId1" Type="http://schemas.openxmlformats.org/officeDocument/2006/relationships/chart" Target="../charts/chart153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6.xml"/><Relationship Id="rId1" Type="http://schemas.openxmlformats.org/officeDocument/2006/relationships/chart" Target="../charts/chart155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8.xml"/><Relationship Id="rId1" Type="http://schemas.openxmlformats.org/officeDocument/2006/relationships/chart" Target="../charts/chart157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0.xml"/><Relationship Id="rId1" Type="http://schemas.openxmlformats.org/officeDocument/2006/relationships/chart" Target="../charts/chart159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2.xml"/><Relationship Id="rId1" Type="http://schemas.openxmlformats.org/officeDocument/2006/relationships/chart" Target="../charts/chart161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4.xml"/><Relationship Id="rId1" Type="http://schemas.openxmlformats.org/officeDocument/2006/relationships/chart" Target="../charts/chart163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6.xml"/><Relationship Id="rId1" Type="http://schemas.openxmlformats.org/officeDocument/2006/relationships/chart" Target="../charts/chart165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8.xml"/><Relationship Id="rId1" Type="http://schemas.openxmlformats.org/officeDocument/2006/relationships/chart" Target="../charts/chart16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0.xml"/><Relationship Id="rId1" Type="http://schemas.openxmlformats.org/officeDocument/2006/relationships/chart" Target="../charts/chart169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2.xml"/><Relationship Id="rId1" Type="http://schemas.openxmlformats.org/officeDocument/2006/relationships/chart" Target="../charts/chart171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4.xml"/><Relationship Id="rId1" Type="http://schemas.openxmlformats.org/officeDocument/2006/relationships/chart" Target="../charts/chart173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6.xml"/><Relationship Id="rId1" Type="http://schemas.openxmlformats.org/officeDocument/2006/relationships/chart" Target="../charts/chart175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8.xml"/><Relationship Id="rId1" Type="http://schemas.openxmlformats.org/officeDocument/2006/relationships/chart" Target="../charts/chart177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0.xml"/><Relationship Id="rId1" Type="http://schemas.openxmlformats.org/officeDocument/2006/relationships/chart" Target="../charts/chart179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2.xml"/><Relationship Id="rId1" Type="http://schemas.openxmlformats.org/officeDocument/2006/relationships/chart" Target="../charts/chart181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4.xml"/><Relationship Id="rId1" Type="http://schemas.openxmlformats.org/officeDocument/2006/relationships/chart" Target="../charts/chart183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6.xml"/><Relationship Id="rId1" Type="http://schemas.openxmlformats.org/officeDocument/2006/relationships/chart" Target="../charts/chart185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8.xml"/><Relationship Id="rId1" Type="http://schemas.openxmlformats.org/officeDocument/2006/relationships/chart" Target="../charts/chart18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0.xml"/><Relationship Id="rId1" Type="http://schemas.openxmlformats.org/officeDocument/2006/relationships/chart" Target="../charts/chart189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2.xml"/><Relationship Id="rId1" Type="http://schemas.openxmlformats.org/officeDocument/2006/relationships/chart" Target="../charts/chart191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4.xml"/><Relationship Id="rId1" Type="http://schemas.openxmlformats.org/officeDocument/2006/relationships/chart" Target="../charts/chart193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6.xml"/><Relationship Id="rId1" Type="http://schemas.openxmlformats.org/officeDocument/2006/relationships/chart" Target="../charts/chart195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8.xml"/><Relationship Id="rId1" Type="http://schemas.openxmlformats.org/officeDocument/2006/relationships/chart" Target="../charts/chart197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0.xml"/><Relationship Id="rId1" Type="http://schemas.openxmlformats.org/officeDocument/2006/relationships/chart" Target="../charts/chart199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2.xml"/><Relationship Id="rId1" Type="http://schemas.openxmlformats.org/officeDocument/2006/relationships/chart" Target="../charts/chart201.xm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4.xml"/><Relationship Id="rId1" Type="http://schemas.openxmlformats.org/officeDocument/2006/relationships/chart" Target="../charts/chart203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6.xml"/><Relationship Id="rId1" Type="http://schemas.openxmlformats.org/officeDocument/2006/relationships/chart" Target="../charts/chart205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8.xml"/><Relationship Id="rId1" Type="http://schemas.openxmlformats.org/officeDocument/2006/relationships/chart" Target="../charts/chart207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0.xml"/><Relationship Id="rId1" Type="http://schemas.openxmlformats.org/officeDocument/2006/relationships/chart" Target="../charts/chart209.xm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2.xml"/><Relationship Id="rId1" Type="http://schemas.openxmlformats.org/officeDocument/2006/relationships/chart" Target="../charts/chart211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4.xml"/><Relationship Id="rId1" Type="http://schemas.openxmlformats.org/officeDocument/2006/relationships/chart" Target="../charts/chart213.xm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6.xml"/><Relationship Id="rId1" Type="http://schemas.openxmlformats.org/officeDocument/2006/relationships/chart" Target="../charts/chart215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8.xml"/><Relationship Id="rId1" Type="http://schemas.openxmlformats.org/officeDocument/2006/relationships/chart" Target="../charts/chart217.xm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0.xml"/><Relationship Id="rId1" Type="http://schemas.openxmlformats.org/officeDocument/2006/relationships/chart" Target="../charts/chart219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2.xml"/><Relationship Id="rId1" Type="http://schemas.openxmlformats.org/officeDocument/2006/relationships/chart" Target="../charts/chart221.xml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4.xml"/><Relationship Id="rId1" Type="http://schemas.openxmlformats.org/officeDocument/2006/relationships/chart" Target="../charts/chart223.xm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6.xml"/><Relationship Id="rId1" Type="http://schemas.openxmlformats.org/officeDocument/2006/relationships/chart" Target="../charts/chart225.xml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8.xml"/><Relationship Id="rId1" Type="http://schemas.openxmlformats.org/officeDocument/2006/relationships/chart" Target="../charts/chart227.xml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0.xml"/><Relationship Id="rId1" Type="http://schemas.openxmlformats.org/officeDocument/2006/relationships/chart" Target="../charts/chart229.xml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2.xml"/><Relationship Id="rId1" Type="http://schemas.openxmlformats.org/officeDocument/2006/relationships/chart" Target="../charts/chart231.xml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4.xml"/><Relationship Id="rId1" Type="http://schemas.openxmlformats.org/officeDocument/2006/relationships/chart" Target="../charts/chart233.xml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6.xml"/><Relationship Id="rId1" Type="http://schemas.openxmlformats.org/officeDocument/2006/relationships/chart" Target="../charts/chart235.xml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8.xml"/><Relationship Id="rId1" Type="http://schemas.openxmlformats.org/officeDocument/2006/relationships/chart" Target="../charts/chart237.xml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0.xml"/><Relationship Id="rId1" Type="http://schemas.openxmlformats.org/officeDocument/2006/relationships/chart" Target="../charts/chart239.xm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2.xml"/><Relationship Id="rId1" Type="http://schemas.openxmlformats.org/officeDocument/2006/relationships/chart" Target="../charts/chart241.xml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4.xml"/><Relationship Id="rId1" Type="http://schemas.openxmlformats.org/officeDocument/2006/relationships/chart" Target="../charts/chart243.xml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6.xml"/><Relationship Id="rId1" Type="http://schemas.openxmlformats.org/officeDocument/2006/relationships/chart" Target="../charts/chart245.xml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8.xml"/><Relationship Id="rId1" Type="http://schemas.openxmlformats.org/officeDocument/2006/relationships/chart" Target="../charts/chart247.xml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0.xml"/><Relationship Id="rId1" Type="http://schemas.openxmlformats.org/officeDocument/2006/relationships/chart" Target="../charts/chart249.xm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2.xml"/><Relationship Id="rId1" Type="http://schemas.openxmlformats.org/officeDocument/2006/relationships/chart" Target="../charts/chart251.xml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4.xml"/><Relationship Id="rId1" Type="http://schemas.openxmlformats.org/officeDocument/2006/relationships/chart" Target="../charts/chart253.xml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6.xml"/><Relationship Id="rId1" Type="http://schemas.openxmlformats.org/officeDocument/2006/relationships/chart" Target="../charts/chart255.xml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8.xml"/><Relationship Id="rId1" Type="http://schemas.openxmlformats.org/officeDocument/2006/relationships/chart" Target="../charts/chart257.xml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0.xml"/><Relationship Id="rId1" Type="http://schemas.openxmlformats.org/officeDocument/2006/relationships/chart" Target="../charts/chart259.xml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2.xml"/><Relationship Id="rId1" Type="http://schemas.openxmlformats.org/officeDocument/2006/relationships/chart" Target="../charts/chart261.xml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4.xml"/><Relationship Id="rId1" Type="http://schemas.openxmlformats.org/officeDocument/2006/relationships/chart" Target="../charts/chart263.xml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6.xml"/><Relationship Id="rId1" Type="http://schemas.openxmlformats.org/officeDocument/2006/relationships/chart" Target="../charts/chart265.xml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8.xml"/><Relationship Id="rId1" Type="http://schemas.openxmlformats.org/officeDocument/2006/relationships/chart" Target="../charts/chart267.xml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0.xml"/><Relationship Id="rId1" Type="http://schemas.openxmlformats.org/officeDocument/2006/relationships/chart" Target="../charts/chart269.xml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2.xml"/><Relationship Id="rId1" Type="http://schemas.openxmlformats.org/officeDocument/2006/relationships/chart" Target="../charts/chart271.xml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4.xml"/><Relationship Id="rId1" Type="http://schemas.openxmlformats.org/officeDocument/2006/relationships/chart" Target="../charts/chart273.xml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6.xml"/><Relationship Id="rId1" Type="http://schemas.openxmlformats.org/officeDocument/2006/relationships/chart" Target="../charts/chart275.xml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8.xml"/><Relationship Id="rId1" Type="http://schemas.openxmlformats.org/officeDocument/2006/relationships/chart" Target="../charts/chart277.xml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0.xml"/><Relationship Id="rId1" Type="http://schemas.openxmlformats.org/officeDocument/2006/relationships/chart" Target="../charts/chart279.xml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2.xml"/><Relationship Id="rId1" Type="http://schemas.openxmlformats.org/officeDocument/2006/relationships/chart" Target="../charts/chart281.xml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4.xml"/><Relationship Id="rId1" Type="http://schemas.openxmlformats.org/officeDocument/2006/relationships/chart" Target="../charts/chart283.xml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6.xml"/><Relationship Id="rId1" Type="http://schemas.openxmlformats.org/officeDocument/2006/relationships/chart" Target="../charts/chart285.xml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8.xml"/><Relationship Id="rId1" Type="http://schemas.openxmlformats.org/officeDocument/2006/relationships/chart" Target="../charts/chart287.xml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0.xml"/><Relationship Id="rId1" Type="http://schemas.openxmlformats.org/officeDocument/2006/relationships/chart" Target="../charts/chart289.xml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2.xml"/><Relationship Id="rId1" Type="http://schemas.openxmlformats.org/officeDocument/2006/relationships/chart" Target="../charts/chart291.xml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4.xml"/><Relationship Id="rId1" Type="http://schemas.openxmlformats.org/officeDocument/2006/relationships/chart" Target="../charts/chart293.xml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6.xml"/><Relationship Id="rId1" Type="http://schemas.openxmlformats.org/officeDocument/2006/relationships/chart" Target="../charts/chart295.xml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8.xml"/><Relationship Id="rId1" Type="http://schemas.openxmlformats.org/officeDocument/2006/relationships/chart" Target="../charts/chart297.xml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0.xml"/><Relationship Id="rId1" Type="http://schemas.openxmlformats.org/officeDocument/2006/relationships/chart" Target="../charts/chart299.xml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2.xml"/><Relationship Id="rId1" Type="http://schemas.openxmlformats.org/officeDocument/2006/relationships/chart" Target="../charts/chart301.xml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4.xml"/><Relationship Id="rId1" Type="http://schemas.openxmlformats.org/officeDocument/2006/relationships/chart" Target="../charts/chart303.xml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6.xml"/><Relationship Id="rId1" Type="http://schemas.openxmlformats.org/officeDocument/2006/relationships/chart" Target="../charts/chart305.xml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8.xml"/><Relationship Id="rId1" Type="http://schemas.openxmlformats.org/officeDocument/2006/relationships/chart" Target="../charts/chart307.xml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0.xml"/><Relationship Id="rId1" Type="http://schemas.openxmlformats.org/officeDocument/2006/relationships/chart" Target="../charts/chart309.xml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2.xml"/><Relationship Id="rId1" Type="http://schemas.openxmlformats.org/officeDocument/2006/relationships/chart" Target="../charts/chart311.xml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4.xml"/><Relationship Id="rId1" Type="http://schemas.openxmlformats.org/officeDocument/2006/relationships/chart" Target="../charts/chart313.xml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6.xml"/><Relationship Id="rId1" Type="http://schemas.openxmlformats.org/officeDocument/2006/relationships/chart" Target="../charts/chart315.xml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8.xml"/><Relationship Id="rId1" Type="http://schemas.openxmlformats.org/officeDocument/2006/relationships/chart" Target="../charts/chart317.xml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0.xml"/><Relationship Id="rId1" Type="http://schemas.openxmlformats.org/officeDocument/2006/relationships/chart" Target="../charts/chart319.xml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2.xml"/><Relationship Id="rId1" Type="http://schemas.openxmlformats.org/officeDocument/2006/relationships/chart" Target="../charts/chart321.xml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4.xml"/><Relationship Id="rId1" Type="http://schemas.openxmlformats.org/officeDocument/2006/relationships/chart" Target="../charts/chart323.xml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6.xml"/><Relationship Id="rId1" Type="http://schemas.openxmlformats.org/officeDocument/2006/relationships/chart" Target="../charts/chart325.xml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8.xml"/><Relationship Id="rId1" Type="http://schemas.openxmlformats.org/officeDocument/2006/relationships/chart" Target="../charts/chart327.xml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0.xml"/><Relationship Id="rId1" Type="http://schemas.openxmlformats.org/officeDocument/2006/relationships/chart" Target="../charts/chart329.xml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2.xml"/><Relationship Id="rId1" Type="http://schemas.openxmlformats.org/officeDocument/2006/relationships/chart" Target="../charts/chart331.xml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4.xml"/><Relationship Id="rId1" Type="http://schemas.openxmlformats.org/officeDocument/2006/relationships/chart" Target="../charts/chart333.xml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6.xml"/><Relationship Id="rId1" Type="http://schemas.openxmlformats.org/officeDocument/2006/relationships/chart" Target="../charts/chart335.xml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8.xml"/><Relationship Id="rId1" Type="http://schemas.openxmlformats.org/officeDocument/2006/relationships/chart" Target="../charts/chart337.xml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0.xml"/><Relationship Id="rId1" Type="http://schemas.openxmlformats.org/officeDocument/2006/relationships/chart" Target="../charts/chart339.xml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2.xml"/><Relationship Id="rId1" Type="http://schemas.openxmlformats.org/officeDocument/2006/relationships/chart" Target="../charts/chart341.xml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4.xml"/><Relationship Id="rId1" Type="http://schemas.openxmlformats.org/officeDocument/2006/relationships/chart" Target="../charts/chart343.xml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6.xml"/><Relationship Id="rId1" Type="http://schemas.openxmlformats.org/officeDocument/2006/relationships/chart" Target="../charts/chart345.xml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8.xml"/><Relationship Id="rId1" Type="http://schemas.openxmlformats.org/officeDocument/2006/relationships/chart" Target="../charts/chart347.xml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0.xml"/><Relationship Id="rId1" Type="http://schemas.openxmlformats.org/officeDocument/2006/relationships/chart" Target="../charts/chart349.xml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2.xml"/><Relationship Id="rId1" Type="http://schemas.openxmlformats.org/officeDocument/2006/relationships/chart" Target="../charts/chart351.xml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4.xml"/><Relationship Id="rId1" Type="http://schemas.openxmlformats.org/officeDocument/2006/relationships/chart" Target="../charts/chart353.xml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6.xml"/><Relationship Id="rId1" Type="http://schemas.openxmlformats.org/officeDocument/2006/relationships/chart" Target="../charts/chart355.xml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8.xml"/><Relationship Id="rId1" Type="http://schemas.openxmlformats.org/officeDocument/2006/relationships/chart" Target="../charts/chart357.xml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0.xml"/><Relationship Id="rId1" Type="http://schemas.openxmlformats.org/officeDocument/2006/relationships/chart" Target="../charts/chart359.xml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2.xml"/><Relationship Id="rId1" Type="http://schemas.openxmlformats.org/officeDocument/2006/relationships/chart" Target="../charts/chart361.xml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4.xml"/><Relationship Id="rId1" Type="http://schemas.openxmlformats.org/officeDocument/2006/relationships/chart" Target="../charts/chart363.xml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6.xml"/><Relationship Id="rId1" Type="http://schemas.openxmlformats.org/officeDocument/2006/relationships/chart" Target="../charts/chart365.xml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8.xml"/><Relationship Id="rId1" Type="http://schemas.openxmlformats.org/officeDocument/2006/relationships/chart" Target="../charts/chart367.xml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0.xml"/><Relationship Id="rId1" Type="http://schemas.openxmlformats.org/officeDocument/2006/relationships/chart" Target="../charts/chart369.xml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2.xml"/><Relationship Id="rId1" Type="http://schemas.openxmlformats.org/officeDocument/2006/relationships/chart" Target="../charts/chart371.xml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4.xml"/><Relationship Id="rId1" Type="http://schemas.openxmlformats.org/officeDocument/2006/relationships/chart" Target="../charts/chart373.xml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6.xml"/><Relationship Id="rId1" Type="http://schemas.openxmlformats.org/officeDocument/2006/relationships/chart" Target="../charts/chart375.xml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8.xml"/><Relationship Id="rId1" Type="http://schemas.openxmlformats.org/officeDocument/2006/relationships/chart" Target="../charts/chart377.xml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0.xml"/><Relationship Id="rId1" Type="http://schemas.openxmlformats.org/officeDocument/2006/relationships/chart" Target="../charts/chart379.xml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2.xml"/><Relationship Id="rId1" Type="http://schemas.openxmlformats.org/officeDocument/2006/relationships/chart" Target="../charts/chart381.xml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4.xml"/><Relationship Id="rId1" Type="http://schemas.openxmlformats.org/officeDocument/2006/relationships/chart" Target="../charts/chart383.xml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6.xml"/><Relationship Id="rId1" Type="http://schemas.openxmlformats.org/officeDocument/2006/relationships/chart" Target="../charts/chart385.xml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8.xml"/><Relationship Id="rId1" Type="http://schemas.openxmlformats.org/officeDocument/2006/relationships/chart" Target="../charts/chart387.xml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0.xml"/><Relationship Id="rId1" Type="http://schemas.openxmlformats.org/officeDocument/2006/relationships/chart" Target="../charts/chart389.xml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2.xml"/><Relationship Id="rId1" Type="http://schemas.openxmlformats.org/officeDocument/2006/relationships/chart" Target="../charts/chart391.xml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4.xml"/><Relationship Id="rId1" Type="http://schemas.openxmlformats.org/officeDocument/2006/relationships/chart" Target="../charts/chart393.xml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6.xml"/><Relationship Id="rId1" Type="http://schemas.openxmlformats.org/officeDocument/2006/relationships/chart" Target="../charts/chart395.xml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8.xml"/><Relationship Id="rId1" Type="http://schemas.openxmlformats.org/officeDocument/2006/relationships/chart" Target="../charts/chart397.xml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0.xml"/><Relationship Id="rId1" Type="http://schemas.openxmlformats.org/officeDocument/2006/relationships/chart" Target="../charts/chart399.xml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2.xml"/><Relationship Id="rId1" Type="http://schemas.openxmlformats.org/officeDocument/2006/relationships/chart" Target="../charts/chart401.xml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4.xml"/><Relationship Id="rId1" Type="http://schemas.openxmlformats.org/officeDocument/2006/relationships/chart" Target="../charts/chart403.xml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6.xml"/><Relationship Id="rId1" Type="http://schemas.openxmlformats.org/officeDocument/2006/relationships/chart" Target="../charts/chart405.xml"/></Relationships>
</file>

<file path=xl/drawings/_rels/drawing1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8.xml"/><Relationship Id="rId1" Type="http://schemas.openxmlformats.org/officeDocument/2006/relationships/chart" Target="../charts/chart407.xml"/></Relationships>
</file>

<file path=xl/drawings/_rels/drawing1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0.xml"/><Relationship Id="rId1" Type="http://schemas.openxmlformats.org/officeDocument/2006/relationships/chart" Target="../charts/chart409.xml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2.xml"/><Relationship Id="rId1" Type="http://schemas.openxmlformats.org/officeDocument/2006/relationships/chart" Target="../charts/chart411.xml"/></Relationships>
</file>

<file path=xl/drawings/_rels/drawing1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4.xml"/><Relationship Id="rId1" Type="http://schemas.openxmlformats.org/officeDocument/2006/relationships/chart" Target="../charts/chart413.xml"/></Relationships>
</file>

<file path=xl/drawings/_rels/drawing1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6.xml"/><Relationship Id="rId1" Type="http://schemas.openxmlformats.org/officeDocument/2006/relationships/chart" Target="../charts/chart415.xml"/></Relationships>
</file>

<file path=xl/drawings/_rels/drawing1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8.xml"/><Relationship Id="rId1" Type="http://schemas.openxmlformats.org/officeDocument/2006/relationships/chart" Target="../charts/chart417.xml"/></Relationships>
</file>

<file path=xl/drawings/_rels/drawing16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0.xml"/><Relationship Id="rId1" Type="http://schemas.openxmlformats.org/officeDocument/2006/relationships/chart" Target="../charts/chart419.xml"/></Relationships>
</file>

<file path=xl/drawings/_rels/drawing1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2.xml"/><Relationship Id="rId1" Type="http://schemas.openxmlformats.org/officeDocument/2006/relationships/chart" Target="../charts/chart421.xml"/></Relationships>
</file>

<file path=xl/drawings/_rels/drawing16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4.xml"/><Relationship Id="rId1" Type="http://schemas.openxmlformats.org/officeDocument/2006/relationships/chart" Target="../charts/chart423.xml"/></Relationships>
</file>

<file path=xl/drawings/_rels/drawing16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6.xml"/><Relationship Id="rId1" Type="http://schemas.openxmlformats.org/officeDocument/2006/relationships/chart" Target="../charts/chart425.xml"/></Relationships>
</file>

<file path=xl/drawings/_rels/drawing1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8.xml"/><Relationship Id="rId1" Type="http://schemas.openxmlformats.org/officeDocument/2006/relationships/chart" Target="../charts/chart427.xml"/></Relationships>
</file>

<file path=xl/drawings/_rels/drawing16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0.xml"/><Relationship Id="rId1" Type="http://schemas.openxmlformats.org/officeDocument/2006/relationships/chart" Target="../charts/chart429.xml"/></Relationships>
</file>

<file path=xl/drawings/_rels/drawing17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2.xml"/><Relationship Id="rId1" Type="http://schemas.openxmlformats.org/officeDocument/2006/relationships/chart" Target="../charts/chart431.xml"/></Relationships>
</file>

<file path=xl/drawings/_rels/drawing17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4.xml"/><Relationship Id="rId1" Type="http://schemas.openxmlformats.org/officeDocument/2006/relationships/chart" Target="../charts/chart433.xml"/></Relationships>
</file>

<file path=xl/drawings/_rels/drawing17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6.xml"/><Relationship Id="rId1" Type="http://schemas.openxmlformats.org/officeDocument/2006/relationships/chart" Target="../charts/chart435.xml"/></Relationships>
</file>

<file path=xl/drawings/_rels/drawing1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8.xml"/><Relationship Id="rId1" Type="http://schemas.openxmlformats.org/officeDocument/2006/relationships/chart" Target="../charts/chart437.xml"/></Relationships>
</file>

<file path=xl/drawings/_rels/drawing17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0.xml"/><Relationship Id="rId1" Type="http://schemas.openxmlformats.org/officeDocument/2006/relationships/chart" Target="../charts/chart4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10</xdr:row>
      <xdr:rowOff>219075</xdr:rowOff>
    </xdr:from>
    <xdr:ext cx="5343525" cy="31432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76200</xdr:colOff>
      <xdr:row>0</xdr:row>
      <xdr:rowOff>76200</xdr:rowOff>
    </xdr:from>
    <xdr:ext cx="5343525" cy="30670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209550</xdr:colOff>
      <xdr:row>10</xdr:row>
      <xdr:rowOff>219075</xdr:rowOff>
    </xdr:from>
    <xdr:ext cx="5343525" cy="31432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209550</xdr:colOff>
      <xdr:row>0</xdr:row>
      <xdr:rowOff>76200</xdr:rowOff>
    </xdr:from>
    <xdr:ext cx="5343525" cy="306705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26</xdr:col>
      <xdr:colOff>95250</xdr:colOff>
      <xdr:row>0</xdr:row>
      <xdr:rowOff>76200</xdr:rowOff>
    </xdr:from>
    <xdr:ext cx="5343525" cy="306705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26</xdr:col>
      <xdr:colOff>95250</xdr:colOff>
      <xdr:row>10</xdr:row>
      <xdr:rowOff>219075</xdr:rowOff>
    </xdr:from>
    <xdr:ext cx="5343525" cy="314325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37</xdr:col>
      <xdr:colOff>209550</xdr:colOff>
      <xdr:row>0</xdr:row>
      <xdr:rowOff>76200</xdr:rowOff>
    </xdr:from>
    <xdr:ext cx="5343525" cy="306705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37</xdr:col>
      <xdr:colOff>209550</xdr:colOff>
      <xdr:row>10</xdr:row>
      <xdr:rowOff>219075</xdr:rowOff>
    </xdr:from>
    <xdr:ext cx="5343525" cy="314325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48</xdr:col>
      <xdr:colOff>209550</xdr:colOff>
      <xdr:row>0</xdr:row>
      <xdr:rowOff>76200</xdr:rowOff>
    </xdr:from>
    <xdr:ext cx="5343525" cy="306705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48</xdr:col>
      <xdr:colOff>209550</xdr:colOff>
      <xdr:row>10</xdr:row>
      <xdr:rowOff>219075</xdr:rowOff>
    </xdr:from>
    <xdr:ext cx="5343525" cy="3143250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59</xdr:col>
      <xdr:colOff>209550</xdr:colOff>
      <xdr:row>0</xdr:row>
      <xdr:rowOff>76200</xdr:rowOff>
    </xdr:from>
    <xdr:ext cx="5343525" cy="3067050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59</xdr:col>
      <xdr:colOff>209550</xdr:colOff>
      <xdr:row>10</xdr:row>
      <xdr:rowOff>219075</xdr:rowOff>
    </xdr:from>
    <xdr:ext cx="5343525" cy="3143250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70</xdr:col>
      <xdr:colOff>161925</xdr:colOff>
      <xdr:row>0</xdr:row>
      <xdr:rowOff>76200</xdr:rowOff>
    </xdr:from>
    <xdr:ext cx="5343525" cy="3067050"/>
    <xdr:graphicFrame macro="">
      <xdr:nvGraphicFramePr>
        <xdr:cNvPr id="14" name="Chart 13" title="Chart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70</xdr:col>
      <xdr:colOff>161925</xdr:colOff>
      <xdr:row>10</xdr:row>
      <xdr:rowOff>219075</xdr:rowOff>
    </xdr:from>
    <xdr:ext cx="5343525" cy="3143250"/>
    <xdr:graphicFrame macro="">
      <xdr:nvGraphicFramePr>
        <xdr:cNvPr id="15" name="Chart 14" title="Char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81</xdr:col>
      <xdr:colOff>161925</xdr:colOff>
      <xdr:row>0</xdr:row>
      <xdr:rowOff>76200</xdr:rowOff>
    </xdr:from>
    <xdr:ext cx="5343525" cy="3067050"/>
    <xdr:graphicFrame macro="">
      <xdr:nvGraphicFramePr>
        <xdr:cNvPr id="16" name="Chart 15" title="Chart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81</xdr:col>
      <xdr:colOff>161925</xdr:colOff>
      <xdr:row>10</xdr:row>
      <xdr:rowOff>219075</xdr:rowOff>
    </xdr:from>
    <xdr:ext cx="5343525" cy="3143250"/>
    <xdr:graphicFrame macro="">
      <xdr:nvGraphicFramePr>
        <xdr:cNvPr id="17" name="Chart 16" title="Chart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70</xdr:col>
      <xdr:colOff>161925</xdr:colOff>
      <xdr:row>21</xdr:row>
      <xdr:rowOff>190500</xdr:rowOff>
    </xdr:from>
    <xdr:ext cx="5343525" cy="3143250"/>
    <xdr:graphicFrame macro="">
      <xdr:nvGraphicFramePr>
        <xdr:cNvPr id="18" name="Chart 17" title="Chart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81</xdr:col>
      <xdr:colOff>161925</xdr:colOff>
      <xdr:row>21</xdr:row>
      <xdr:rowOff>190500</xdr:rowOff>
    </xdr:from>
    <xdr:ext cx="5343525" cy="3143250"/>
    <xdr:graphicFrame macro="">
      <xdr:nvGraphicFramePr>
        <xdr:cNvPr id="19" name="Chart 18" title="Chart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59</xdr:col>
      <xdr:colOff>209550</xdr:colOff>
      <xdr:row>21</xdr:row>
      <xdr:rowOff>190500</xdr:rowOff>
    </xdr:from>
    <xdr:ext cx="5343525" cy="3143250"/>
    <xdr:graphicFrame macro="">
      <xdr:nvGraphicFramePr>
        <xdr:cNvPr id="20" name="Chart 19" title="Char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oneCellAnchor>
  <xdr:oneCellAnchor>
    <xdr:from>
      <xdr:col>48</xdr:col>
      <xdr:colOff>209550</xdr:colOff>
      <xdr:row>21</xdr:row>
      <xdr:rowOff>190500</xdr:rowOff>
    </xdr:from>
    <xdr:ext cx="5343525" cy="3143250"/>
    <xdr:graphicFrame macro="">
      <xdr:nvGraphicFramePr>
        <xdr:cNvPr id="21" name="Chart 20" title="Chart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 fLocksWithSheet="0"/>
  </xdr:oneCellAnchor>
  <xdr:oneCellAnchor>
    <xdr:from>
      <xdr:col>37</xdr:col>
      <xdr:colOff>209550</xdr:colOff>
      <xdr:row>21</xdr:row>
      <xdr:rowOff>190500</xdr:rowOff>
    </xdr:from>
    <xdr:ext cx="5343525" cy="3143250"/>
    <xdr:graphicFrame macro="">
      <xdr:nvGraphicFramePr>
        <xdr:cNvPr id="22" name="Chart 21" title="Chart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oneCellAnchor>
  <xdr:oneCellAnchor>
    <xdr:from>
      <xdr:col>26</xdr:col>
      <xdr:colOff>95250</xdr:colOff>
      <xdr:row>21</xdr:row>
      <xdr:rowOff>190500</xdr:rowOff>
    </xdr:from>
    <xdr:ext cx="5343525" cy="3143250"/>
    <xdr:graphicFrame macro="">
      <xdr:nvGraphicFramePr>
        <xdr:cNvPr id="23" name="Chart 22" title="Chart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oneCellAnchor>
    <xdr:from>
      <xdr:col>15</xdr:col>
      <xdr:colOff>209550</xdr:colOff>
      <xdr:row>21</xdr:row>
      <xdr:rowOff>190500</xdr:rowOff>
    </xdr:from>
    <xdr:ext cx="5343525" cy="3143250"/>
    <xdr:graphicFrame macro="">
      <xdr:nvGraphicFramePr>
        <xdr:cNvPr id="24" name="Chart 23" title="Chart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oneCellAnchor>
  <xdr:oneCellAnchor>
    <xdr:from>
      <xdr:col>4</xdr:col>
      <xdr:colOff>76200</xdr:colOff>
      <xdr:row>21</xdr:row>
      <xdr:rowOff>152400</xdr:rowOff>
    </xdr:from>
    <xdr:ext cx="5343525" cy="3219450"/>
    <xdr:graphicFrame macro="">
      <xdr:nvGraphicFramePr>
        <xdr:cNvPr id="25" name="Chart 24" title="Chart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10</xdr:row>
      <xdr:rowOff>219075</xdr:rowOff>
    </xdr:from>
    <xdr:ext cx="5343525" cy="3143250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26</xdr:col>
      <xdr:colOff>209550</xdr:colOff>
      <xdr:row>0</xdr:row>
      <xdr:rowOff>76200</xdr:rowOff>
    </xdr:from>
    <xdr:ext cx="5343525" cy="3067050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37</xdr:col>
      <xdr:colOff>95250</xdr:colOff>
      <xdr:row>0</xdr:row>
      <xdr:rowOff>76200</xdr:rowOff>
    </xdr:from>
    <xdr:ext cx="5343525" cy="3067050"/>
    <xdr:graphicFrame macro="">
      <xdr:nvGraphicFramePr>
        <xdr:cNvPr id="27" name="Chart 27" title="Chart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37</xdr:col>
      <xdr:colOff>95250</xdr:colOff>
      <xdr:row>10</xdr:row>
      <xdr:rowOff>219075</xdr:rowOff>
    </xdr:from>
    <xdr:ext cx="5343525" cy="3143250"/>
    <xdr:graphicFrame macro="">
      <xdr:nvGraphicFramePr>
        <xdr:cNvPr id="28" name="Chart 28" title="Chart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48</xdr:col>
      <xdr:colOff>209550</xdr:colOff>
      <xdr:row>0</xdr:row>
      <xdr:rowOff>76200</xdr:rowOff>
    </xdr:from>
    <xdr:ext cx="5343525" cy="3067050"/>
    <xdr:graphicFrame macro="">
      <xdr:nvGraphicFramePr>
        <xdr:cNvPr id="29" name="Chart 29" title="Chart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48</xdr:col>
      <xdr:colOff>209550</xdr:colOff>
      <xdr:row>10</xdr:row>
      <xdr:rowOff>219075</xdr:rowOff>
    </xdr:from>
    <xdr:ext cx="5343525" cy="3143250"/>
    <xdr:graphicFrame macro="">
      <xdr:nvGraphicFramePr>
        <xdr:cNvPr id="30" name="Chart 30" title="Chart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59</xdr:col>
      <xdr:colOff>209550</xdr:colOff>
      <xdr:row>0</xdr:row>
      <xdr:rowOff>76200</xdr:rowOff>
    </xdr:from>
    <xdr:ext cx="5343525" cy="3067050"/>
    <xdr:graphicFrame macro="">
      <xdr:nvGraphicFramePr>
        <xdr:cNvPr id="31" name="Chart 31" title="Chart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59</xdr:col>
      <xdr:colOff>209550</xdr:colOff>
      <xdr:row>10</xdr:row>
      <xdr:rowOff>219075</xdr:rowOff>
    </xdr:from>
    <xdr:ext cx="5343525" cy="3143250"/>
    <xdr:graphicFrame macro="">
      <xdr:nvGraphicFramePr>
        <xdr:cNvPr id="32" name="Chart 32" title="Chart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70</xdr:col>
      <xdr:colOff>209550</xdr:colOff>
      <xdr:row>0</xdr:row>
      <xdr:rowOff>76200</xdr:rowOff>
    </xdr:from>
    <xdr:ext cx="5343525" cy="3067050"/>
    <xdr:graphicFrame macro="">
      <xdr:nvGraphicFramePr>
        <xdr:cNvPr id="33" name="Chart 33" title="Chart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70</xdr:col>
      <xdr:colOff>209550</xdr:colOff>
      <xdr:row>10</xdr:row>
      <xdr:rowOff>219075</xdr:rowOff>
    </xdr:from>
    <xdr:ext cx="5343525" cy="3143250"/>
    <xdr:graphicFrame macro="">
      <xdr:nvGraphicFramePr>
        <xdr:cNvPr id="34" name="Chart 34" title="Chart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81</xdr:col>
      <xdr:colOff>161925</xdr:colOff>
      <xdr:row>0</xdr:row>
      <xdr:rowOff>76200</xdr:rowOff>
    </xdr:from>
    <xdr:ext cx="5343525" cy="3067050"/>
    <xdr:graphicFrame macro="">
      <xdr:nvGraphicFramePr>
        <xdr:cNvPr id="35" name="Chart 35" title="Chart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81</xdr:col>
      <xdr:colOff>161925</xdr:colOff>
      <xdr:row>10</xdr:row>
      <xdr:rowOff>219075</xdr:rowOff>
    </xdr:from>
    <xdr:ext cx="5343525" cy="3143250"/>
    <xdr:graphicFrame macro="">
      <xdr:nvGraphicFramePr>
        <xdr:cNvPr id="36" name="Chart 36" title="Char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92</xdr:col>
      <xdr:colOff>161925</xdr:colOff>
      <xdr:row>0</xdr:row>
      <xdr:rowOff>76200</xdr:rowOff>
    </xdr:from>
    <xdr:ext cx="5343525" cy="3067050"/>
    <xdr:graphicFrame macro="">
      <xdr:nvGraphicFramePr>
        <xdr:cNvPr id="37" name="Chart 37" title="Char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92</xdr:col>
      <xdr:colOff>161925</xdr:colOff>
      <xdr:row>10</xdr:row>
      <xdr:rowOff>219075</xdr:rowOff>
    </xdr:from>
    <xdr:ext cx="5343525" cy="3143250"/>
    <xdr:graphicFrame macro="">
      <xdr:nvGraphicFramePr>
        <xdr:cNvPr id="38" name="Chart 38" title="Char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81</xdr:col>
      <xdr:colOff>161925</xdr:colOff>
      <xdr:row>21</xdr:row>
      <xdr:rowOff>190500</xdr:rowOff>
    </xdr:from>
    <xdr:ext cx="5343525" cy="3143250"/>
    <xdr:graphicFrame macro="">
      <xdr:nvGraphicFramePr>
        <xdr:cNvPr id="39" name="Chart 39" title="Chart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oneCellAnchor>
  <xdr:oneCellAnchor>
    <xdr:from>
      <xdr:col>92</xdr:col>
      <xdr:colOff>161925</xdr:colOff>
      <xdr:row>21</xdr:row>
      <xdr:rowOff>190500</xdr:rowOff>
    </xdr:from>
    <xdr:ext cx="5343525" cy="3143250"/>
    <xdr:graphicFrame macro="">
      <xdr:nvGraphicFramePr>
        <xdr:cNvPr id="40" name="Chart 40" title="Chart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oneCellAnchor>
  <xdr:oneCellAnchor>
    <xdr:from>
      <xdr:col>70</xdr:col>
      <xdr:colOff>209550</xdr:colOff>
      <xdr:row>21</xdr:row>
      <xdr:rowOff>190500</xdr:rowOff>
    </xdr:from>
    <xdr:ext cx="5343525" cy="3143250"/>
    <xdr:graphicFrame macro="">
      <xdr:nvGraphicFramePr>
        <xdr:cNvPr id="41" name="Chart 41" title="Char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59</xdr:col>
      <xdr:colOff>209550</xdr:colOff>
      <xdr:row>21</xdr:row>
      <xdr:rowOff>190500</xdr:rowOff>
    </xdr:from>
    <xdr:ext cx="5343525" cy="3143250"/>
    <xdr:graphicFrame macro="">
      <xdr:nvGraphicFramePr>
        <xdr:cNvPr id="42" name="Chart 42" title="Chart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48</xdr:col>
      <xdr:colOff>209550</xdr:colOff>
      <xdr:row>21</xdr:row>
      <xdr:rowOff>190500</xdr:rowOff>
    </xdr:from>
    <xdr:ext cx="5343525" cy="3143250"/>
    <xdr:graphicFrame macro="">
      <xdr:nvGraphicFramePr>
        <xdr:cNvPr id="43" name="Chart 43" title="Chart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oneCellAnchor>
  <xdr:oneCellAnchor>
    <xdr:from>
      <xdr:col>37</xdr:col>
      <xdr:colOff>95250</xdr:colOff>
      <xdr:row>21</xdr:row>
      <xdr:rowOff>190500</xdr:rowOff>
    </xdr:from>
    <xdr:ext cx="5343525" cy="3143250"/>
    <xdr:graphicFrame macro="">
      <xdr:nvGraphicFramePr>
        <xdr:cNvPr id="44" name="Chart 44" title="Chart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 fLocksWithSheet="0"/>
  </xdr:oneCellAnchor>
  <xdr:oneCellAnchor>
    <xdr:from>
      <xdr:col>26</xdr:col>
      <xdr:colOff>209550</xdr:colOff>
      <xdr:row>21</xdr:row>
      <xdr:rowOff>190500</xdr:rowOff>
    </xdr:from>
    <xdr:ext cx="5343525" cy="3143250"/>
    <xdr:graphicFrame macro="">
      <xdr:nvGraphicFramePr>
        <xdr:cNvPr id="45" name="Chart 45" title="Chart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oneCellAnchor>
  <xdr:oneCellAnchor>
    <xdr:from>
      <xdr:col>103</xdr:col>
      <xdr:colOff>161925</xdr:colOff>
      <xdr:row>21</xdr:row>
      <xdr:rowOff>190500</xdr:rowOff>
    </xdr:from>
    <xdr:ext cx="5343525" cy="3143250"/>
    <xdr:graphicFrame macro="">
      <xdr:nvGraphicFramePr>
        <xdr:cNvPr id="46" name="Chart 46" title="Char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oneCellAnchor>
    <xdr:from>
      <xdr:col>103</xdr:col>
      <xdr:colOff>161925</xdr:colOff>
      <xdr:row>10</xdr:row>
      <xdr:rowOff>219075</xdr:rowOff>
    </xdr:from>
    <xdr:ext cx="5343525" cy="3143250"/>
    <xdr:graphicFrame macro="">
      <xdr:nvGraphicFramePr>
        <xdr:cNvPr id="47" name="Chart 47" title="Chart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oneCellAnchor>
  <xdr:oneCellAnchor>
    <xdr:from>
      <xdr:col>103</xdr:col>
      <xdr:colOff>161925</xdr:colOff>
      <xdr:row>0</xdr:row>
      <xdr:rowOff>76200</xdr:rowOff>
    </xdr:from>
    <xdr:ext cx="5343525" cy="3067050"/>
    <xdr:graphicFrame macro="">
      <xdr:nvGraphicFramePr>
        <xdr:cNvPr id="48" name="Chart 48" title="Chart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 fLocksWithSheet="0"/>
  </xdr:oneCellAnchor>
  <xdr:oneCellAnchor>
    <xdr:from>
      <xdr:col>114</xdr:col>
      <xdr:colOff>161925</xdr:colOff>
      <xdr:row>21</xdr:row>
      <xdr:rowOff>190500</xdr:rowOff>
    </xdr:from>
    <xdr:ext cx="5343525" cy="3143250"/>
    <xdr:graphicFrame macro="">
      <xdr:nvGraphicFramePr>
        <xdr:cNvPr id="49" name="Chart 49" title="Char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 fLocksWithSheet="0"/>
  </xdr:oneCellAnchor>
  <xdr:oneCellAnchor>
    <xdr:from>
      <xdr:col>114</xdr:col>
      <xdr:colOff>161925</xdr:colOff>
      <xdr:row>10</xdr:row>
      <xdr:rowOff>219075</xdr:rowOff>
    </xdr:from>
    <xdr:ext cx="5343525" cy="3143250"/>
    <xdr:graphicFrame macro="">
      <xdr:nvGraphicFramePr>
        <xdr:cNvPr id="50" name="Chart 50" title="Chart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 fLocksWithSheet="0"/>
  </xdr:oneCellAnchor>
  <xdr:oneCellAnchor>
    <xdr:from>
      <xdr:col>114</xdr:col>
      <xdr:colOff>161925</xdr:colOff>
      <xdr:row>0</xdr:row>
      <xdr:rowOff>76200</xdr:rowOff>
    </xdr:from>
    <xdr:ext cx="5343525" cy="3067050"/>
    <xdr:graphicFrame macro="">
      <xdr:nvGraphicFramePr>
        <xdr:cNvPr id="51" name="Chart 51" title="Chart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 fLocksWithSheet="0"/>
  </xdr:oneCellAnchor>
  <xdr:oneCellAnchor>
    <xdr:from>
      <xdr:col>125</xdr:col>
      <xdr:colOff>161925</xdr:colOff>
      <xdr:row>21</xdr:row>
      <xdr:rowOff>190500</xdr:rowOff>
    </xdr:from>
    <xdr:ext cx="5343525" cy="3143250"/>
    <xdr:graphicFrame macro="">
      <xdr:nvGraphicFramePr>
        <xdr:cNvPr id="52" name="Chart 52" title="Chart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 fLocksWithSheet="0"/>
  </xdr:oneCellAnchor>
  <xdr:oneCellAnchor>
    <xdr:from>
      <xdr:col>125</xdr:col>
      <xdr:colOff>161925</xdr:colOff>
      <xdr:row>10</xdr:row>
      <xdr:rowOff>219075</xdr:rowOff>
    </xdr:from>
    <xdr:ext cx="5343525" cy="3143250"/>
    <xdr:graphicFrame macro="">
      <xdr:nvGraphicFramePr>
        <xdr:cNvPr id="53" name="Chart 53" title="Chart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 fLocksWithSheet="0"/>
  </xdr:oneCellAnchor>
  <xdr:oneCellAnchor>
    <xdr:from>
      <xdr:col>125</xdr:col>
      <xdr:colOff>161925</xdr:colOff>
      <xdr:row>0</xdr:row>
      <xdr:rowOff>76200</xdr:rowOff>
    </xdr:from>
    <xdr:ext cx="5343525" cy="3067050"/>
    <xdr:graphicFrame macro="">
      <xdr:nvGraphicFramePr>
        <xdr:cNvPr id="54" name="Chart 54" title="Chart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 fLocksWithSheet="0"/>
  </xdr:oneCellAnchor>
  <xdr:oneCellAnchor>
    <xdr:from>
      <xdr:col>136</xdr:col>
      <xdr:colOff>161925</xdr:colOff>
      <xdr:row>21</xdr:row>
      <xdr:rowOff>190500</xdr:rowOff>
    </xdr:from>
    <xdr:ext cx="5343525" cy="3143250"/>
    <xdr:graphicFrame macro="">
      <xdr:nvGraphicFramePr>
        <xdr:cNvPr id="55" name="Chart 55" title="Chart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 fLocksWithSheet="0"/>
  </xdr:oneCellAnchor>
  <xdr:oneCellAnchor>
    <xdr:from>
      <xdr:col>136</xdr:col>
      <xdr:colOff>161925</xdr:colOff>
      <xdr:row>10</xdr:row>
      <xdr:rowOff>219075</xdr:rowOff>
    </xdr:from>
    <xdr:ext cx="5343525" cy="3143250"/>
    <xdr:graphicFrame macro="">
      <xdr:nvGraphicFramePr>
        <xdr:cNvPr id="56" name="Chart 56" title="Chart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 fLocksWithSheet="0"/>
  </xdr:oneCellAnchor>
  <xdr:oneCellAnchor>
    <xdr:from>
      <xdr:col>136</xdr:col>
      <xdr:colOff>161925</xdr:colOff>
      <xdr:row>0</xdr:row>
      <xdr:rowOff>76200</xdr:rowOff>
    </xdr:from>
    <xdr:ext cx="5343525" cy="3067050"/>
    <xdr:graphicFrame macro="">
      <xdr:nvGraphicFramePr>
        <xdr:cNvPr id="57" name="Chart 57" title="Chart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 fLocksWithSheet="0"/>
  </xdr:oneCellAnchor>
  <xdr:oneCellAnchor>
    <xdr:from>
      <xdr:col>147</xdr:col>
      <xdr:colOff>161925</xdr:colOff>
      <xdr:row>21</xdr:row>
      <xdr:rowOff>190500</xdr:rowOff>
    </xdr:from>
    <xdr:ext cx="5343525" cy="3143250"/>
    <xdr:graphicFrame macro="">
      <xdr:nvGraphicFramePr>
        <xdr:cNvPr id="58" name="Chart 58" title="Chart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 fLocksWithSheet="0"/>
  </xdr:oneCellAnchor>
  <xdr:oneCellAnchor>
    <xdr:from>
      <xdr:col>147</xdr:col>
      <xdr:colOff>161925</xdr:colOff>
      <xdr:row>10</xdr:row>
      <xdr:rowOff>219075</xdr:rowOff>
    </xdr:from>
    <xdr:ext cx="5343525" cy="3143250"/>
    <xdr:graphicFrame macro="">
      <xdr:nvGraphicFramePr>
        <xdr:cNvPr id="59" name="Chart 59" title="Chart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 fLocksWithSheet="0"/>
  </xdr:oneCellAnchor>
  <xdr:oneCellAnchor>
    <xdr:from>
      <xdr:col>147</xdr:col>
      <xdr:colOff>161925</xdr:colOff>
      <xdr:row>0</xdr:row>
      <xdr:rowOff>76200</xdr:rowOff>
    </xdr:from>
    <xdr:ext cx="5343525" cy="3067050"/>
    <xdr:graphicFrame macro="">
      <xdr:nvGraphicFramePr>
        <xdr:cNvPr id="60" name="Chart 60" title="Chart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 fLocksWithSheet="0"/>
  </xdr:oneCellAnchor>
  <xdr:oneCellAnchor>
    <xdr:from>
      <xdr:col>158</xdr:col>
      <xdr:colOff>161925</xdr:colOff>
      <xdr:row>21</xdr:row>
      <xdr:rowOff>190500</xdr:rowOff>
    </xdr:from>
    <xdr:ext cx="5343525" cy="3143250"/>
    <xdr:graphicFrame macro="">
      <xdr:nvGraphicFramePr>
        <xdr:cNvPr id="61" name="Chart 61" title="Char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 fLocksWithSheet="0"/>
  </xdr:oneCellAnchor>
  <xdr:oneCellAnchor>
    <xdr:from>
      <xdr:col>158</xdr:col>
      <xdr:colOff>161925</xdr:colOff>
      <xdr:row>10</xdr:row>
      <xdr:rowOff>219075</xdr:rowOff>
    </xdr:from>
    <xdr:ext cx="5343525" cy="3143250"/>
    <xdr:graphicFrame macro="">
      <xdr:nvGraphicFramePr>
        <xdr:cNvPr id="62" name="Chart 62" title="Char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 fLocksWithSheet="0"/>
  </xdr:oneCellAnchor>
  <xdr:oneCellAnchor>
    <xdr:from>
      <xdr:col>158</xdr:col>
      <xdr:colOff>161925</xdr:colOff>
      <xdr:row>0</xdr:row>
      <xdr:rowOff>76200</xdr:rowOff>
    </xdr:from>
    <xdr:ext cx="5343525" cy="3067050"/>
    <xdr:graphicFrame macro="">
      <xdr:nvGraphicFramePr>
        <xdr:cNvPr id="63" name="Chart 63" title="Chart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 fLocksWithSheet="0"/>
  </xdr:oneCellAnchor>
  <xdr:oneCellAnchor>
    <xdr:from>
      <xdr:col>169</xdr:col>
      <xdr:colOff>161925</xdr:colOff>
      <xdr:row>21</xdr:row>
      <xdr:rowOff>190500</xdr:rowOff>
    </xdr:from>
    <xdr:ext cx="5343525" cy="3143250"/>
    <xdr:graphicFrame macro="">
      <xdr:nvGraphicFramePr>
        <xdr:cNvPr id="64" name="Chart 64" title="Chart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 fLocksWithSheet="0"/>
  </xdr:oneCellAnchor>
  <xdr:oneCellAnchor>
    <xdr:from>
      <xdr:col>169</xdr:col>
      <xdr:colOff>161925</xdr:colOff>
      <xdr:row>10</xdr:row>
      <xdr:rowOff>219075</xdr:rowOff>
    </xdr:from>
    <xdr:ext cx="5343525" cy="3143250"/>
    <xdr:graphicFrame macro="">
      <xdr:nvGraphicFramePr>
        <xdr:cNvPr id="65" name="Chart 65" title="Chart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 fLocksWithSheet="0"/>
  </xdr:oneCellAnchor>
  <xdr:oneCellAnchor>
    <xdr:from>
      <xdr:col>169</xdr:col>
      <xdr:colOff>161925</xdr:colOff>
      <xdr:row>0</xdr:row>
      <xdr:rowOff>76200</xdr:rowOff>
    </xdr:from>
    <xdr:ext cx="5343525" cy="3067050"/>
    <xdr:graphicFrame macro="">
      <xdr:nvGraphicFramePr>
        <xdr:cNvPr id="66" name="Chart 66" title="Char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 fLocksWithSheet="0"/>
  </xdr:oneCellAnchor>
  <xdr:oneCellAnchor>
    <xdr:from>
      <xdr:col>180</xdr:col>
      <xdr:colOff>161925</xdr:colOff>
      <xdr:row>21</xdr:row>
      <xdr:rowOff>190500</xdr:rowOff>
    </xdr:from>
    <xdr:ext cx="5343525" cy="3143250"/>
    <xdr:graphicFrame macro="">
      <xdr:nvGraphicFramePr>
        <xdr:cNvPr id="67" name="Chart 67" title="Chart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 fLocksWithSheet="0"/>
  </xdr:oneCellAnchor>
  <xdr:oneCellAnchor>
    <xdr:from>
      <xdr:col>180</xdr:col>
      <xdr:colOff>161925</xdr:colOff>
      <xdr:row>10</xdr:row>
      <xdr:rowOff>219075</xdr:rowOff>
    </xdr:from>
    <xdr:ext cx="5343525" cy="3143250"/>
    <xdr:graphicFrame macro="">
      <xdr:nvGraphicFramePr>
        <xdr:cNvPr id="68" name="Chart 68" title="Chart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 fLocksWithSheet="0"/>
  </xdr:oneCellAnchor>
  <xdr:oneCellAnchor>
    <xdr:from>
      <xdr:col>180</xdr:col>
      <xdr:colOff>161925</xdr:colOff>
      <xdr:row>0</xdr:row>
      <xdr:rowOff>76200</xdr:rowOff>
    </xdr:from>
    <xdr:ext cx="5343525" cy="3067050"/>
    <xdr:graphicFrame macro="">
      <xdr:nvGraphicFramePr>
        <xdr:cNvPr id="69" name="Chart 69" title="Chart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 fLocksWithSheet="0"/>
  </xdr:oneCellAnchor>
  <xdr:oneCellAnchor>
    <xdr:from>
      <xdr:col>191</xdr:col>
      <xdr:colOff>161925</xdr:colOff>
      <xdr:row>21</xdr:row>
      <xdr:rowOff>190500</xdr:rowOff>
    </xdr:from>
    <xdr:ext cx="5343525" cy="3143250"/>
    <xdr:graphicFrame macro="">
      <xdr:nvGraphicFramePr>
        <xdr:cNvPr id="70" name="Chart 70" title="Char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 fLocksWithSheet="0"/>
  </xdr:oneCellAnchor>
  <xdr:oneCellAnchor>
    <xdr:from>
      <xdr:col>191</xdr:col>
      <xdr:colOff>161925</xdr:colOff>
      <xdr:row>10</xdr:row>
      <xdr:rowOff>219075</xdr:rowOff>
    </xdr:from>
    <xdr:ext cx="5343525" cy="3143250"/>
    <xdr:graphicFrame macro="">
      <xdr:nvGraphicFramePr>
        <xdr:cNvPr id="71" name="Chart 71" title="Chart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 fLocksWithSheet="0"/>
  </xdr:oneCellAnchor>
  <xdr:oneCellAnchor>
    <xdr:from>
      <xdr:col>191</xdr:col>
      <xdr:colOff>161925</xdr:colOff>
      <xdr:row>0</xdr:row>
      <xdr:rowOff>76200</xdr:rowOff>
    </xdr:from>
    <xdr:ext cx="5343525" cy="3067050"/>
    <xdr:graphicFrame macro="">
      <xdr:nvGraphicFramePr>
        <xdr:cNvPr id="72" name="Chart 72" title="Char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 fLocksWithSheet="0"/>
  </xdr:oneCellAnchor>
  <xdr:oneCellAnchor>
    <xdr:from>
      <xdr:col>202</xdr:col>
      <xdr:colOff>161925</xdr:colOff>
      <xdr:row>21</xdr:row>
      <xdr:rowOff>190500</xdr:rowOff>
    </xdr:from>
    <xdr:ext cx="5343525" cy="3143250"/>
    <xdr:graphicFrame macro="">
      <xdr:nvGraphicFramePr>
        <xdr:cNvPr id="73" name="Chart 73" title="Char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 fLocksWithSheet="0"/>
  </xdr:oneCellAnchor>
  <xdr:oneCellAnchor>
    <xdr:from>
      <xdr:col>202</xdr:col>
      <xdr:colOff>161925</xdr:colOff>
      <xdr:row>10</xdr:row>
      <xdr:rowOff>219075</xdr:rowOff>
    </xdr:from>
    <xdr:ext cx="5343525" cy="3143250"/>
    <xdr:graphicFrame macro="">
      <xdr:nvGraphicFramePr>
        <xdr:cNvPr id="74" name="Chart 74" title="Chart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 fLocksWithSheet="0"/>
  </xdr:oneCellAnchor>
  <xdr:oneCellAnchor>
    <xdr:from>
      <xdr:col>202</xdr:col>
      <xdr:colOff>161925</xdr:colOff>
      <xdr:row>0</xdr:row>
      <xdr:rowOff>76200</xdr:rowOff>
    </xdr:from>
    <xdr:ext cx="5343525" cy="3067050"/>
    <xdr:graphicFrame macro="">
      <xdr:nvGraphicFramePr>
        <xdr:cNvPr id="75" name="Chart 75" title="Chart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 fLocksWithSheet="0"/>
  </xdr:oneCellAnchor>
  <xdr:oneCellAnchor>
    <xdr:from>
      <xdr:col>213</xdr:col>
      <xdr:colOff>161925</xdr:colOff>
      <xdr:row>21</xdr:row>
      <xdr:rowOff>190500</xdr:rowOff>
    </xdr:from>
    <xdr:ext cx="5343525" cy="3143250"/>
    <xdr:graphicFrame macro="">
      <xdr:nvGraphicFramePr>
        <xdr:cNvPr id="76" name="Chart 76" title="Chart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 fLocksWithSheet="0"/>
  </xdr:oneCellAnchor>
  <xdr:oneCellAnchor>
    <xdr:from>
      <xdr:col>213</xdr:col>
      <xdr:colOff>161925</xdr:colOff>
      <xdr:row>10</xdr:row>
      <xdr:rowOff>219075</xdr:rowOff>
    </xdr:from>
    <xdr:ext cx="5343525" cy="3143250"/>
    <xdr:graphicFrame macro="">
      <xdr:nvGraphicFramePr>
        <xdr:cNvPr id="77" name="Chart 77" title="Char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 fLocksWithSheet="0"/>
  </xdr:oneCellAnchor>
  <xdr:oneCellAnchor>
    <xdr:from>
      <xdr:col>213</xdr:col>
      <xdr:colOff>161925</xdr:colOff>
      <xdr:row>0</xdr:row>
      <xdr:rowOff>76200</xdr:rowOff>
    </xdr:from>
    <xdr:ext cx="5343525" cy="3067050"/>
    <xdr:graphicFrame macro="">
      <xdr:nvGraphicFramePr>
        <xdr:cNvPr id="78" name="Chart 78" title="Chart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 fLocksWithSheet="0"/>
  </xdr:oneCellAnchor>
  <xdr:oneCellAnchor>
    <xdr:from>
      <xdr:col>224</xdr:col>
      <xdr:colOff>161925</xdr:colOff>
      <xdr:row>21</xdr:row>
      <xdr:rowOff>190500</xdr:rowOff>
    </xdr:from>
    <xdr:ext cx="5343525" cy="3143250"/>
    <xdr:graphicFrame macro="">
      <xdr:nvGraphicFramePr>
        <xdr:cNvPr id="79" name="Chart 79" title="Char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 fLocksWithSheet="0"/>
  </xdr:oneCellAnchor>
  <xdr:oneCellAnchor>
    <xdr:from>
      <xdr:col>224</xdr:col>
      <xdr:colOff>161925</xdr:colOff>
      <xdr:row>10</xdr:row>
      <xdr:rowOff>219075</xdr:rowOff>
    </xdr:from>
    <xdr:ext cx="5343525" cy="3143250"/>
    <xdr:graphicFrame macro="">
      <xdr:nvGraphicFramePr>
        <xdr:cNvPr id="80" name="Chart 80" title="Chart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 fLocksWithSheet="0"/>
  </xdr:oneCellAnchor>
  <xdr:oneCellAnchor>
    <xdr:from>
      <xdr:col>224</xdr:col>
      <xdr:colOff>161925</xdr:colOff>
      <xdr:row>0</xdr:row>
      <xdr:rowOff>76200</xdr:rowOff>
    </xdr:from>
    <xdr:ext cx="5343525" cy="3067050"/>
    <xdr:graphicFrame macro="">
      <xdr:nvGraphicFramePr>
        <xdr:cNvPr id="81" name="Chart 81" title="Chart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 fLocksWithSheet="0"/>
  </xdr:oneCellAnchor>
  <xdr:oneCellAnchor>
    <xdr:from>
      <xdr:col>235</xdr:col>
      <xdr:colOff>161925</xdr:colOff>
      <xdr:row>21</xdr:row>
      <xdr:rowOff>190500</xdr:rowOff>
    </xdr:from>
    <xdr:ext cx="5343525" cy="3143250"/>
    <xdr:graphicFrame macro="">
      <xdr:nvGraphicFramePr>
        <xdr:cNvPr id="82" name="Chart 82" title="Chart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 fLocksWithSheet="0"/>
  </xdr:oneCellAnchor>
  <xdr:oneCellAnchor>
    <xdr:from>
      <xdr:col>235</xdr:col>
      <xdr:colOff>161925</xdr:colOff>
      <xdr:row>10</xdr:row>
      <xdr:rowOff>219075</xdr:rowOff>
    </xdr:from>
    <xdr:ext cx="5343525" cy="3143250"/>
    <xdr:graphicFrame macro="">
      <xdr:nvGraphicFramePr>
        <xdr:cNvPr id="83" name="Chart 83" title="Chart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 fLocksWithSheet="0"/>
  </xdr:oneCellAnchor>
  <xdr:oneCellAnchor>
    <xdr:from>
      <xdr:col>235</xdr:col>
      <xdr:colOff>161925</xdr:colOff>
      <xdr:row>0</xdr:row>
      <xdr:rowOff>76200</xdr:rowOff>
    </xdr:from>
    <xdr:ext cx="5343525" cy="3067050"/>
    <xdr:graphicFrame macro="">
      <xdr:nvGraphicFramePr>
        <xdr:cNvPr id="84" name="Chart 84" title="Chart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 fLocksWithSheet="0"/>
  </xdr:oneCellAnchor>
  <xdr:oneCellAnchor>
    <xdr:from>
      <xdr:col>246</xdr:col>
      <xdr:colOff>161925</xdr:colOff>
      <xdr:row>21</xdr:row>
      <xdr:rowOff>190500</xdr:rowOff>
    </xdr:from>
    <xdr:ext cx="5343525" cy="3143250"/>
    <xdr:graphicFrame macro="">
      <xdr:nvGraphicFramePr>
        <xdr:cNvPr id="85" name="Chart 85" title="Chart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 fLocksWithSheet="0"/>
  </xdr:oneCellAnchor>
  <xdr:oneCellAnchor>
    <xdr:from>
      <xdr:col>246</xdr:col>
      <xdr:colOff>161925</xdr:colOff>
      <xdr:row>10</xdr:row>
      <xdr:rowOff>219075</xdr:rowOff>
    </xdr:from>
    <xdr:ext cx="5343525" cy="3143250"/>
    <xdr:graphicFrame macro="">
      <xdr:nvGraphicFramePr>
        <xdr:cNvPr id="86" name="Chart 86" title="Chart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 fLocksWithSheet="0"/>
  </xdr:oneCellAnchor>
  <xdr:oneCellAnchor>
    <xdr:from>
      <xdr:col>246</xdr:col>
      <xdr:colOff>161925</xdr:colOff>
      <xdr:row>0</xdr:row>
      <xdr:rowOff>76200</xdr:rowOff>
    </xdr:from>
    <xdr:ext cx="5343525" cy="3067050"/>
    <xdr:graphicFrame macro="">
      <xdr:nvGraphicFramePr>
        <xdr:cNvPr id="87" name="Chart 87" title="Chart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 fLocksWithSheet="0"/>
  </xdr:oneCellAnchor>
  <xdr:oneCellAnchor>
    <xdr:from>
      <xdr:col>257</xdr:col>
      <xdr:colOff>161925</xdr:colOff>
      <xdr:row>0</xdr:row>
      <xdr:rowOff>76200</xdr:rowOff>
    </xdr:from>
    <xdr:ext cx="5343525" cy="3067050"/>
    <xdr:graphicFrame macro="">
      <xdr:nvGraphicFramePr>
        <xdr:cNvPr id="88" name="Chart 88" title="Chart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 fLocksWithSheet="0"/>
  </xdr:oneCellAnchor>
  <xdr:oneCellAnchor>
    <xdr:from>
      <xdr:col>257</xdr:col>
      <xdr:colOff>161925</xdr:colOff>
      <xdr:row>10</xdr:row>
      <xdr:rowOff>219075</xdr:rowOff>
    </xdr:from>
    <xdr:ext cx="5343525" cy="3143250"/>
    <xdr:graphicFrame macro="">
      <xdr:nvGraphicFramePr>
        <xdr:cNvPr id="89" name="Chart 89" title="Chart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 fLocksWithSheet="0"/>
  </xdr:oneCellAnchor>
  <xdr:oneCellAnchor>
    <xdr:from>
      <xdr:col>257</xdr:col>
      <xdr:colOff>161925</xdr:colOff>
      <xdr:row>21</xdr:row>
      <xdr:rowOff>190500</xdr:rowOff>
    </xdr:from>
    <xdr:ext cx="5343525" cy="3143250"/>
    <xdr:graphicFrame macro="">
      <xdr:nvGraphicFramePr>
        <xdr:cNvPr id="90" name="Chart 90" title="Chart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 fLocksWithSheet="0"/>
  </xdr:oneCellAnchor>
  <xdr:oneCellAnchor>
    <xdr:from>
      <xdr:col>4</xdr:col>
      <xdr:colOff>76200</xdr:colOff>
      <xdr:row>21</xdr:row>
      <xdr:rowOff>219075</xdr:rowOff>
    </xdr:from>
    <xdr:ext cx="5343525" cy="3143250"/>
    <xdr:graphicFrame macro="">
      <xdr:nvGraphicFramePr>
        <xdr:cNvPr id="91" name="Chart 91" title="Chart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 fLocksWithSheet="0"/>
  </xdr:oneCellAnchor>
  <xdr:oneCellAnchor>
    <xdr:from>
      <xdr:col>4</xdr:col>
      <xdr:colOff>76200</xdr:colOff>
      <xdr:row>10</xdr:row>
      <xdr:rowOff>219075</xdr:rowOff>
    </xdr:from>
    <xdr:ext cx="5343525" cy="3143250"/>
    <xdr:graphicFrame macro="">
      <xdr:nvGraphicFramePr>
        <xdr:cNvPr id="92" name="Chart 92" title="Chart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 fLocksWithSheet="0"/>
  </xdr:oneCellAnchor>
  <xdr:oneCellAnchor>
    <xdr:from>
      <xdr:col>4</xdr:col>
      <xdr:colOff>76200</xdr:colOff>
      <xdr:row>0</xdr:row>
      <xdr:rowOff>76200</xdr:rowOff>
    </xdr:from>
    <xdr:ext cx="5343525" cy="3067050"/>
    <xdr:graphicFrame macro="">
      <xdr:nvGraphicFramePr>
        <xdr:cNvPr id="93" name="Chart 93" title="Chart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 fLocksWithSheet="0"/>
  </xdr:oneCellAnchor>
  <xdr:oneCellAnchor>
    <xdr:from>
      <xdr:col>15</xdr:col>
      <xdr:colOff>76200</xdr:colOff>
      <xdr:row>0</xdr:row>
      <xdr:rowOff>76200</xdr:rowOff>
    </xdr:from>
    <xdr:ext cx="5343525" cy="3067050"/>
    <xdr:graphicFrame macro="">
      <xdr:nvGraphicFramePr>
        <xdr:cNvPr id="94" name="Chart 94" title="Chart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 fLocksWithSheet="0"/>
  </xdr:oneCellAnchor>
  <xdr:oneCellAnchor>
    <xdr:from>
      <xdr:col>15</xdr:col>
      <xdr:colOff>76200</xdr:colOff>
      <xdr:row>10</xdr:row>
      <xdr:rowOff>247650</xdr:rowOff>
    </xdr:from>
    <xdr:ext cx="5343525" cy="3143250"/>
    <xdr:graphicFrame macro="">
      <xdr:nvGraphicFramePr>
        <xdr:cNvPr id="95" name="Chart 95" title="Chart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 fLocksWithSheet="0"/>
  </xdr:oneCellAnchor>
  <xdr:oneCellAnchor>
    <xdr:from>
      <xdr:col>15</xdr:col>
      <xdr:colOff>76200</xdr:colOff>
      <xdr:row>21</xdr:row>
      <xdr:rowOff>219075</xdr:rowOff>
    </xdr:from>
    <xdr:ext cx="5343525" cy="3143250"/>
    <xdr:graphicFrame macro="">
      <xdr:nvGraphicFramePr>
        <xdr:cNvPr id="96" name="Chart 96" title="Chart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97" name="Chart 97" title="Chart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98" name="Chart 98" title="Chart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99" name="Chart 99" title="Chart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10</xdr:row>
      <xdr:rowOff>161925</xdr:rowOff>
    </xdr:from>
    <xdr:ext cx="5343525" cy="3143250"/>
    <xdr:graphicFrame macro="">
      <xdr:nvGraphicFramePr>
        <xdr:cNvPr id="100" name="Chart 100" title="Chart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01" name="Chart 101" title="Chart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10</xdr:row>
      <xdr:rowOff>161925</xdr:rowOff>
    </xdr:from>
    <xdr:ext cx="5343525" cy="3143250"/>
    <xdr:graphicFrame macro="">
      <xdr:nvGraphicFramePr>
        <xdr:cNvPr id="102" name="Chart 102" title="Chart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161925</xdr:rowOff>
    </xdr:from>
    <xdr:ext cx="5343525" cy="3143250"/>
    <xdr:graphicFrame macro="">
      <xdr:nvGraphicFramePr>
        <xdr:cNvPr id="103" name="Chart 103" title="Chart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04" name="Chart 104" title="Chart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05" name="Chart 105" title="Chart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10</xdr:row>
      <xdr:rowOff>161925</xdr:rowOff>
    </xdr:from>
    <xdr:ext cx="5343525" cy="3143250"/>
    <xdr:graphicFrame macro="">
      <xdr:nvGraphicFramePr>
        <xdr:cNvPr id="106" name="Chart 106" title="Chart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07" name="Chart 107" title="Chart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10</xdr:row>
      <xdr:rowOff>161925</xdr:rowOff>
    </xdr:from>
    <xdr:ext cx="5343525" cy="3143250"/>
    <xdr:graphicFrame macro="">
      <xdr:nvGraphicFramePr>
        <xdr:cNvPr id="108" name="Chart 108" title="Chart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09" name="Chart 109" title="Chart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10" name="Chart 110" title="Chart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11" name="Chart 111" title="Chart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12" name="Chart 112" title="Chart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13" name="Chart 113" title="Chart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14" name="Chart 114" title="Chart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15" name="Chart 115" title="Chart">
          <a:extLst>
            <a:ext uri="{FF2B5EF4-FFF2-40B4-BE49-F238E27FC236}">
              <a16:creationId xmlns:a16="http://schemas.microsoft.com/office/drawing/2014/main" id="{00000000-0008-0000-0B00-00007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16" name="Chart 116" title="Chart">
          <a:extLst>
            <a:ext uri="{FF2B5EF4-FFF2-40B4-BE49-F238E27FC236}">
              <a16:creationId xmlns:a16="http://schemas.microsoft.com/office/drawing/2014/main" id="{00000000-0008-0000-0B00-00007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17" name="Chart 117" title="Chart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18" name="Chart 118" title="Chart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19" name="Chart 119" title="Chart">
          <a:extLst>
            <a:ext uri="{FF2B5EF4-FFF2-40B4-BE49-F238E27FC236}">
              <a16:creationId xmlns:a16="http://schemas.microsoft.com/office/drawing/2014/main" id="{00000000-0008-0000-0D00-00007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20" name="Chart 120" title="Chart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21" name="Chart 121" title="Chart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22" name="Chart 122" title="Chart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23" name="Chart 123" title="Chart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24" name="Chart 124" title="Chart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25" name="Chart 125" title="Chart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26" name="Chart 126" title="Chart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27" name="Chart 127" title="Chart">
          <a:extLst>
            <a:ext uri="{FF2B5EF4-FFF2-40B4-BE49-F238E27FC236}">
              <a16:creationId xmlns:a16="http://schemas.microsoft.com/office/drawing/2014/main" id="{00000000-0008-0000-1100-00007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28" name="Chart 128" title="Chart">
          <a:extLst>
            <a:ext uri="{FF2B5EF4-FFF2-40B4-BE49-F238E27FC236}">
              <a16:creationId xmlns:a16="http://schemas.microsoft.com/office/drawing/2014/main" id="{00000000-0008-0000-1100-00008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29" name="Chart 129" title="Chart">
          <a:extLst>
            <a:ext uri="{FF2B5EF4-FFF2-40B4-BE49-F238E27FC236}">
              <a16:creationId xmlns:a16="http://schemas.microsoft.com/office/drawing/2014/main" id="{00000000-0008-0000-1200-00008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30" name="Chart 130" title="Chart">
          <a:extLst>
            <a:ext uri="{FF2B5EF4-FFF2-40B4-BE49-F238E27FC236}">
              <a16:creationId xmlns:a16="http://schemas.microsoft.com/office/drawing/2014/main" id="{00000000-0008-0000-1200-00008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31" name="Chart 131" title="Chart">
          <a:extLst>
            <a:ext uri="{FF2B5EF4-FFF2-40B4-BE49-F238E27FC236}">
              <a16:creationId xmlns:a16="http://schemas.microsoft.com/office/drawing/2014/main" id="{00000000-0008-0000-1300-00008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32" name="Chart 132" title="Chart">
          <a:extLst>
            <a:ext uri="{FF2B5EF4-FFF2-40B4-BE49-F238E27FC236}">
              <a16:creationId xmlns:a16="http://schemas.microsoft.com/office/drawing/2014/main" id="{00000000-0008-0000-1300-00008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33" name="Chart 133" title="Chart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34" name="Chart 134" title="Chart">
          <a:extLst>
            <a:ext uri="{FF2B5EF4-FFF2-40B4-BE49-F238E27FC236}">
              <a16:creationId xmlns:a16="http://schemas.microsoft.com/office/drawing/2014/main" id="{00000000-0008-0000-1400-00008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35" name="Chart 135" title="Chart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36" name="Chart 136" title="Chart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37" name="Chart 137" title="Chart">
          <a:extLst>
            <a:ext uri="{FF2B5EF4-FFF2-40B4-BE49-F238E27FC236}">
              <a16:creationId xmlns:a16="http://schemas.microsoft.com/office/drawing/2014/main" id="{00000000-0008-0000-1600-00008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38" name="Chart 138" title="Chart">
          <a:extLst>
            <a:ext uri="{FF2B5EF4-FFF2-40B4-BE49-F238E27FC236}">
              <a16:creationId xmlns:a16="http://schemas.microsoft.com/office/drawing/2014/main" id="{00000000-0008-0000-1600-00008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39" name="Chart 139" title="Chart">
          <a:extLst>
            <a:ext uri="{FF2B5EF4-FFF2-40B4-BE49-F238E27FC236}">
              <a16:creationId xmlns:a16="http://schemas.microsoft.com/office/drawing/2014/main" id="{00000000-0008-0000-1700-00008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40" name="Chart 140" title="Chart">
          <a:extLst>
            <a:ext uri="{FF2B5EF4-FFF2-40B4-BE49-F238E27FC236}">
              <a16:creationId xmlns:a16="http://schemas.microsoft.com/office/drawing/2014/main" id="{00000000-0008-0000-1700-00008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41" name="Chart 141" title="Chart">
          <a:extLst>
            <a:ext uri="{FF2B5EF4-FFF2-40B4-BE49-F238E27FC236}">
              <a16:creationId xmlns:a16="http://schemas.microsoft.com/office/drawing/2014/main" id="{00000000-0008-0000-1800-00008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42" name="Chart 142" title="Chart">
          <a:extLst>
            <a:ext uri="{FF2B5EF4-FFF2-40B4-BE49-F238E27FC236}">
              <a16:creationId xmlns:a16="http://schemas.microsoft.com/office/drawing/2014/main" id="{00000000-0008-0000-1800-00008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43" name="Chart 143" title="Chart">
          <a:extLst>
            <a:ext uri="{FF2B5EF4-FFF2-40B4-BE49-F238E27FC236}">
              <a16:creationId xmlns:a16="http://schemas.microsoft.com/office/drawing/2014/main" id="{00000000-0008-0000-1900-00008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44" name="Chart 144" title="Chart">
          <a:extLst>
            <a:ext uri="{FF2B5EF4-FFF2-40B4-BE49-F238E27FC236}">
              <a16:creationId xmlns:a16="http://schemas.microsoft.com/office/drawing/2014/main" id="{00000000-0008-0000-1900-00009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45" name="Chart 145" title="Chart">
          <a:extLst>
            <a:ext uri="{FF2B5EF4-FFF2-40B4-BE49-F238E27FC236}">
              <a16:creationId xmlns:a16="http://schemas.microsoft.com/office/drawing/2014/main" id="{00000000-0008-0000-1A00-00009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46" name="Chart 146" title="Chart">
          <a:extLst>
            <a:ext uri="{FF2B5EF4-FFF2-40B4-BE49-F238E27FC236}">
              <a16:creationId xmlns:a16="http://schemas.microsoft.com/office/drawing/2014/main" id="{00000000-0008-0000-1A00-00009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47" name="Chart 147" title="Chart">
          <a:extLst>
            <a:ext uri="{FF2B5EF4-FFF2-40B4-BE49-F238E27FC236}">
              <a16:creationId xmlns:a16="http://schemas.microsoft.com/office/drawing/2014/main" id="{00000000-0008-0000-1B00-00009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48" name="Chart 148" title="Chart">
          <a:extLst>
            <a:ext uri="{FF2B5EF4-FFF2-40B4-BE49-F238E27FC236}">
              <a16:creationId xmlns:a16="http://schemas.microsoft.com/office/drawing/2014/main" id="{00000000-0008-0000-1B00-00009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49" name="Chart 149" title="Chart">
          <a:extLst>
            <a:ext uri="{FF2B5EF4-FFF2-40B4-BE49-F238E27FC236}">
              <a16:creationId xmlns:a16="http://schemas.microsoft.com/office/drawing/2014/main" id="{00000000-0008-0000-1C00-00009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50" name="Chart 150" title="Chart">
          <a:extLst>
            <a:ext uri="{FF2B5EF4-FFF2-40B4-BE49-F238E27FC236}">
              <a16:creationId xmlns:a16="http://schemas.microsoft.com/office/drawing/2014/main" id="{00000000-0008-0000-1C00-00009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51" name="Chart 151" title="Chart">
          <a:extLst>
            <a:ext uri="{FF2B5EF4-FFF2-40B4-BE49-F238E27FC236}">
              <a16:creationId xmlns:a16="http://schemas.microsoft.com/office/drawing/2014/main" id="{00000000-0008-0000-1D00-00009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52" name="Chart 152" title="Chart">
          <a:extLst>
            <a:ext uri="{FF2B5EF4-FFF2-40B4-BE49-F238E27FC236}">
              <a16:creationId xmlns:a16="http://schemas.microsoft.com/office/drawing/2014/main" id="{00000000-0008-0000-1D00-00009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53" name="Chart 153" title="Chart">
          <a:extLst>
            <a:ext uri="{FF2B5EF4-FFF2-40B4-BE49-F238E27FC236}">
              <a16:creationId xmlns:a16="http://schemas.microsoft.com/office/drawing/2014/main" id="{00000000-0008-0000-1E00-00009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54" name="Chart 154" title="Chart">
          <a:extLst>
            <a:ext uri="{FF2B5EF4-FFF2-40B4-BE49-F238E27FC236}">
              <a16:creationId xmlns:a16="http://schemas.microsoft.com/office/drawing/2014/main" id="{00000000-0008-0000-1E00-00009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55" name="Chart 155" title="Chart">
          <a:extLst>
            <a:ext uri="{FF2B5EF4-FFF2-40B4-BE49-F238E27FC236}">
              <a16:creationId xmlns:a16="http://schemas.microsoft.com/office/drawing/2014/main" id="{00000000-0008-0000-1F00-00009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56" name="Chart 156" title="Chart">
          <a:extLst>
            <a:ext uri="{FF2B5EF4-FFF2-40B4-BE49-F238E27FC236}">
              <a16:creationId xmlns:a16="http://schemas.microsoft.com/office/drawing/2014/main" id="{00000000-0008-0000-1F00-00009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57" name="Chart 157" title="Chart">
          <a:extLst>
            <a:ext uri="{FF2B5EF4-FFF2-40B4-BE49-F238E27FC236}">
              <a16:creationId xmlns:a16="http://schemas.microsoft.com/office/drawing/2014/main" id="{00000000-0008-0000-2000-00009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58" name="Chart 158" title="Chart">
          <a:extLst>
            <a:ext uri="{FF2B5EF4-FFF2-40B4-BE49-F238E27FC236}">
              <a16:creationId xmlns:a16="http://schemas.microsoft.com/office/drawing/2014/main" id="{00000000-0008-0000-2000-00009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59" name="Chart 159" title="Chart">
          <a:extLst>
            <a:ext uri="{FF2B5EF4-FFF2-40B4-BE49-F238E27FC236}">
              <a16:creationId xmlns:a16="http://schemas.microsoft.com/office/drawing/2014/main" id="{00000000-0008-0000-2100-00009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60" name="Chart 160" title="Chart">
          <a:extLst>
            <a:ext uri="{FF2B5EF4-FFF2-40B4-BE49-F238E27FC236}">
              <a16:creationId xmlns:a16="http://schemas.microsoft.com/office/drawing/2014/main" id="{00000000-0008-0000-2100-0000A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61" name="Chart 161" title="Chart">
          <a:extLst>
            <a:ext uri="{FF2B5EF4-FFF2-40B4-BE49-F238E27FC236}">
              <a16:creationId xmlns:a16="http://schemas.microsoft.com/office/drawing/2014/main" id="{00000000-0008-0000-2200-0000A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62" name="Chart 162" title="Chart">
          <a:extLst>
            <a:ext uri="{FF2B5EF4-FFF2-40B4-BE49-F238E27FC236}">
              <a16:creationId xmlns:a16="http://schemas.microsoft.com/office/drawing/2014/main" id="{00000000-0008-0000-2200-0000A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63" name="Chart 163" title="Chart">
          <a:extLst>
            <a:ext uri="{FF2B5EF4-FFF2-40B4-BE49-F238E27FC236}">
              <a16:creationId xmlns:a16="http://schemas.microsoft.com/office/drawing/2014/main" id="{00000000-0008-0000-2300-0000A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64" name="Chart 164" title="Chart">
          <a:extLst>
            <a:ext uri="{FF2B5EF4-FFF2-40B4-BE49-F238E27FC236}">
              <a16:creationId xmlns:a16="http://schemas.microsoft.com/office/drawing/2014/main" id="{00000000-0008-0000-2300-0000A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65" name="Chart 165" title="Chart">
          <a:extLst>
            <a:ext uri="{FF2B5EF4-FFF2-40B4-BE49-F238E27FC236}">
              <a16:creationId xmlns:a16="http://schemas.microsoft.com/office/drawing/2014/main" id="{00000000-0008-0000-2400-0000A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66" name="Chart 166" title="Chart">
          <a:extLst>
            <a:ext uri="{FF2B5EF4-FFF2-40B4-BE49-F238E27FC236}">
              <a16:creationId xmlns:a16="http://schemas.microsoft.com/office/drawing/2014/main" id="{00000000-0008-0000-2400-0000A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67" name="Chart 167" title="Chart">
          <a:extLst>
            <a:ext uri="{FF2B5EF4-FFF2-40B4-BE49-F238E27FC236}">
              <a16:creationId xmlns:a16="http://schemas.microsoft.com/office/drawing/2014/main" id="{00000000-0008-0000-2500-0000A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68" name="Chart 168" title="Chart">
          <a:extLst>
            <a:ext uri="{FF2B5EF4-FFF2-40B4-BE49-F238E27FC236}">
              <a16:creationId xmlns:a16="http://schemas.microsoft.com/office/drawing/2014/main" id="{00000000-0008-0000-2500-0000A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69" name="Chart 169" title="Chart">
          <a:extLst>
            <a:ext uri="{FF2B5EF4-FFF2-40B4-BE49-F238E27FC236}">
              <a16:creationId xmlns:a16="http://schemas.microsoft.com/office/drawing/2014/main" id="{00000000-0008-0000-2600-0000A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70" name="Chart 170" title="Chart">
          <a:extLst>
            <a:ext uri="{FF2B5EF4-FFF2-40B4-BE49-F238E27FC236}">
              <a16:creationId xmlns:a16="http://schemas.microsoft.com/office/drawing/2014/main" id="{00000000-0008-0000-2600-0000A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161925</xdr:rowOff>
    </xdr:from>
    <xdr:ext cx="5343525" cy="3143250"/>
    <xdr:graphicFrame macro="">
      <xdr:nvGraphicFramePr>
        <xdr:cNvPr id="171" name="Chart 171" title="Chart">
          <a:extLst>
            <a:ext uri="{FF2B5EF4-FFF2-40B4-BE49-F238E27FC236}">
              <a16:creationId xmlns:a16="http://schemas.microsoft.com/office/drawing/2014/main" id="{00000000-0008-0000-2700-0000A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72" name="Chart 172" title="Chart">
          <a:extLst>
            <a:ext uri="{FF2B5EF4-FFF2-40B4-BE49-F238E27FC236}">
              <a16:creationId xmlns:a16="http://schemas.microsoft.com/office/drawing/2014/main" id="{00000000-0008-0000-2700-0000A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73" name="Chart 173" title="Chart">
          <a:extLst>
            <a:ext uri="{FF2B5EF4-FFF2-40B4-BE49-F238E27FC236}">
              <a16:creationId xmlns:a16="http://schemas.microsoft.com/office/drawing/2014/main" id="{00000000-0008-0000-28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74" name="Chart 174" title="Chart">
          <a:extLst>
            <a:ext uri="{FF2B5EF4-FFF2-40B4-BE49-F238E27FC236}">
              <a16:creationId xmlns:a16="http://schemas.microsoft.com/office/drawing/2014/main" id="{00000000-0008-0000-2800-0000A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75" name="Chart 175" title="Chart">
          <a:extLst>
            <a:ext uri="{FF2B5EF4-FFF2-40B4-BE49-F238E27FC236}">
              <a16:creationId xmlns:a16="http://schemas.microsoft.com/office/drawing/2014/main" id="{00000000-0008-0000-2900-0000A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76" name="Chart 176" title="Chart">
          <a:extLst>
            <a:ext uri="{FF2B5EF4-FFF2-40B4-BE49-F238E27FC236}">
              <a16:creationId xmlns:a16="http://schemas.microsoft.com/office/drawing/2014/main" id="{00000000-0008-0000-2900-0000B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77" name="Chart 177" title="Chart">
          <a:extLst>
            <a:ext uri="{FF2B5EF4-FFF2-40B4-BE49-F238E27FC236}">
              <a16:creationId xmlns:a16="http://schemas.microsoft.com/office/drawing/2014/main" id="{00000000-0008-0000-2A00-0000B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78" name="Chart 178" title="Chart">
          <a:extLst>
            <a:ext uri="{FF2B5EF4-FFF2-40B4-BE49-F238E27FC236}">
              <a16:creationId xmlns:a16="http://schemas.microsoft.com/office/drawing/2014/main" id="{00000000-0008-0000-2A00-0000B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79" name="Chart 179" title="Chart">
          <a:extLst>
            <a:ext uri="{FF2B5EF4-FFF2-40B4-BE49-F238E27FC236}">
              <a16:creationId xmlns:a16="http://schemas.microsoft.com/office/drawing/2014/main" id="{00000000-0008-0000-2B00-0000B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80" name="Chart 180" title="Chart">
          <a:extLst>
            <a:ext uri="{FF2B5EF4-FFF2-40B4-BE49-F238E27FC236}">
              <a16:creationId xmlns:a16="http://schemas.microsoft.com/office/drawing/2014/main" id="{00000000-0008-0000-2B00-0000B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81" name="Chart 181" title="Chart">
          <a:extLst>
            <a:ext uri="{FF2B5EF4-FFF2-40B4-BE49-F238E27FC236}">
              <a16:creationId xmlns:a16="http://schemas.microsoft.com/office/drawing/2014/main" id="{00000000-0008-0000-2C00-0000B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82" name="Chart 182" title="Chart">
          <a:extLst>
            <a:ext uri="{FF2B5EF4-FFF2-40B4-BE49-F238E27FC236}">
              <a16:creationId xmlns:a16="http://schemas.microsoft.com/office/drawing/2014/main" id="{00000000-0008-0000-2C00-0000B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83" name="Chart 183" title="Chart">
          <a:extLst>
            <a:ext uri="{FF2B5EF4-FFF2-40B4-BE49-F238E27FC236}">
              <a16:creationId xmlns:a16="http://schemas.microsoft.com/office/drawing/2014/main" id="{00000000-0008-0000-2D00-0000B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28575</xdr:rowOff>
    </xdr:from>
    <xdr:ext cx="5343525" cy="3067050"/>
    <xdr:graphicFrame macro="">
      <xdr:nvGraphicFramePr>
        <xdr:cNvPr id="184" name="Chart 184" title="Chart">
          <a:extLst>
            <a:ext uri="{FF2B5EF4-FFF2-40B4-BE49-F238E27FC236}">
              <a16:creationId xmlns:a16="http://schemas.microsoft.com/office/drawing/2014/main" id="{00000000-0008-0000-2D00-0000B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200025</xdr:rowOff>
    </xdr:from>
    <xdr:ext cx="5343525" cy="3143250"/>
    <xdr:graphicFrame macro="">
      <xdr:nvGraphicFramePr>
        <xdr:cNvPr id="185" name="Chart 185" title="Chart">
          <a:extLst>
            <a:ext uri="{FF2B5EF4-FFF2-40B4-BE49-F238E27FC236}">
              <a16:creationId xmlns:a16="http://schemas.microsoft.com/office/drawing/2014/main" id="{00000000-0008-0000-2E00-0000B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76200</xdr:rowOff>
    </xdr:from>
    <xdr:ext cx="5343525" cy="3067050"/>
    <xdr:graphicFrame macro="">
      <xdr:nvGraphicFramePr>
        <xdr:cNvPr id="186" name="Chart 186" title="Chart">
          <a:extLst>
            <a:ext uri="{FF2B5EF4-FFF2-40B4-BE49-F238E27FC236}">
              <a16:creationId xmlns:a16="http://schemas.microsoft.com/office/drawing/2014/main" id="{00000000-0008-0000-2E00-0000B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</xdr:colOff>
      <xdr:row>10</xdr:row>
      <xdr:rowOff>180975</xdr:rowOff>
    </xdr:from>
    <xdr:ext cx="5343525" cy="3143250"/>
    <xdr:graphicFrame macro="">
      <xdr:nvGraphicFramePr>
        <xdr:cNvPr id="187" name="Chart 187" title="Chart">
          <a:extLst>
            <a:ext uri="{FF2B5EF4-FFF2-40B4-BE49-F238E27FC236}">
              <a16:creationId xmlns:a16="http://schemas.microsoft.com/office/drawing/2014/main" id="{00000000-0008-0000-2F00-0000B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85725</xdr:colOff>
      <xdr:row>0</xdr:row>
      <xdr:rowOff>47625</xdr:rowOff>
    </xdr:from>
    <xdr:ext cx="5343525" cy="3067050"/>
    <xdr:graphicFrame macro="">
      <xdr:nvGraphicFramePr>
        <xdr:cNvPr id="188" name="Chart 188" title="Chart">
          <a:extLst>
            <a:ext uri="{FF2B5EF4-FFF2-40B4-BE49-F238E27FC236}">
              <a16:creationId xmlns:a16="http://schemas.microsoft.com/office/drawing/2014/main" id="{00000000-0008-0000-2F00-0000B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89" name="Chart 189" title="Chart">
          <a:extLst>
            <a:ext uri="{FF2B5EF4-FFF2-40B4-BE49-F238E27FC236}">
              <a16:creationId xmlns:a16="http://schemas.microsoft.com/office/drawing/2014/main" id="{00000000-0008-0000-3000-0000B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66675</xdr:rowOff>
    </xdr:from>
    <xdr:ext cx="5343525" cy="3067050"/>
    <xdr:graphicFrame macro="">
      <xdr:nvGraphicFramePr>
        <xdr:cNvPr id="190" name="Chart 190" title="Chart">
          <a:extLst>
            <a:ext uri="{FF2B5EF4-FFF2-40B4-BE49-F238E27FC236}">
              <a16:creationId xmlns:a16="http://schemas.microsoft.com/office/drawing/2014/main" id="{00000000-0008-0000-3000-0000B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91" name="Chart 191" title="Chart">
          <a:extLst>
            <a:ext uri="{FF2B5EF4-FFF2-40B4-BE49-F238E27FC236}">
              <a16:creationId xmlns:a16="http://schemas.microsoft.com/office/drawing/2014/main" id="{00000000-0008-0000-3100-0000B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192" name="Chart 192" title="Chart">
          <a:extLst>
            <a:ext uri="{FF2B5EF4-FFF2-40B4-BE49-F238E27FC236}">
              <a16:creationId xmlns:a16="http://schemas.microsoft.com/office/drawing/2014/main" id="{00000000-0008-0000-3100-0000C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93" name="Chart 193" title="Chart">
          <a:extLst>
            <a:ext uri="{FF2B5EF4-FFF2-40B4-BE49-F238E27FC236}">
              <a16:creationId xmlns:a16="http://schemas.microsoft.com/office/drawing/2014/main" id="{00000000-0008-0000-3200-0000C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9525</xdr:rowOff>
    </xdr:from>
    <xdr:ext cx="5343525" cy="3067050"/>
    <xdr:graphicFrame macro="">
      <xdr:nvGraphicFramePr>
        <xdr:cNvPr id="194" name="Chart 194" title="Chart">
          <a:extLst>
            <a:ext uri="{FF2B5EF4-FFF2-40B4-BE49-F238E27FC236}">
              <a16:creationId xmlns:a16="http://schemas.microsoft.com/office/drawing/2014/main" id="{00000000-0008-0000-3200-0000C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95" name="Chart 195" title="Chart">
          <a:extLst>
            <a:ext uri="{FF2B5EF4-FFF2-40B4-BE49-F238E27FC236}">
              <a16:creationId xmlns:a16="http://schemas.microsoft.com/office/drawing/2014/main" id="{00000000-0008-0000-3300-0000C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9525</xdr:rowOff>
    </xdr:from>
    <xdr:ext cx="5343525" cy="3067050"/>
    <xdr:graphicFrame macro="">
      <xdr:nvGraphicFramePr>
        <xdr:cNvPr id="196" name="Chart 196" title="Chart">
          <a:extLst>
            <a:ext uri="{FF2B5EF4-FFF2-40B4-BE49-F238E27FC236}">
              <a16:creationId xmlns:a16="http://schemas.microsoft.com/office/drawing/2014/main" id="{00000000-0008-0000-3300-0000C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97" name="Chart 197" title="Chart">
          <a:extLst>
            <a:ext uri="{FF2B5EF4-FFF2-40B4-BE49-F238E27FC236}">
              <a16:creationId xmlns:a16="http://schemas.microsoft.com/office/drawing/2014/main" id="{00000000-0008-0000-3400-0000C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9525</xdr:rowOff>
    </xdr:from>
    <xdr:ext cx="5343525" cy="3067050"/>
    <xdr:graphicFrame macro="">
      <xdr:nvGraphicFramePr>
        <xdr:cNvPr id="198" name="Chart 198" title="Chart">
          <a:extLst>
            <a:ext uri="{FF2B5EF4-FFF2-40B4-BE49-F238E27FC236}">
              <a16:creationId xmlns:a16="http://schemas.microsoft.com/office/drawing/2014/main" id="{00000000-0008-0000-3400-0000C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199" name="Chart 199" title="Chart">
          <a:extLst>
            <a:ext uri="{FF2B5EF4-FFF2-40B4-BE49-F238E27FC236}">
              <a16:creationId xmlns:a16="http://schemas.microsoft.com/office/drawing/2014/main" id="{00000000-0008-0000-3500-0000C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00" name="Chart 200" title="Chart">
          <a:extLst>
            <a:ext uri="{FF2B5EF4-FFF2-40B4-BE49-F238E27FC236}">
              <a16:creationId xmlns:a16="http://schemas.microsoft.com/office/drawing/2014/main" id="{00000000-0008-0000-3500-0000C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01" name="Chart 201" title="Chart">
          <a:extLst>
            <a:ext uri="{FF2B5EF4-FFF2-40B4-BE49-F238E27FC236}">
              <a16:creationId xmlns:a16="http://schemas.microsoft.com/office/drawing/2014/main" id="{00000000-0008-0000-3600-0000C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02" name="Chart 202" title="Chart">
          <a:extLst>
            <a:ext uri="{FF2B5EF4-FFF2-40B4-BE49-F238E27FC236}">
              <a16:creationId xmlns:a16="http://schemas.microsoft.com/office/drawing/2014/main" id="{00000000-0008-0000-3600-0000C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03" name="Chart 203" title="Chart">
          <a:extLst>
            <a:ext uri="{FF2B5EF4-FFF2-40B4-BE49-F238E27FC236}">
              <a16:creationId xmlns:a16="http://schemas.microsoft.com/office/drawing/2014/main" id="{00000000-0008-0000-3700-0000C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04" name="Chart 204" title="Chart">
          <a:extLst>
            <a:ext uri="{FF2B5EF4-FFF2-40B4-BE49-F238E27FC236}">
              <a16:creationId xmlns:a16="http://schemas.microsoft.com/office/drawing/2014/main" id="{00000000-0008-0000-3700-0000C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05" name="Chart 205" title="Chart">
          <a:extLst>
            <a:ext uri="{FF2B5EF4-FFF2-40B4-BE49-F238E27FC236}">
              <a16:creationId xmlns:a16="http://schemas.microsoft.com/office/drawing/2014/main" id="{00000000-0008-0000-3800-0000C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06" name="Chart 206" title="Chart">
          <a:extLst>
            <a:ext uri="{FF2B5EF4-FFF2-40B4-BE49-F238E27FC236}">
              <a16:creationId xmlns:a16="http://schemas.microsoft.com/office/drawing/2014/main" id="{00000000-0008-0000-3800-0000C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07" name="Chart 207" title="Chart">
          <a:extLst>
            <a:ext uri="{FF2B5EF4-FFF2-40B4-BE49-F238E27FC236}">
              <a16:creationId xmlns:a16="http://schemas.microsoft.com/office/drawing/2014/main" id="{00000000-0008-0000-3900-0000C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08" name="Chart 208" title="Chart">
          <a:extLst>
            <a:ext uri="{FF2B5EF4-FFF2-40B4-BE49-F238E27FC236}">
              <a16:creationId xmlns:a16="http://schemas.microsoft.com/office/drawing/2014/main" id="{00000000-0008-0000-3900-0000D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09" name="Chart 209" title="Chart">
          <a:extLst>
            <a:ext uri="{FF2B5EF4-FFF2-40B4-BE49-F238E27FC236}">
              <a16:creationId xmlns:a16="http://schemas.microsoft.com/office/drawing/2014/main" id="{00000000-0008-0000-3A00-0000D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10" name="Chart 210" title="Chart">
          <a:extLst>
            <a:ext uri="{FF2B5EF4-FFF2-40B4-BE49-F238E27FC236}">
              <a16:creationId xmlns:a16="http://schemas.microsoft.com/office/drawing/2014/main" id="{00000000-0008-0000-3A00-0000D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11" name="Chart 211" title="Chart">
          <a:extLst>
            <a:ext uri="{FF2B5EF4-FFF2-40B4-BE49-F238E27FC236}">
              <a16:creationId xmlns:a16="http://schemas.microsoft.com/office/drawing/2014/main" id="{00000000-0008-0000-3B00-0000D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12" name="Chart 212" title="Chart">
          <a:extLst>
            <a:ext uri="{FF2B5EF4-FFF2-40B4-BE49-F238E27FC236}">
              <a16:creationId xmlns:a16="http://schemas.microsoft.com/office/drawing/2014/main" id="{00000000-0008-0000-3B00-0000D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13" name="Chart 213" title="Chart">
          <a:extLst>
            <a:ext uri="{FF2B5EF4-FFF2-40B4-BE49-F238E27FC236}">
              <a16:creationId xmlns:a16="http://schemas.microsoft.com/office/drawing/2014/main" id="{00000000-0008-0000-3C00-0000D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14" name="Chart 214" title="Chart">
          <a:extLst>
            <a:ext uri="{FF2B5EF4-FFF2-40B4-BE49-F238E27FC236}">
              <a16:creationId xmlns:a16="http://schemas.microsoft.com/office/drawing/2014/main" id="{00000000-0008-0000-3C00-0000D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15" name="Chart 215" title="Chart">
          <a:extLst>
            <a:ext uri="{FF2B5EF4-FFF2-40B4-BE49-F238E27FC236}">
              <a16:creationId xmlns:a16="http://schemas.microsoft.com/office/drawing/2014/main" id="{00000000-0008-0000-3D00-0000D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16" name="Chart 216" title="Chart">
          <a:extLst>
            <a:ext uri="{FF2B5EF4-FFF2-40B4-BE49-F238E27FC236}">
              <a16:creationId xmlns:a16="http://schemas.microsoft.com/office/drawing/2014/main" id="{00000000-0008-0000-3D00-0000D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17" name="Chart 217" title="Chart">
          <a:extLst>
            <a:ext uri="{FF2B5EF4-FFF2-40B4-BE49-F238E27FC236}">
              <a16:creationId xmlns:a16="http://schemas.microsoft.com/office/drawing/2014/main" id="{00000000-0008-0000-3E00-0000D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18" name="Chart 218" title="Chart">
          <a:extLst>
            <a:ext uri="{FF2B5EF4-FFF2-40B4-BE49-F238E27FC236}">
              <a16:creationId xmlns:a16="http://schemas.microsoft.com/office/drawing/2014/main" id="{00000000-0008-0000-3E00-0000D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19" name="Chart 219" title="Chart">
          <a:extLst>
            <a:ext uri="{FF2B5EF4-FFF2-40B4-BE49-F238E27FC236}">
              <a16:creationId xmlns:a16="http://schemas.microsoft.com/office/drawing/2014/main" id="{00000000-0008-0000-3F00-0000D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20" name="Chart 220" title="Chart">
          <a:extLst>
            <a:ext uri="{FF2B5EF4-FFF2-40B4-BE49-F238E27FC236}">
              <a16:creationId xmlns:a16="http://schemas.microsoft.com/office/drawing/2014/main" id="{00000000-0008-0000-3F00-0000D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21" name="Chart 221" title="Chart">
          <a:extLst>
            <a:ext uri="{FF2B5EF4-FFF2-40B4-BE49-F238E27FC236}">
              <a16:creationId xmlns:a16="http://schemas.microsoft.com/office/drawing/2014/main" id="{00000000-0008-0000-4000-0000D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22" name="Chart 222" title="Chart">
          <a:extLst>
            <a:ext uri="{FF2B5EF4-FFF2-40B4-BE49-F238E27FC236}">
              <a16:creationId xmlns:a16="http://schemas.microsoft.com/office/drawing/2014/main" id="{00000000-0008-0000-4000-0000D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23" name="Chart 223" title="Chart">
          <a:extLst>
            <a:ext uri="{FF2B5EF4-FFF2-40B4-BE49-F238E27FC236}">
              <a16:creationId xmlns:a16="http://schemas.microsoft.com/office/drawing/2014/main" id="{00000000-0008-0000-4100-0000D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24" name="Chart 224" title="Chart">
          <a:extLst>
            <a:ext uri="{FF2B5EF4-FFF2-40B4-BE49-F238E27FC236}">
              <a16:creationId xmlns:a16="http://schemas.microsoft.com/office/drawing/2014/main" id="{00000000-0008-0000-4100-0000E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25" name="Chart 225" title="Chart">
          <a:extLst>
            <a:ext uri="{FF2B5EF4-FFF2-40B4-BE49-F238E27FC236}">
              <a16:creationId xmlns:a16="http://schemas.microsoft.com/office/drawing/2014/main" id="{00000000-0008-0000-4200-0000E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26" name="Chart 226" title="Chart">
          <a:extLst>
            <a:ext uri="{FF2B5EF4-FFF2-40B4-BE49-F238E27FC236}">
              <a16:creationId xmlns:a16="http://schemas.microsoft.com/office/drawing/2014/main" id="{00000000-0008-0000-4200-0000E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27" name="Chart 227" title="Chart">
          <a:extLst>
            <a:ext uri="{FF2B5EF4-FFF2-40B4-BE49-F238E27FC236}">
              <a16:creationId xmlns:a16="http://schemas.microsoft.com/office/drawing/2014/main" id="{00000000-0008-0000-4300-0000E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28" name="Chart 228" title="Chart">
          <a:extLst>
            <a:ext uri="{FF2B5EF4-FFF2-40B4-BE49-F238E27FC236}">
              <a16:creationId xmlns:a16="http://schemas.microsoft.com/office/drawing/2014/main" id="{00000000-0008-0000-4300-0000E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29" name="Chart 229" title="Chart">
          <a:extLst>
            <a:ext uri="{FF2B5EF4-FFF2-40B4-BE49-F238E27FC236}">
              <a16:creationId xmlns:a16="http://schemas.microsoft.com/office/drawing/2014/main" id="{00000000-0008-0000-4400-0000E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30" name="Chart 230" title="Chart">
          <a:extLst>
            <a:ext uri="{FF2B5EF4-FFF2-40B4-BE49-F238E27FC236}">
              <a16:creationId xmlns:a16="http://schemas.microsoft.com/office/drawing/2014/main" id="{00000000-0008-0000-4400-0000E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31" name="Chart 231" title="Chart">
          <a:extLst>
            <a:ext uri="{FF2B5EF4-FFF2-40B4-BE49-F238E27FC236}">
              <a16:creationId xmlns:a16="http://schemas.microsoft.com/office/drawing/2014/main" id="{00000000-0008-0000-4500-0000E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32" name="Chart 232" title="Chart">
          <a:extLst>
            <a:ext uri="{FF2B5EF4-FFF2-40B4-BE49-F238E27FC236}">
              <a16:creationId xmlns:a16="http://schemas.microsoft.com/office/drawing/2014/main" id="{00000000-0008-0000-4500-0000E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33" name="Chart 233" title="Chart">
          <a:extLst>
            <a:ext uri="{FF2B5EF4-FFF2-40B4-BE49-F238E27FC236}">
              <a16:creationId xmlns:a16="http://schemas.microsoft.com/office/drawing/2014/main" id="{00000000-0008-0000-4600-0000E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34" name="Chart 234" title="Chart">
          <a:extLst>
            <a:ext uri="{FF2B5EF4-FFF2-40B4-BE49-F238E27FC236}">
              <a16:creationId xmlns:a16="http://schemas.microsoft.com/office/drawing/2014/main" id="{00000000-0008-0000-4600-0000E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35" name="Chart 235" title="Chart">
          <a:extLst>
            <a:ext uri="{FF2B5EF4-FFF2-40B4-BE49-F238E27FC236}">
              <a16:creationId xmlns:a16="http://schemas.microsoft.com/office/drawing/2014/main" id="{00000000-0008-0000-4700-0000E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36" name="Chart 236" title="Chart">
          <a:extLst>
            <a:ext uri="{FF2B5EF4-FFF2-40B4-BE49-F238E27FC236}">
              <a16:creationId xmlns:a16="http://schemas.microsoft.com/office/drawing/2014/main" id="{00000000-0008-0000-4700-0000E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37" name="Chart 237" title="Chart">
          <a:extLst>
            <a:ext uri="{FF2B5EF4-FFF2-40B4-BE49-F238E27FC236}">
              <a16:creationId xmlns:a16="http://schemas.microsoft.com/office/drawing/2014/main" id="{00000000-0008-0000-4800-0000E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38" name="Chart 238" title="Chart">
          <a:extLst>
            <a:ext uri="{FF2B5EF4-FFF2-40B4-BE49-F238E27FC236}">
              <a16:creationId xmlns:a16="http://schemas.microsoft.com/office/drawing/2014/main" id="{00000000-0008-0000-4800-0000E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39" name="Chart 239" title="Chart">
          <a:extLst>
            <a:ext uri="{FF2B5EF4-FFF2-40B4-BE49-F238E27FC236}">
              <a16:creationId xmlns:a16="http://schemas.microsoft.com/office/drawing/2014/main" id="{00000000-0008-0000-4900-0000E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40" name="Chart 240" title="Chart">
          <a:extLst>
            <a:ext uri="{FF2B5EF4-FFF2-40B4-BE49-F238E27FC236}">
              <a16:creationId xmlns:a16="http://schemas.microsoft.com/office/drawing/2014/main" id="{00000000-0008-0000-4900-0000F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41" name="Chart 241" title="Chart">
          <a:extLst>
            <a:ext uri="{FF2B5EF4-FFF2-40B4-BE49-F238E27FC236}">
              <a16:creationId xmlns:a16="http://schemas.microsoft.com/office/drawing/2014/main" id="{00000000-0008-0000-4A00-0000F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42" name="Chart 242" title="Chart">
          <a:extLst>
            <a:ext uri="{FF2B5EF4-FFF2-40B4-BE49-F238E27FC236}">
              <a16:creationId xmlns:a16="http://schemas.microsoft.com/office/drawing/2014/main" id="{00000000-0008-0000-4A00-0000F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43" name="Chart 243" title="Chart">
          <a:extLst>
            <a:ext uri="{FF2B5EF4-FFF2-40B4-BE49-F238E27FC236}">
              <a16:creationId xmlns:a16="http://schemas.microsoft.com/office/drawing/2014/main" id="{00000000-0008-0000-4B00-0000F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44" name="Chart 244" title="Chart">
          <a:extLst>
            <a:ext uri="{FF2B5EF4-FFF2-40B4-BE49-F238E27FC236}">
              <a16:creationId xmlns:a16="http://schemas.microsoft.com/office/drawing/2014/main" id="{00000000-0008-0000-4B00-0000F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45" name="Chart 245" title="Chart">
          <a:extLst>
            <a:ext uri="{FF2B5EF4-FFF2-40B4-BE49-F238E27FC236}">
              <a16:creationId xmlns:a16="http://schemas.microsoft.com/office/drawing/2014/main" id="{00000000-0008-0000-4C00-0000F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46" name="Chart 246" title="Chart">
          <a:extLst>
            <a:ext uri="{FF2B5EF4-FFF2-40B4-BE49-F238E27FC236}">
              <a16:creationId xmlns:a16="http://schemas.microsoft.com/office/drawing/2014/main" id="{00000000-0008-0000-4C00-0000F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47" name="Chart 247" title="Chart">
          <a:extLst>
            <a:ext uri="{FF2B5EF4-FFF2-40B4-BE49-F238E27FC236}">
              <a16:creationId xmlns:a16="http://schemas.microsoft.com/office/drawing/2014/main" id="{00000000-0008-0000-4D00-0000F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48" name="Chart 248" title="Chart">
          <a:extLst>
            <a:ext uri="{FF2B5EF4-FFF2-40B4-BE49-F238E27FC236}">
              <a16:creationId xmlns:a16="http://schemas.microsoft.com/office/drawing/2014/main" id="{00000000-0008-0000-4D00-0000F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49" name="Chart 249" title="Chart">
          <a:extLst>
            <a:ext uri="{FF2B5EF4-FFF2-40B4-BE49-F238E27FC236}">
              <a16:creationId xmlns:a16="http://schemas.microsoft.com/office/drawing/2014/main" id="{00000000-0008-0000-4E00-0000F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50" name="Chart 250" title="Chart">
          <a:extLst>
            <a:ext uri="{FF2B5EF4-FFF2-40B4-BE49-F238E27FC236}">
              <a16:creationId xmlns:a16="http://schemas.microsoft.com/office/drawing/2014/main" id="{00000000-0008-0000-4E00-0000F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51" name="Chart 251" title="Chart">
          <a:extLst>
            <a:ext uri="{FF2B5EF4-FFF2-40B4-BE49-F238E27FC236}">
              <a16:creationId xmlns:a16="http://schemas.microsoft.com/office/drawing/2014/main" id="{00000000-0008-0000-4F00-0000F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52" name="Chart 252" title="Chart">
          <a:extLst>
            <a:ext uri="{FF2B5EF4-FFF2-40B4-BE49-F238E27FC236}">
              <a16:creationId xmlns:a16="http://schemas.microsoft.com/office/drawing/2014/main" id="{00000000-0008-0000-4F00-0000F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53" name="Chart 253" title="Chart">
          <a:extLst>
            <a:ext uri="{FF2B5EF4-FFF2-40B4-BE49-F238E27FC236}">
              <a16:creationId xmlns:a16="http://schemas.microsoft.com/office/drawing/2014/main" id="{00000000-0008-0000-5000-0000F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54" name="Chart 254" title="Chart">
          <a:extLst>
            <a:ext uri="{FF2B5EF4-FFF2-40B4-BE49-F238E27FC236}">
              <a16:creationId xmlns:a16="http://schemas.microsoft.com/office/drawing/2014/main" id="{00000000-0008-0000-5000-0000F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55" name="Chart 255" title="Chart">
          <a:extLst>
            <a:ext uri="{FF2B5EF4-FFF2-40B4-BE49-F238E27FC236}">
              <a16:creationId xmlns:a16="http://schemas.microsoft.com/office/drawing/2014/main" id="{00000000-0008-0000-5100-0000F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56" name="Chart 256" title="Chart">
          <a:extLst>
            <a:ext uri="{FF2B5EF4-FFF2-40B4-BE49-F238E27FC236}">
              <a16:creationId xmlns:a16="http://schemas.microsoft.com/office/drawing/2014/main" id="{00000000-0008-0000-5100-00000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57" name="Chart 257" title="Chart">
          <a:extLst>
            <a:ext uri="{FF2B5EF4-FFF2-40B4-BE49-F238E27FC236}">
              <a16:creationId xmlns:a16="http://schemas.microsoft.com/office/drawing/2014/main" id="{00000000-0008-0000-5200-00000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58" name="Chart 258" title="Chart">
          <a:extLst>
            <a:ext uri="{FF2B5EF4-FFF2-40B4-BE49-F238E27FC236}">
              <a16:creationId xmlns:a16="http://schemas.microsoft.com/office/drawing/2014/main" id="{00000000-0008-0000-5200-00000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59" name="Chart 259" title="Chart">
          <a:extLst>
            <a:ext uri="{FF2B5EF4-FFF2-40B4-BE49-F238E27FC236}">
              <a16:creationId xmlns:a16="http://schemas.microsoft.com/office/drawing/2014/main" id="{00000000-0008-0000-5300-00000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60" name="Chart 260" title="Chart">
          <a:extLst>
            <a:ext uri="{FF2B5EF4-FFF2-40B4-BE49-F238E27FC236}">
              <a16:creationId xmlns:a16="http://schemas.microsoft.com/office/drawing/2014/main" id="{00000000-0008-0000-5300-00000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61" name="Chart 261" title="Chart">
          <a:extLst>
            <a:ext uri="{FF2B5EF4-FFF2-40B4-BE49-F238E27FC236}">
              <a16:creationId xmlns:a16="http://schemas.microsoft.com/office/drawing/2014/main" id="{00000000-0008-0000-5400-00000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62" name="Chart 262" title="Chart">
          <a:extLst>
            <a:ext uri="{FF2B5EF4-FFF2-40B4-BE49-F238E27FC236}">
              <a16:creationId xmlns:a16="http://schemas.microsoft.com/office/drawing/2014/main" id="{00000000-0008-0000-5400-00000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63" name="Chart 263" title="Chart">
          <a:extLst>
            <a:ext uri="{FF2B5EF4-FFF2-40B4-BE49-F238E27FC236}">
              <a16:creationId xmlns:a16="http://schemas.microsoft.com/office/drawing/2014/main" id="{00000000-0008-0000-5500-00000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64" name="Chart 264" title="Chart">
          <a:extLst>
            <a:ext uri="{FF2B5EF4-FFF2-40B4-BE49-F238E27FC236}">
              <a16:creationId xmlns:a16="http://schemas.microsoft.com/office/drawing/2014/main" id="{00000000-0008-0000-5500-00000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65" name="Chart 265" title="Chart">
          <a:extLst>
            <a:ext uri="{FF2B5EF4-FFF2-40B4-BE49-F238E27FC236}">
              <a16:creationId xmlns:a16="http://schemas.microsoft.com/office/drawing/2014/main" id="{00000000-0008-0000-5600-00000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66" name="Chart 266" title="Chart">
          <a:extLst>
            <a:ext uri="{FF2B5EF4-FFF2-40B4-BE49-F238E27FC236}">
              <a16:creationId xmlns:a16="http://schemas.microsoft.com/office/drawing/2014/main" id="{00000000-0008-0000-5600-00000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67" name="Chart 267" title="Chart">
          <a:extLst>
            <a:ext uri="{FF2B5EF4-FFF2-40B4-BE49-F238E27FC236}">
              <a16:creationId xmlns:a16="http://schemas.microsoft.com/office/drawing/2014/main" id="{00000000-0008-0000-5700-00000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68" name="Chart 268" title="Chart">
          <a:extLst>
            <a:ext uri="{FF2B5EF4-FFF2-40B4-BE49-F238E27FC236}">
              <a16:creationId xmlns:a16="http://schemas.microsoft.com/office/drawing/2014/main" id="{00000000-0008-0000-5700-00000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69" name="Chart 269" title="Chart">
          <a:extLst>
            <a:ext uri="{FF2B5EF4-FFF2-40B4-BE49-F238E27FC236}">
              <a16:creationId xmlns:a16="http://schemas.microsoft.com/office/drawing/2014/main" id="{00000000-0008-0000-5800-00000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70" name="Chart 270" title="Chart">
          <a:extLst>
            <a:ext uri="{FF2B5EF4-FFF2-40B4-BE49-F238E27FC236}">
              <a16:creationId xmlns:a16="http://schemas.microsoft.com/office/drawing/2014/main" id="{00000000-0008-0000-5800-00000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71" name="Chart 271" title="Chart">
          <a:extLst>
            <a:ext uri="{FF2B5EF4-FFF2-40B4-BE49-F238E27FC236}">
              <a16:creationId xmlns:a16="http://schemas.microsoft.com/office/drawing/2014/main" id="{00000000-0008-0000-5900-00000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72" name="Chart 272" title="Chart">
          <a:extLst>
            <a:ext uri="{FF2B5EF4-FFF2-40B4-BE49-F238E27FC236}">
              <a16:creationId xmlns:a16="http://schemas.microsoft.com/office/drawing/2014/main" id="{00000000-0008-0000-5900-00001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95250</xdr:colOff>
      <xdr:row>10</xdr:row>
      <xdr:rowOff>152400</xdr:rowOff>
    </xdr:from>
    <xdr:ext cx="5343525" cy="3143250"/>
    <xdr:graphicFrame macro="">
      <xdr:nvGraphicFramePr>
        <xdr:cNvPr id="273" name="Chart 273" title="Chart">
          <a:extLst>
            <a:ext uri="{FF2B5EF4-FFF2-40B4-BE49-F238E27FC236}">
              <a16:creationId xmlns:a16="http://schemas.microsoft.com/office/drawing/2014/main" id="{00000000-0008-0000-5A00-00001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95250</xdr:colOff>
      <xdr:row>0</xdr:row>
      <xdr:rowOff>19050</xdr:rowOff>
    </xdr:from>
    <xdr:ext cx="5343525" cy="3067050"/>
    <xdr:graphicFrame macro="">
      <xdr:nvGraphicFramePr>
        <xdr:cNvPr id="274" name="Chart 274" title="Chart">
          <a:extLst>
            <a:ext uri="{FF2B5EF4-FFF2-40B4-BE49-F238E27FC236}">
              <a16:creationId xmlns:a16="http://schemas.microsoft.com/office/drawing/2014/main" id="{00000000-0008-0000-5A00-00001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75" name="Chart 275" title="Chart">
          <a:extLst>
            <a:ext uri="{FF2B5EF4-FFF2-40B4-BE49-F238E27FC236}">
              <a16:creationId xmlns:a16="http://schemas.microsoft.com/office/drawing/2014/main" id="{00000000-0008-0000-5B00-00001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76" name="Chart 276" title="Chart">
          <a:extLst>
            <a:ext uri="{FF2B5EF4-FFF2-40B4-BE49-F238E27FC236}">
              <a16:creationId xmlns:a16="http://schemas.microsoft.com/office/drawing/2014/main" id="{00000000-0008-0000-5B00-00001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77" name="Chart 277" title="Chart">
          <a:extLst>
            <a:ext uri="{FF2B5EF4-FFF2-40B4-BE49-F238E27FC236}">
              <a16:creationId xmlns:a16="http://schemas.microsoft.com/office/drawing/2014/main" id="{00000000-0008-0000-5C00-00001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78" name="Chart 278" title="Chart">
          <a:extLst>
            <a:ext uri="{FF2B5EF4-FFF2-40B4-BE49-F238E27FC236}">
              <a16:creationId xmlns:a16="http://schemas.microsoft.com/office/drawing/2014/main" id="{00000000-0008-0000-5C00-00001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79" name="Chart 279" title="Chart">
          <a:extLst>
            <a:ext uri="{FF2B5EF4-FFF2-40B4-BE49-F238E27FC236}">
              <a16:creationId xmlns:a16="http://schemas.microsoft.com/office/drawing/2014/main" id="{00000000-0008-0000-5D00-00001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80" name="Chart 280" title="Chart">
          <a:extLst>
            <a:ext uri="{FF2B5EF4-FFF2-40B4-BE49-F238E27FC236}">
              <a16:creationId xmlns:a16="http://schemas.microsoft.com/office/drawing/2014/main" id="{00000000-0008-0000-5D00-00001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81" name="Chart 281" title="Chart">
          <a:extLst>
            <a:ext uri="{FF2B5EF4-FFF2-40B4-BE49-F238E27FC236}">
              <a16:creationId xmlns:a16="http://schemas.microsoft.com/office/drawing/2014/main" id="{00000000-0008-0000-5E00-00001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82" name="Chart 282" title="Chart">
          <a:extLst>
            <a:ext uri="{FF2B5EF4-FFF2-40B4-BE49-F238E27FC236}">
              <a16:creationId xmlns:a16="http://schemas.microsoft.com/office/drawing/2014/main" id="{00000000-0008-0000-5E00-00001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83" name="Chart 283" title="Chart">
          <a:extLst>
            <a:ext uri="{FF2B5EF4-FFF2-40B4-BE49-F238E27FC236}">
              <a16:creationId xmlns:a16="http://schemas.microsoft.com/office/drawing/2014/main" id="{00000000-0008-0000-5F00-00001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84" name="Chart 284" title="Chart">
          <a:extLst>
            <a:ext uri="{FF2B5EF4-FFF2-40B4-BE49-F238E27FC236}">
              <a16:creationId xmlns:a16="http://schemas.microsoft.com/office/drawing/2014/main" id="{00000000-0008-0000-5F00-00001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85" name="Chart 285" title="Chart">
          <a:extLst>
            <a:ext uri="{FF2B5EF4-FFF2-40B4-BE49-F238E27FC236}">
              <a16:creationId xmlns:a16="http://schemas.microsoft.com/office/drawing/2014/main" id="{00000000-0008-0000-6000-00001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86" name="Chart 286" title="Chart">
          <a:extLst>
            <a:ext uri="{FF2B5EF4-FFF2-40B4-BE49-F238E27FC236}">
              <a16:creationId xmlns:a16="http://schemas.microsoft.com/office/drawing/2014/main" id="{00000000-0008-0000-6000-00001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87" name="Chart 287" title="Chart">
          <a:extLst>
            <a:ext uri="{FF2B5EF4-FFF2-40B4-BE49-F238E27FC236}">
              <a16:creationId xmlns:a16="http://schemas.microsoft.com/office/drawing/2014/main" id="{00000000-0008-0000-6100-00001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88" name="Chart 288" title="Chart">
          <a:extLst>
            <a:ext uri="{FF2B5EF4-FFF2-40B4-BE49-F238E27FC236}">
              <a16:creationId xmlns:a16="http://schemas.microsoft.com/office/drawing/2014/main" id="{00000000-0008-0000-6100-00002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89" name="Chart 289" title="Chart">
          <a:extLst>
            <a:ext uri="{FF2B5EF4-FFF2-40B4-BE49-F238E27FC236}">
              <a16:creationId xmlns:a16="http://schemas.microsoft.com/office/drawing/2014/main" id="{00000000-0008-0000-6200-00002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90" name="Chart 290" title="Chart">
          <a:extLst>
            <a:ext uri="{FF2B5EF4-FFF2-40B4-BE49-F238E27FC236}">
              <a16:creationId xmlns:a16="http://schemas.microsoft.com/office/drawing/2014/main" id="{00000000-0008-0000-6200-00002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91" name="Chart 291" title="Chart">
          <a:extLst>
            <a:ext uri="{FF2B5EF4-FFF2-40B4-BE49-F238E27FC236}">
              <a16:creationId xmlns:a16="http://schemas.microsoft.com/office/drawing/2014/main" id="{00000000-0008-0000-6300-00002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92" name="Chart 292" title="Chart">
          <a:extLst>
            <a:ext uri="{FF2B5EF4-FFF2-40B4-BE49-F238E27FC236}">
              <a16:creationId xmlns:a16="http://schemas.microsoft.com/office/drawing/2014/main" id="{00000000-0008-0000-6300-00002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93" name="Chart 293" title="Chart">
          <a:extLst>
            <a:ext uri="{FF2B5EF4-FFF2-40B4-BE49-F238E27FC236}">
              <a16:creationId xmlns:a16="http://schemas.microsoft.com/office/drawing/2014/main" id="{00000000-0008-0000-6400-00002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94" name="Chart 294" title="Chart">
          <a:extLst>
            <a:ext uri="{FF2B5EF4-FFF2-40B4-BE49-F238E27FC236}">
              <a16:creationId xmlns:a16="http://schemas.microsoft.com/office/drawing/2014/main" id="{00000000-0008-0000-6400-00002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95" name="Chart 295" title="Chart">
          <a:extLst>
            <a:ext uri="{FF2B5EF4-FFF2-40B4-BE49-F238E27FC236}">
              <a16:creationId xmlns:a16="http://schemas.microsoft.com/office/drawing/2014/main" id="{00000000-0008-0000-6500-00002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96" name="Chart 296" title="Chart">
          <a:extLst>
            <a:ext uri="{FF2B5EF4-FFF2-40B4-BE49-F238E27FC236}">
              <a16:creationId xmlns:a16="http://schemas.microsoft.com/office/drawing/2014/main" id="{00000000-0008-0000-6500-00002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97" name="Chart 297" title="Chart">
          <a:extLst>
            <a:ext uri="{FF2B5EF4-FFF2-40B4-BE49-F238E27FC236}">
              <a16:creationId xmlns:a16="http://schemas.microsoft.com/office/drawing/2014/main" id="{00000000-0008-0000-6600-00002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298" name="Chart 298" title="Chart">
          <a:extLst>
            <a:ext uri="{FF2B5EF4-FFF2-40B4-BE49-F238E27FC236}">
              <a16:creationId xmlns:a16="http://schemas.microsoft.com/office/drawing/2014/main" id="{00000000-0008-0000-6600-00002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299" name="Chart 299" title="Chart">
          <a:extLst>
            <a:ext uri="{FF2B5EF4-FFF2-40B4-BE49-F238E27FC236}">
              <a16:creationId xmlns:a16="http://schemas.microsoft.com/office/drawing/2014/main" id="{00000000-0008-0000-6700-00002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00" name="Chart 300" title="Chart">
          <a:extLst>
            <a:ext uri="{FF2B5EF4-FFF2-40B4-BE49-F238E27FC236}">
              <a16:creationId xmlns:a16="http://schemas.microsoft.com/office/drawing/2014/main" id="{00000000-0008-0000-6700-00002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01" name="Chart 301" title="Chart">
          <a:extLst>
            <a:ext uri="{FF2B5EF4-FFF2-40B4-BE49-F238E27FC236}">
              <a16:creationId xmlns:a16="http://schemas.microsoft.com/office/drawing/2014/main" id="{00000000-0008-0000-6800-00002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02" name="Chart 302" title="Chart">
          <a:extLst>
            <a:ext uri="{FF2B5EF4-FFF2-40B4-BE49-F238E27FC236}">
              <a16:creationId xmlns:a16="http://schemas.microsoft.com/office/drawing/2014/main" id="{00000000-0008-0000-6800-00002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03" name="Chart 303" title="Chart">
          <a:extLst>
            <a:ext uri="{FF2B5EF4-FFF2-40B4-BE49-F238E27FC236}">
              <a16:creationId xmlns:a16="http://schemas.microsoft.com/office/drawing/2014/main" id="{00000000-0008-0000-6900-00002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04" name="Chart 304" title="Chart">
          <a:extLst>
            <a:ext uri="{FF2B5EF4-FFF2-40B4-BE49-F238E27FC236}">
              <a16:creationId xmlns:a16="http://schemas.microsoft.com/office/drawing/2014/main" id="{00000000-0008-0000-6900-00003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05" name="Chart 305" title="Chart">
          <a:extLst>
            <a:ext uri="{FF2B5EF4-FFF2-40B4-BE49-F238E27FC236}">
              <a16:creationId xmlns:a16="http://schemas.microsoft.com/office/drawing/2014/main" id="{00000000-0008-0000-6A00-00003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06" name="Chart 306" title="Chart">
          <a:extLst>
            <a:ext uri="{FF2B5EF4-FFF2-40B4-BE49-F238E27FC236}">
              <a16:creationId xmlns:a16="http://schemas.microsoft.com/office/drawing/2014/main" id="{00000000-0008-0000-6A00-00003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07" name="Chart 307" title="Chart">
          <a:extLst>
            <a:ext uri="{FF2B5EF4-FFF2-40B4-BE49-F238E27FC236}">
              <a16:creationId xmlns:a16="http://schemas.microsoft.com/office/drawing/2014/main" id="{00000000-0008-0000-6B00-00003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08" name="Chart 308" title="Chart">
          <a:extLst>
            <a:ext uri="{FF2B5EF4-FFF2-40B4-BE49-F238E27FC236}">
              <a16:creationId xmlns:a16="http://schemas.microsoft.com/office/drawing/2014/main" id="{00000000-0008-0000-6B00-00003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09" name="Chart 309" title="Chart">
          <a:extLst>
            <a:ext uri="{FF2B5EF4-FFF2-40B4-BE49-F238E27FC236}">
              <a16:creationId xmlns:a16="http://schemas.microsoft.com/office/drawing/2014/main" id="{00000000-0008-0000-6C00-00003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10" name="Chart 310" title="Chart">
          <a:extLst>
            <a:ext uri="{FF2B5EF4-FFF2-40B4-BE49-F238E27FC236}">
              <a16:creationId xmlns:a16="http://schemas.microsoft.com/office/drawing/2014/main" id="{00000000-0008-0000-6C00-00003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11" name="Chart 311" title="Chart">
          <a:extLst>
            <a:ext uri="{FF2B5EF4-FFF2-40B4-BE49-F238E27FC236}">
              <a16:creationId xmlns:a16="http://schemas.microsoft.com/office/drawing/2014/main" id="{00000000-0008-0000-6D00-00003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12" name="Chart 312" title="Chart">
          <a:extLst>
            <a:ext uri="{FF2B5EF4-FFF2-40B4-BE49-F238E27FC236}">
              <a16:creationId xmlns:a16="http://schemas.microsoft.com/office/drawing/2014/main" id="{00000000-0008-0000-6D00-00003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13" name="Chart 313" title="Chart">
          <a:extLst>
            <a:ext uri="{FF2B5EF4-FFF2-40B4-BE49-F238E27FC236}">
              <a16:creationId xmlns:a16="http://schemas.microsoft.com/office/drawing/2014/main" id="{00000000-0008-0000-6E00-00003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14" name="Chart 314" title="Chart">
          <a:extLst>
            <a:ext uri="{FF2B5EF4-FFF2-40B4-BE49-F238E27FC236}">
              <a16:creationId xmlns:a16="http://schemas.microsoft.com/office/drawing/2014/main" id="{00000000-0008-0000-6E00-00003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15" name="Chart 315" title="Chart">
          <a:extLst>
            <a:ext uri="{FF2B5EF4-FFF2-40B4-BE49-F238E27FC236}">
              <a16:creationId xmlns:a16="http://schemas.microsoft.com/office/drawing/2014/main" id="{00000000-0008-0000-6F00-00003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16" name="Chart 316" title="Chart">
          <a:extLst>
            <a:ext uri="{FF2B5EF4-FFF2-40B4-BE49-F238E27FC236}">
              <a16:creationId xmlns:a16="http://schemas.microsoft.com/office/drawing/2014/main" id="{00000000-0008-0000-6F00-00003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17" name="Chart 317" title="Chart">
          <a:extLst>
            <a:ext uri="{FF2B5EF4-FFF2-40B4-BE49-F238E27FC236}">
              <a16:creationId xmlns:a16="http://schemas.microsoft.com/office/drawing/2014/main" id="{00000000-0008-0000-7000-00003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18" name="Chart 318" title="Chart">
          <a:extLst>
            <a:ext uri="{FF2B5EF4-FFF2-40B4-BE49-F238E27FC236}">
              <a16:creationId xmlns:a16="http://schemas.microsoft.com/office/drawing/2014/main" id="{00000000-0008-0000-7000-00003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19" name="Chart 319" title="Chart">
          <a:extLst>
            <a:ext uri="{FF2B5EF4-FFF2-40B4-BE49-F238E27FC236}">
              <a16:creationId xmlns:a16="http://schemas.microsoft.com/office/drawing/2014/main" id="{00000000-0008-0000-7100-00003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20" name="Chart 320" title="Chart">
          <a:extLst>
            <a:ext uri="{FF2B5EF4-FFF2-40B4-BE49-F238E27FC236}">
              <a16:creationId xmlns:a16="http://schemas.microsoft.com/office/drawing/2014/main" id="{00000000-0008-0000-7100-00004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21" name="Chart 321" title="Chart">
          <a:extLst>
            <a:ext uri="{FF2B5EF4-FFF2-40B4-BE49-F238E27FC236}">
              <a16:creationId xmlns:a16="http://schemas.microsoft.com/office/drawing/2014/main" id="{00000000-0008-0000-7200-00004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22" name="Chart 322" title="Chart">
          <a:extLst>
            <a:ext uri="{FF2B5EF4-FFF2-40B4-BE49-F238E27FC236}">
              <a16:creationId xmlns:a16="http://schemas.microsoft.com/office/drawing/2014/main" id="{00000000-0008-0000-7200-00004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23" name="Chart 323" title="Chart">
          <a:extLst>
            <a:ext uri="{FF2B5EF4-FFF2-40B4-BE49-F238E27FC236}">
              <a16:creationId xmlns:a16="http://schemas.microsoft.com/office/drawing/2014/main" id="{00000000-0008-0000-7300-00004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24" name="Chart 324" title="Chart">
          <a:extLst>
            <a:ext uri="{FF2B5EF4-FFF2-40B4-BE49-F238E27FC236}">
              <a16:creationId xmlns:a16="http://schemas.microsoft.com/office/drawing/2014/main" id="{00000000-0008-0000-7300-00004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25" name="Chart 325" title="Chart">
          <a:extLst>
            <a:ext uri="{FF2B5EF4-FFF2-40B4-BE49-F238E27FC236}">
              <a16:creationId xmlns:a16="http://schemas.microsoft.com/office/drawing/2014/main" id="{00000000-0008-0000-7400-00004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26" name="Chart 326" title="Chart">
          <a:extLst>
            <a:ext uri="{FF2B5EF4-FFF2-40B4-BE49-F238E27FC236}">
              <a16:creationId xmlns:a16="http://schemas.microsoft.com/office/drawing/2014/main" id="{00000000-0008-0000-7400-00004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27" name="Chart 327" title="Chart">
          <a:extLst>
            <a:ext uri="{FF2B5EF4-FFF2-40B4-BE49-F238E27FC236}">
              <a16:creationId xmlns:a16="http://schemas.microsoft.com/office/drawing/2014/main" id="{00000000-0008-0000-7500-00004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28" name="Chart 328" title="Chart">
          <a:extLst>
            <a:ext uri="{FF2B5EF4-FFF2-40B4-BE49-F238E27FC236}">
              <a16:creationId xmlns:a16="http://schemas.microsoft.com/office/drawing/2014/main" id="{00000000-0008-0000-7500-00004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29" name="Chart 329" title="Chart">
          <a:extLst>
            <a:ext uri="{FF2B5EF4-FFF2-40B4-BE49-F238E27FC236}">
              <a16:creationId xmlns:a16="http://schemas.microsoft.com/office/drawing/2014/main" id="{00000000-0008-0000-7600-00004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30" name="Chart 330" title="Chart">
          <a:extLst>
            <a:ext uri="{FF2B5EF4-FFF2-40B4-BE49-F238E27FC236}">
              <a16:creationId xmlns:a16="http://schemas.microsoft.com/office/drawing/2014/main" id="{00000000-0008-0000-7600-00004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31" name="Chart 331" title="Chart">
          <a:extLst>
            <a:ext uri="{FF2B5EF4-FFF2-40B4-BE49-F238E27FC236}">
              <a16:creationId xmlns:a16="http://schemas.microsoft.com/office/drawing/2014/main" id="{00000000-0008-0000-7700-00004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32" name="Chart 332" title="Chart">
          <a:extLst>
            <a:ext uri="{FF2B5EF4-FFF2-40B4-BE49-F238E27FC236}">
              <a16:creationId xmlns:a16="http://schemas.microsoft.com/office/drawing/2014/main" id="{00000000-0008-0000-7700-00004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33" name="Chart 333" title="Chart">
          <a:extLst>
            <a:ext uri="{FF2B5EF4-FFF2-40B4-BE49-F238E27FC236}">
              <a16:creationId xmlns:a16="http://schemas.microsoft.com/office/drawing/2014/main" id="{00000000-0008-0000-7800-00004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34" name="Chart 334" title="Chart">
          <a:extLst>
            <a:ext uri="{FF2B5EF4-FFF2-40B4-BE49-F238E27FC236}">
              <a16:creationId xmlns:a16="http://schemas.microsoft.com/office/drawing/2014/main" id="{00000000-0008-0000-7800-00004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35" name="Chart 335" title="Chart">
          <a:extLst>
            <a:ext uri="{FF2B5EF4-FFF2-40B4-BE49-F238E27FC236}">
              <a16:creationId xmlns:a16="http://schemas.microsoft.com/office/drawing/2014/main" id="{00000000-0008-0000-7900-00004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36" name="Chart 336" title="Chart">
          <a:extLst>
            <a:ext uri="{FF2B5EF4-FFF2-40B4-BE49-F238E27FC236}">
              <a16:creationId xmlns:a16="http://schemas.microsoft.com/office/drawing/2014/main" id="{00000000-0008-0000-7900-00005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37" name="Chart 337" title="Chart">
          <a:extLst>
            <a:ext uri="{FF2B5EF4-FFF2-40B4-BE49-F238E27FC236}">
              <a16:creationId xmlns:a16="http://schemas.microsoft.com/office/drawing/2014/main" id="{00000000-0008-0000-7A00-00005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38" name="Chart 338" title="Chart">
          <a:extLst>
            <a:ext uri="{FF2B5EF4-FFF2-40B4-BE49-F238E27FC236}">
              <a16:creationId xmlns:a16="http://schemas.microsoft.com/office/drawing/2014/main" id="{00000000-0008-0000-7A00-00005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39" name="Chart 339" title="Chart">
          <a:extLst>
            <a:ext uri="{FF2B5EF4-FFF2-40B4-BE49-F238E27FC236}">
              <a16:creationId xmlns:a16="http://schemas.microsoft.com/office/drawing/2014/main" id="{00000000-0008-0000-7B00-00005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40" name="Chart 340" title="Chart">
          <a:extLst>
            <a:ext uri="{FF2B5EF4-FFF2-40B4-BE49-F238E27FC236}">
              <a16:creationId xmlns:a16="http://schemas.microsoft.com/office/drawing/2014/main" id="{00000000-0008-0000-7B00-00005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41" name="Chart 341" title="Chart">
          <a:extLst>
            <a:ext uri="{FF2B5EF4-FFF2-40B4-BE49-F238E27FC236}">
              <a16:creationId xmlns:a16="http://schemas.microsoft.com/office/drawing/2014/main" id="{00000000-0008-0000-7C00-00005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42" name="Chart 342" title="Chart">
          <a:extLst>
            <a:ext uri="{FF2B5EF4-FFF2-40B4-BE49-F238E27FC236}">
              <a16:creationId xmlns:a16="http://schemas.microsoft.com/office/drawing/2014/main" id="{00000000-0008-0000-7C00-00005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43" name="Chart 343" title="Chart">
          <a:extLst>
            <a:ext uri="{FF2B5EF4-FFF2-40B4-BE49-F238E27FC236}">
              <a16:creationId xmlns:a16="http://schemas.microsoft.com/office/drawing/2014/main" id="{00000000-0008-0000-7D00-00005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44" name="Chart 344" title="Chart">
          <a:extLst>
            <a:ext uri="{FF2B5EF4-FFF2-40B4-BE49-F238E27FC236}">
              <a16:creationId xmlns:a16="http://schemas.microsoft.com/office/drawing/2014/main" id="{00000000-0008-0000-7D00-00005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45" name="Chart 345" title="Chart">
          <a:extLst>
            <a:ext uri="{FF2B5EF4-FFF2-40B4-BE49-F238E27FC236}">
              <a16:creationId xmlns:a16="http://schemas.microsoft.com/office/drawing/2014/main" id="{00000000-0008-0000-7E00-00005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46" name="Chart 346" title="Chart">
          <a:extLst>
            <a:ext uri="{FF2B5EF4-FFF2-40B4-BE49-F238E27FC236}">
              <a16:creationId xmlns:a16="http://schemas.microsoft.com/office/drawing/2014/main" id="{00000000-0008-0000-7E00-00005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47" name="Chart 347" title="Chart">
          <a:extLst>
            <a:ext uri="{FF2B5EF4-FFF2-40B4-BE49-F238E27FC236}">
              <a16:creationId xmlns:a16="http://schemas.microsoft.com/office/drawing/2014/main" id="{00000000-0008-0000-7F00-00005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48" name="Chart 348" title="Chart">
          <a:extLst>
            <a:ext uri="{FF2B5EF4-FFF2-40B4-BE49-F238E27FC236}">
              <a16:creationId xmlns:a16="http://schemas.microsoft.com/office/drawing/2014/main" id="{00000000-0008-0000-7F00-00005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49" name="Chart 349" title="Chart">
          <a:extLst>
            <a:ext uri="{FF2B5EF4-FFF2-40B4-BE49-F238E27FC236}">
              <a16:creationId xmlns:a16="http://schemas.microsoft.com/office/drawing/2014/main" id="{00000000-0008-0000-8000-00005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50" name="Chart 350" title="Chart">
          <a:extLst>
            <a:ext uri="{FF2B5EF4-FFF2-40B4-BE49-F238E27FC236}">
              <a16:creationId xmlns:a16="http://schemas.microsoft.com/office/drawing/2014/main" id="{00000000-0008-0000-8000-00005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51" name="Chart 351" title="Chart">
          <a:extLst>
            <a:ext uri="{FF2B5EF4-FFF2-40B4-BE49-F238E27FC236}">
              <a16:creationId xmlns:a16="http://schemas.microsoft.com/office/drawing/2014/main" id="{00000000-0008-0000-8100-00005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52" name="Chart 352" title="Chart">
          <a:extLst>
            <a:ext uri="{FF2B5EF4-FFF2-40B4-BE49-F238E27FC236}">
              <a16:creationId xmlns:a16="http://schemas.microsoft.com/office/drawing/2014/main" id="{00000000-0008-0000-8100-00006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53" name="Chart 353" title="Chart">
          <a:extLst>
            <a:ext uri="{FF2B5EF4-FFF2-40B4-BE49-F238E27FC236}">
              <a16:creationId xmlns:a16="http://schemas.microsoft.com/office/drawing/2014/main" id="{00000000-0008-0000-8200-00006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54" name="Chart 354" title="Chart">
          <a:extLst>
            <a:ext uri="{FF2B5EF4-FFF2-40B4-BE49-F238E27FC236}">
              <a16:creationId xmlns:a16="http://schemas.microsoft.com/office/drawing/2014/main" id="{00000000-0008-0000-8200-00006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55" name="Chart 355" title="Chart">
          <a:extLst>
            <a:ext uri="{FF2B5EF4-FFF2-40B4-BE49-F238E27FC236}">
              <a16:creationId xmlns:a16="http://schemas.microsoft.com/office/drawing/2014/main" id="{00000000-0008-0000-8300-00006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56" name="Chart 356" title="Chart">
          <a:extLst>
            <a:ext uri="{FF2B5EF4-FFF2-40B4-BE49-F238E27FC236}">
              <a16:creationId xmlns:a16="http://schemas.microsoft.com/office/drawing/2014/main" id="{00000000-0008-0000-8300-00006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57" name="Chart 357" title="Chart">
          <a:extLst>
            <a:ext uri="{FF2B5EF4-FFF2-40B4-BE49-F238E27FC236}">
              <a16:creationId xmlns:a16="http://schemas.microsoft.com/office/drawing/2014/main" id="{00000000-0008-0000-8400-00006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58" name="Chart 358" title="Chart">
          <a:extLst>
            <a:ext uri="{FF2B5EF4-FFF2-40B4-BE49-F238E27FC236}">
              <a16:creationId xmlns:a16="http://schemas.microsoft.com/office/drawing/2014/main" id="{00000000-0008-0000-8400-00006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59" name="Chart 359" title="Chart">
          <a:extLst>
            <a:ext uri="{FF2B5EF4-FFF2-40B4-BE49-F238E27FC236}">
              <a16:creationId xmlns:a16="http://schemas.microsoft.com/office/drawing/2014/main" id="{00000000-0008-0000-8500-00006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60" name="Chart 360" title="Chart">
          <a:extLst>
            <a:ext uri="{FF2B5EF4-FFF2-40B4-BE49-F238E27FC236}">
              <a16:creationId xmlns:a16="http://schemas.microsoft.com/office/drawing/2014/main" id="{00000000-0008-0000-8500-00006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61" name="Chart 361" title="Chart">
          <a:extLst>
            <a:ext uri="{FF2B5EF4-FFF2-40B4-BE49-F238E27FC236}">
              <a16:creationId xmlns:a16="http://schemas.microsoft.com/office/drawing/2014/main" id="{00000000-0008-0000-8600-00006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62" name="Chart 362" title="Chart">
          <a:extLst>
            <a:ext uri="{FF2B5EF4-FFF2-40B4-BE49-F238E27FC236}">
              <a16:creationId xmlns:a16="http://schemas.microsoft.com/office/drawing/2014/main" id="{00000000-0008-0000-8600-00006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63" name="Chart 363" title="Chart">
          <a:extLst>
            <a:ext uri="{FF2B5EF4-FFF2-40B4-BE49-F238E27FC236}">
              <a16:creationId xmlns:a16="http://schemas.microsoft.com/office/drawing/2014/main" id="{00000000-0008-0000-8700-00006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64" name="Chart 364" title="Chart">
          <a:extLst>
            <a:ext uri="{FF2B5EF4-FFF2-40B4-BE49-F238E27FC236}">
              <a16:creationId xmlns:a16="http://schemas.microsoft.com/office/drawing/2014/main" id="{00000000-0008-0000-8700-00006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65" name="Chart 365" title="Chart">
          <a:extLst>
            <a:ext uri="{FF2B5EF4-FFF2-40B4-BE49-F238E27FC236}">
              <a16:creationId xmlns:a16="http://schemas.microsoft.com/office/drawing/2014/main" id="{00000000-0008-0000-8800-00006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66" name="Chart 366" title="Chart">
          <a:extLst>
            <a:ext uri="{FF2B5EF4-FFF2-40B4-BE49-F238E27FC236}">
              <a16:creationId xmlns:a16="http://schemas.microsoft.com/office/drawing/2014/main" id="{00000000-0008-0000-8800-00006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67" name="Chart 367" title="Chart">
          <a:extLst>
            <a:ext uri="{FF2B5EF4-FFF2-40B4-BE49-F238E27FC236}">
              <a16:creationId xmlns:a16="http://schemas.microsoft.com/office/drawing/2014/main" id="{00000000-0008-0000-8900-00006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68" name="Chart 368" title="Chart">
          <a:extLst>
            <a:ext uri="{FF2B5EF4-FFF2-40B4-BE49-F238E27FC236}">
              <a16:creationId xmlns:a16="http://schemas.microsoft.com/office/drawing/2014/main" id="{00000000-0008-0000-8900-00007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69" name="Chart 369" title="Chart">
          <a:extLst>
            <a:ext uri="{FF2B5EF4-FFF2-40B4-BE49-F238E27FC236}">
              <a16:creationId xmlns:a16="http://schemas.microsoft.com/office/drawing/2014/main" id="{00000000-0008-0000-8A00-00007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70" name="Chart 370" title="Chart">
          <a:extLst>
            <a:ext uri="{FF2B5EF4-FFF2-40B4-BE49-F238E27FC236}">
              <a16:creationId xmlns:a16="http://schemas.microsoft.com/office/drawing/2014/main" id="{00000000-0008-0000-8A00-00007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71" name="Chart 371" title="Chart">
          <a:extLst>
            <a:ext uri="{FF2B5EF4-FFF2-40B4-BE49-F238E27FC236}">
              <a16:creationId xmlns:a16="http://schemas.microsoft.com/office/drawing/2014/main" id="{00000000-0008-0000-8B00-00007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72" name="Chart 372" title="Chart">
          <a:extLst>
            <a:ext uri="{FF2B5EF4-FFF2-40B4-BE49-F238E27FC236}">
              <a16:creationId xmlns:a16="http://schemas.microsoft.com/office/drawing/2014/main" id="{00000000-0008-0000-8B00-00007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73" name="Chart 373" title="Chart">
          <a:extLst>
            <a:ext uri="{FF2B5EF4-FFF2-40B4-BE49-F238E27FC236}">
              <a16:creationId xmlns:a16="http://schemas.microsoft.com/office/drawing/2014/main" id="{00000000-0008-0000-8C00-00007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74" name="Chart 374" title="Chart">
          <a:extLst>
            <a:ext uri="{FF2B5EF4-FFF2-40B4-BE49-F238E27FC236}">
              <a16:creationId xmlns:a16="http://schemas.microsoft.com/office/drawing/2014/main" id="{00000000-0008-0000-8C00-00007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75" name="Chart 375" title="Chart">
          <a:extLst>
            <a:ext uri="{FF2B5EF4-FFF2-40B4-BE49-F238E27FC236}">
              <a16:creationId xmlns:a16="http://schemas.microsoft.com/office/drawing/2014/main" id="{00000000-0008-0000-8D00-00007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76" name="Chart 376" title="Chart">
          <a:extLst>
            <a:ext uri="{FF2B5EF4-FFF2-40B4-BE49-F238E27FC236}">
              <a16:creationId xmlns:a16="http://schemas.microsoft.com/office/drawing/2014/main" id="{00000000-0008-0000-8D00-00007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77" name="Chart 377" title="Chart">
          <a:extLst>
            <a:ext uri="{FF2B5EF4-FFF2-40B4-BE49-F238E27FC236}">
              <a16:creationId xmlns:a16="http://schemas.microsoft.com/office/drawing/2014/main" id="{00000000-0008-0000-8E00-00007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78" name="Chart 378" title="Chart">
          <a:extLst>
            <a:ext uri="{FF2B5EF4-FFF2-40B4-BE49-F238E27FC236}">
              <a16:creationId xmlns:a16="http://schemas.microsoft.com/office/drawing/2014/main" id="{00000000-0008-0000-8E00-00007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79" name="Chart 379" title="Chart">
          <a:extLst>
            <a:ext uri="{FF2B5EF4-FFF2-40B4-BE49-F238E27FC236}">
              <a16:creationId xmlns:a16="http://schemas.microsoft.com/office/drawing/2014/main" id="{00000000-0008-0000-8F00-00007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80" name="Chart 380" title="Chart">
          <a:extLst>
            <a:ext uri="{FF2B5EF4-FFF2-40B4-BE49-F238E27FC236}">
              <a16:creationId xmlns:a16="http://schemas.microsoft.com/office/drawing/2014/main" id="{00000000-0008-0000-8F00-00007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81" name="Chart 381" title="Chart">
          <a:extLst>
            <a:ext uri="{FF2B5EF4-FFF2-40B4-BE49-F238E27FC236}">
              <a16:creationId xmlns:a16="http://schemas.microsoft.com/office/drawing/2014/main" id="{00000000-0008-0000-9000-00007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82" name="Chart 382" title="Chart">
          <a:extLst>
            <a:ext uri="{FF2B5EF4-FFF2-40B4-BE49-F238E27FC236}">
              <a16:creationId xmlns:a16="http://schemas.microsoft.com/office/drawing/2014/main" id="{00000000-0008-0000-9000-00007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83" name="Chart 383" title="Chart">
          <a:extLst>
            <a:ext uri="{FF2B5EF4-FFF2-40B4-BE49-F238E27FC236}">
              <a16:creationId xmlns:a16="http://schemas.microsoft.com/office/drawing/2014/main" id="{00000000-0008-0000-9100-00007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84" name="Chart 384" title="Chart">
          <a:extLst>
            <a:ext uri="{FF2B5EF4-FFF2-40B4-BE49-F238E27FC236}">
              <a16:creationId xmlns:a16="http://schemas.microsoft.com/office/drawing/2014/main" id="{00000000-0008-0000-9100-00008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85" name="Chart 385" title="Chart">
          <a:extLst>
            <a:ext uri="{FF2B5EF4-FFF2-40B4-BE49-F238E27FC236}">
              <a16:creationId xmlns:a16="http://schemas.microsoft.com/office/drawing/2014/main" id="{00000000-0008-0000-9200-00008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86" name="Chart 386" title="Chart">
          <a:extLst>
            <a:ext uri="{FF2B5EF4-FFF2-40B4-BE49-F238E27FC236}">
              <a16:creationId xmlns:a16="http://schemas.microsoft.com/office/drawing/2014/main" id="{00000000-0008-0000-9200-00008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87" name="Chart 387" title="Chart">
          <a:extLst>
            <a:ext uri="{FF2B5EF4-FFF2-40B4-BE49-F238E27FC236}">
              <a16:creationId xmlns:a16="http://schemas.microsoft.com/office/drawing/2014/main" id="{00000000-0008-0000-9300-00008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88" name="Chart 388" title="Chart">
          <a:extLst>
            <a:ext uri="{FF2B5EF4-FFF2-40B4-BE49-F238E27FC236}">
              <a16:creationId xmlns:a16="http://schemas.microsoft.com/office/drawing/2014/main" id="{00000000-0008-0000-9300-00008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89" name="Chart 389" title="Chart">
          <a:extLst>
            <a:ext uri="{FF2B5EF4-FFF2-40B4-BE49-F238E27FC236}">
              <a16:creationId xmlns:a16="http://schemas.microsoft.com/office/drawing/2014/main" id="{00000000-0008-0000-9400-00008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90" name="Chart 390" title="Chart">
          <a:extLst>
            <a:ext uri="{FF2B5EF4-FFF2-40B4-BE49-F238E27FC236}">
              <a16:creationId xmlns:a16="http://schemas.microsoft.com/office/drawing/2014/main" id="{00000000-0008-0000-9400-00008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91" name="Chart 391" title="Chart">
          <a:extLst>
            <a:ext uri="{FF2B5EF4-FFF2-40B4-BE49-F238E27FC236}">
              <a16:creationId xmlns:a16="http://schemas.microsoft.com/office/drawing/2014/main" id="{00000000-0008-0000-9500-00008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92" name="Chart 392" title="Chart">
          <a:extLst>
            <a:ext uri="{FF2B5EF4-FFF2-40B4-BE49-F238E27FC236}">
              <a16:creationId xmlns:a16="http://schemas.microsoft.com/office/drawing/2014/main" id="{00000000-0008-0000-9500-00008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93" name="Chart 393" title="Chart">
          <a:extLst>
            <a:ext uri="{FF2B5EF4-FFF2-40B4-BE49-F238E27FC236}">
              <a16:creationId xmlns:a16="http://schemas.microsoft.com/office/drawing/2014/main" id="{00000000-0008-0000-9600-00008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94" name="Chart 394" title="Chart">
          <a:extLst>
            <a:ext uri="{FF2B5EF4-FFF2-40B4-BE49-F238E27FC236}">
              <a16:creationId xmlns:a16="http://schemas.microsoft.com/office/drawing/2014/main" id="{00000000-0008-0000-9600-00008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95" name="Chart 395" title="Chart">
          <a:extLst>
            <a:ext uri="{FF2B5EF4-FFF2-40B4-BE49-F238E27FC236}">
              <a16:creationId xmlns:a16="http://schemas.microsoft.com/office/drawing/2014/main" id="{00000000-0008-0000-9700-00008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96" name="Chart 396" title="Chart">
          <a:extLst>
            <a:ext uri="{FF2B5EF4-FFF2-40B4-BE49-F238E27FC236}">
              <a16:creationId xmlns:a16="http://schemas.microsoft.com/office/drawing/2014/main" id="{00000000-0008-0000-9700-00008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97" name="Chart 397" title="Chart">
          <a:extLst>
            <a:ext uri="{FF2B5EF4-FFF2-40B4-BE49-F238E27FC236}">
              <a16:creationId xmlns:a16="http://schemas.microsoft.com/office/drawing/2014/main" id="{00000000-0008-0000-9800-00008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398" name="Chart 398" title="Chart">
          <a:extLst>
            <a:ext uri="{FF2B5EF4-FFF2-40B4-BE49-F238E27FC236}">
              <a16:creationId xmlns:a16="http://schemas.microsoft.com/office/drawing/2014/main" id="{00000000-0008-0000-9800-00008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399" name="Chart 399" title="Chart">
          <a:extLst>
            <a:ext uri="{FF2B5EF4-FFF2-40B4-BE49-F238E27FC236}">
              <a16:creationId xmlns:a16="http://schemas.microsoft.com/office/drawing/2014/main" id="{00000000-0008-0000-9900-00008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00" name="Chart 400" title="Chart">
          <a:extLst>
            <a:ext uri="{FF2B5EF4-FFF2-40B4-BE49-F238E27FC236}">
              <a16:creationId xmlns:a16="http://schemas.microsoft.com/office/drawing/2014/main" id="{00000000-0008-0000-9900-00009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01" name="Chart 401" title="Chart">
          <a:extLst>
            <a:ext uri="{FF2B5EF4-FFF2-40B4-BE49-F238E27FC236}">
              <a16:creationId xmlns:a16="http://schemas.microsoft.com/office/drawing/2014/main" id="{00000000-0008-0000-9A00-00009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02" name="Chart 402" title="Chart">
          <a:extLst>
            <a:ext uri="{FF2B5EF4-FFF2-40B4-BE49-F238E27FC236}">
              <a16:creationId xmlns:a16="http://schemas.microsoft.com/office/drawing/2014/main" id="{00000000-0008-0000-9A00-00009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03" name="Chart 403" title="Chart">
          <a:extLst>
            <a:ext uri="{FF2B5EF4-FFF2-40B4-BE49-F238E27FC236}">
              <a16:creationId xmlns:a16="http://schemas.microsoft.com/office/drawing/2014/main" id="{00000000-0008-0000-9B00-00009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04" name="Chart 404" title="Chart">
          <a:extLst>
            <a:ext uri="{FF2B5EF4-FFF2-40B4-BE49-F238E27FC236}">
              <a16:creationId xmlns:a16="http://schemas.microsoft.com/office/drawing/2014/main" id="{00000000-0008-0000-9B00-00009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05" name="Chart 405" title="Chart">
          <a:extLst>
            <a:ext uri="{FF2B5EF4-FFF2-40B4-BE49-F238E27FC236}">
              <a16:creationId xmlns:a16="http://schemas.microsoft.com/office/drawing/2014/main" id="{00000000-0008-0000-9C00-00009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06" name="Chart 406" title="Chart">
          <a:extLst>
            <a:ext uri="{FF2B5EF4-FFF2-40B4-BE49-F238E27FC236}">
              <a16:creationId xmlns:a16="http://schemas.microsoft.com/office/drawing/2014/main" id="{00000000-0008-0000-9C00-00009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07" name="Chart 407" title="Chart">
          <a:extLst>
            <a:ext uri="{FF2B5EF4-FFF2-40B4-BE49-F238E27FC236}">
              <a16:creationId xmlns:a16="http://schemas.microsoft.com/office/drawing/2014/main" id="{00000000-0008-0000-9D00-00009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08" name="Chart 408" title="Chart">
          <a:extLst>
            <a:ext uri="{FF2B5EF4-FFF2-40B4-BE49-F238E27FC236}">
              <a16:creationId xmlns:a16="http://schemas.microsoft.com/office/drawing/2014/main" id="{00000000-0008-0000-9D00-00009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09" name="Chart 409" title="Chart">
          <a:extLst>
            <a:ext uri="{FF2B5EF4-FFF2-40B4-BE49-F238E27FC236}">
              <a16:creationId xmlns:a16="http://schemas.microsoft.com/office/drawing/2014/main" id="{00000000-0008-0000-9E00-00009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10" name="Chart 410" title="Chart">
          <a:extLst>
            <a:ext uri="{FF2B5EF4-FFF2-40B4-BE49-F238E27FC236}">
              <a16:creationId xmlns:a16="http://schemas.microsoft.com/office/drawing/2014/main" id="{00000000-0008-0000-9E00-00009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11" name="Chart 411" title="Chart">
          <a:extLst>
            <a:ext uri="{FF2B5EF4-FFF2-40B4-BE49-F238E27FC236}">
              <a16:creationId xmlns:a16="http://schemas.microsoft.com/office/drawing/2014/main" id="{00000000-0008-0000-9F00-00009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12" name="Chart 412" title="Chart">
          <a:extLst>
            <a:ext uri="{FF2B5EF4-FFF2-40B4-BE49-F238E27FC236}">
              <a16:creationId xmlns:a16="http://schemas.microsoft.com/office/drawing/2014/main" id="{00000000-0008-0000-9F00-00009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13" name="Chart 413" title="Chart">
          <a:extLst>
            <a:ext uri="{FF2B5EF4-FFF2-40B4-BE49-F238E27FC236}">
              <a16:creationId xmlns:a16="http://schemas.microsoft.com/office/drawing/2014/main" id="{00000000-0008-0000-A000-00009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14" name="Chart 414" title="Chart">
          <a:extLst>
            <a:ext uri="{FF2B5EF4-FFF2-40B4-BE49-F238E27FC236}">
              <a16:creationId xmlns:a16="http://schemas.microsoft.com/office/drawing/2014/main" id="{00000000-0008-0000-A000-00009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15" name="Chart 415" title="Chart">
          <a:extLst>
            <a:ext uri="{FF2B5EF4-FFF2-40B4-BE49-F238E27FC236}">
              <a16:creationId xmlns:a16="http://schemas.microsoft.com/office/drawing/2014/main" id="{00000000-0008-0000-A100-00009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16" name="Chart 416" title="Chart">
          <a:extLst>
            <a:ext uri="{FF2B5EF4-FFF2-40B4-BE49-F238E27FC236}">
              <a16:creationId xmlns:a16="http://schemas.microsoft.com/office/drawing/2014/main" id="{00000000-0008-0000-A100-0000A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17" name="Chart 417" title="Chart">
          <a:extLst>
            <a:ext uri="{FF2B5EF4-FFF2-40B4-BE49-F238E27FC236}">
              <a16:creationId xmlns:a16="http://schemas.microsoft.com/office/drawing/2014/main" id="{00000000-0008-0000-A200-0000A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18" name="Chart 418" title="Chart">
          <a:extLst>
            <a:ext uri="{FF2B5EF4-FFF2-40B4-BE49-F238E27FC236}">
              <a16:creationId xmlns:a16="http://schemas.microsoft.com/office/drawing/2014/main" id="{00000000-0008-0000-A200-0000A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19" name="Chart 419" title="Chart">
          <a:extLst>
            <a:ext uri="{FF2B5EF4-FFF2-40B4-BE49-F238E27FC236}">
              <a16:creationId xmlns:a16="http://schemas.microsoft.com/office/drawing/2014/main" id="{00000000-0008-0000-A300-0000A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20" name="Chart 420" title="Chart">
          <a:extLst>
            <a:ext uri="{FF2B5EF4-FFF2-40B4-BE49-F238E27FC236}">
              <a16:creationId xmlns:a16="http://schemas.microsoft.com/office/drawing/2014/main" id="{00000000-0008-0000-A300-0000A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21" name="Chart 421" title="Chart">
          <a:extLst>
            <a:ext uri="{FF2B5EF4-FFF2-40B4-BE49-F238E27FC236}">
              <a16:creationId xmlns:a16="http://schemas.microsoft.com/office/drawing/2014/main" id="{00000000-0008-0000-A400-0000A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22" name="Chart 422" title="Chart">
          <a:extLst>
            <a:ext uri="{FF2B5EF4-FFF2-40B4-BE49-F238E27FC236}">
              <a16:creationId xmlns:a16="http://schemas.microsoft.com/office/drawing/2014/main" id="{00000000-0008-0000-A400-0000A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23" name="Chart 423" title="Chart">
          <a:extLst>
            <a:ext uri="{FF2B5EF4-FFF2-40B4-BE49-F238E27FC236}">
              <a16:creationId xmlns:a16="http://schemas.microsoft.com/office/drawing/2014/main" id="{00000000-0008-0000-A500-0000A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24" name="Chart 424" title="Chart">
          <a:extLst>
            <a:ext uri="{FF2B5EF4-FFF2-40B4-BE49-F238E27FC236}">
              <a16:creationId xmlns:a16="http://schemas.microsoft.com/office/drawing/2014/main" id="{00000000-0008-0000-A500-0000A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25" name="Chart 425" title="Chart">
          <a:extLst>
            <a:ext uri="{FF2B5EF4-FFF2-40B4-BE49-F238E27FC236}">
              <a16:creationId xmlns:a16="http://schemas.microsoft.com/office/drawing/2014/main" id="{00000000-0008-0000-A600-0000A9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26" name="Chart 426" title="Chart">
          <a:extLst>
            <a:ext uri="{FF2B5EF4-FFF2-40B4-BE49-F238E27FC236}">
              <a16:creationId xmlns:a16="http://schemas.microsoft.com/office/drawing/2014/main" id="{00000000-0008-0000-A600-0000AA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27" name="Chart 427" title="Chart">
          <a:extLst>
            <a:ext uri="{FF2B5EF4-FFF2-40B4-BE49-F238E27FC236}">
              <a16:creationId xmlns:a16="http://schemas.microsoft.com/office/drawing/2014/main" id="{00000000-0008-0000-A700-0000AB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28" name="Chart 428" title="Chart">
          <a:extLst>
            <a:ext uri="{FF2B5EF4-FFF2-40B4-BE49-F238E27FC236}">
              <a16:creationId xmlns:a16="http://schemas.microsoft.com/office/drawing/2014/main" id="{00000000-0008-0000-A700-0000AC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29" name="Chart 429" title="Chart">
          <a:extLst>
            <a:ext uri="{FF2B5EF4-FFF2-40B4-BE49-F238E27FC236}">
              <a16:creationId xmlns:a16="http://schemas.microsoft.com/office/drawing/2014/main" id="{00000000-0008-0000-A800-0000AD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30" name="Chart 430" title="Chart">
          <a:extLst>
            <a:ext uri="{FF2B5EF4-FFF2-40B4-BE49-F238E27FC236}">
              <a16:creationId xmlns:a16="http://schemas.microsoft.com/office/drawing/2014/main" id="{00000000-0008-0000-A800-0000AE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31" name="Chart 431" title="Chart">
          <a:extLst>
            <a:ext uri="{FF2B5EF4-FFF2-40B4-BE49-F238E27FC236}">
              <a16:creationId xmlns:a16="http://schemas.microsoft.com/office/drawing/2014/main" id="{00000000-0008-0000-A900-0000AF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32" name="Chart 432" title="Chart">
          <a:extLst>
            <a:ext uri="{FF2B5EF4-FFF2-40B4-BE49-F238E27FC236}">
              <a16:creationId xmlns:a16="http://schemas.microsoft.com/office/drawing/2014/main" id="{00000000-0008-0000-A900-0000B0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33" name="Chart 433" title="Chart">
          <a:extLst>
            <a:ext uri="{FF2B5EF4-FFF2-40B4-BE49-F238E27FC236}">
              <a16:creationId xmlns:a16="http://schemas.microsoft.com/office/drawing/2014/main" id="{00000000-0008-0000-AA00-0000B1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34" name="Chart 434" title="Chart">
          <a:extLst>
            <a:ext uri="{FF2B5EF4-FFF2-40B4-BE49-F238E27FC236}">
              <a16:creationId xmlns:a16="http://schemas.microsoft.com/office/drawing/2014/main" id="{00000000-0008-0000-AA00-0000B2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35" name="Chart 435" title="Chart">
          <a:extLst>
            <a:ext uri="{FF2B5EF4-FFF2-40B4-BE49-F238E27FC236}">
              <a16:creationId xmlns:a16="http://schemas.microsoft.com/office/drawing/2014/main" id="{00000000-0008-0000-AB00-0000B3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36" name="Chart 436" title="Chart">
          <a:extLst>
            <a:ext uri="{FF2B5EF4-FFF2-40B4-BE49-F238E27FC236}">
              <a16:creationId xmlns:a16="http://schemas.microsoft.com/office/drawing/2014/main" id="{00000000-0008-0000-AB00-0000B4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37" name="Chart 437" title="Chart">
          <a:extLst>
            <a:ext uri="{FF2B5EF4-FFF2-40B4-BE49-F238E27FC236}">
              <a16:creationId xmlns:a16="http://schemas.microsoft.com/office/drawing/2014/main" id="{00000000-0008-0000-AC00-0000B5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38" name="Chart 438" title="Chart">
          <a:extLst>
            <a:ext uri="{FF2B5EF4-FFF2-40B4-BE49-F238E27FC236}">
              <a16:creationId xmlns:a16="http://schemas.microsoft.com/office/drawing/2014/main" id="{00000000-0008-0000-AC00-0000B6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10</xdr:row>
      <xdr:rowOff>152400</xdr:rowOff>
    </xdr:from>
    <xdr:ext cx="5343525" cy="3143250"/>
    <xdr:graphicFrame macro="">
      <xdr:nvGraphicFramePr>
        <xdr:cNvPr id="439" name="Chart 439" title="Chart">
          <a:extLst>
            <a:ext uri="{FF2B5EF4-FFF2-40B4-BE49-F238E27FC236}">
              <a16:creationId xmlns:a16="http://schemas.microsoft.com/office/drawing/2014/main" id="{00000000-0008-0000-AD00-0000B7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76200</xdr:colOff>
      <xdr:row>0</xdr:row>
      <xdr:rowOff>19050</xdr:rowOff>
    </xdr:from>
    <xdr:ext cx="5343525" cy="3067050"/>
    <xdr:graphicFrame macro="">
      <xdr:nvGraphicFramePr>
        <xdr:cNvPr id="440" name="Chart 440" title="Chart">
          <a:extLst>
            <a:ext uri="{FF2B5EF4-FFF2-40B4-BE49-F238E27FC236}">
              <a16:creationId xmlns:a16="http://schemas.microsoft.com/office/drawing/2014/main" id="{00000000-0008-0000-AD00-0000B801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11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Earth Year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18" Type="http://schemas.openxmlformats.org/officeDocument/2006/relationships/table" Target="../tables/table25.xml"/><Relationship Id="rId3" Type="http://schemas.openxmlformats.org/officeDocument/2006/relationships/table" Target="../tables/table10.xml"/><Relationship Id="rId21" Type="http://schemas.openxmlformats.org/officeDocument/2006/relationships/table" Target="../tables/table28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17" Type="http://schemas.openxmlformats.org/officeDocument/2006/relationships/table" Target="../tables/table24.xml"/><Relationship Id="rId25" Type="http://schemas.openxmlformats.org/officeDocument/2006/relationships/table" Target="../tables/table32.xml"/><Relationship Id="rId2" Type="http://schemas.openxmlformats.org/officeDocument/2006/relationships/table" Target="../tables/table9.xml"/><Relationship Id="rId16" Type="http://schemas.openxmlformats.org/officeDocument/2006/relationships/table" Target="../tables/table23.xml"/><Relationship Id="rId20" Type="http://schemas.openxmlformats.org/officeDocument/2006/relationships/table" Target="../tables/table27.xml"/><Relationship Id="rId1" Type="http://schemas.openxmlformats.org/officeDocument/2006/relationships/drawing" Target="../drawings/drawing2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24" Type="http://schemas.openxmlformats.org/officeDocument/2006/relationships/table" Target="../tables/table31.xml"/><Relationship Id="rId5" Type="http://schemas.openxmlformats.org/officeDocument/2006/relationships/table" Target="../tables/table12.xml"/><Relationship Id="rId15" Type="http://schemas.openxmlformats.org/officeDocument/2006/relationships/table" Target="../tables/table22.xml"/><Relationship Id="rId23" Type="http://schemas.openxmlformats.org/officeDocument/2006/relationships/table" Target="../tables/table30.xml"/><Relationship Id="rId10" Type="http://schemas.openxmlformats.org/officeDocument/2006/relationships/table" Target="../tables/table17.xml"/><Relationship Id="rId19" Type="http://schemas.openxmlformats.org/officeDocument/2006/relationships/table" Target="../tables/table26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table" Target="../tables/table21.xml"/><Relationship Id="rId22" Type="http://schemas.openxmlformats.org/officeDocument/2006/relationships/table" Target="../tables/table2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1.xml"/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5.xml"/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6.xml"/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7.xml"/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8.xml"/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9.xml"/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0.xml"/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1.xml"/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2.xml"/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4.xml"/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5.xml"/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6.xml"/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7.xml"/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8.xml"/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9.xml"/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0.xml"/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1.xml"/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2.xml"/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3.xml"/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4.xml"/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5.xml"/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6.xml"/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8.xml"/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9.xml"/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0.xml"/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1.xml"/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2.xml"/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3.xml"/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4.xml"/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5.xml"/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6.xml"/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7.xml"/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8.xml"/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9.xml"/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0.xml"/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1.xml"/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2.xml"/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3.xml"/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4.xml"/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5.xml"/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6.xml"/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7.xml"/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8.xml"/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9.xml"/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0.xml"/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1.xml"/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2.xml"/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3.xml"/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4.xml"/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5.xml"/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6.xml"/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7.xml"/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8.xml"/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9.xml"/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0.xml"/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1.xml"/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2.xml"/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3.xml"/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4.xml"/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5.xml"/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6.xml"/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7.xml"/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8.xml"/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9.xml"/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0.xml"/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1.xml"/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2.xml"/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3.xml"/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4.xml"/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5.xml"/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6.xml"/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7.xml"/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8.xml"/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9.xml"/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0.xml"/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1.xml"/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2.xml"/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3.xml"/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4.xml"/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5.xml"/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6.xml"/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7.xml"/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8.xml"/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9.xml"/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0.xml"/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1.xml"/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3.xml"/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4.xml"/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5.xml"/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7.xml"/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8.xml"/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9.xml"/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0.xml"/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1.xml"/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2.xml"/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3.xml"/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4.xml"/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5.xml"/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6.xml"/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7.xml"/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1.xml"/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2.xml"/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3.xml"/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4.xml"/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5.xml"/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6.xml"/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7.xml"/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8.xml"/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9.xml"/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0.xml"/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1.xml"/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2.xml"/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3.xml"/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4.xml"/><Relationship Id="rId1" Type="http://schemas.openxmlformats.org/officeDocument/2006/relationships/drawing" Target="../drawings/drawing1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1039646767.1931727</v>
      </c>
      <c r="N2" s="5">
        <f t="shared" ref="N2:N65" si="3">((M2-M3)/M3)</f>
        <v>1.126224272040326E-2</v>
      </c>
      <c r="O2" s="5">
        <f t="shared" ref="O2:O67" si="4">SUM(M2/C2)</f>
        <v>0.1525806141646921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7.8875435332948815E-2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994654309.58714616</v>
      </c>
      <c r="AJ2" s="5">
        <f t="shared" ref="AJ2:AJ65" si="9">((AI2-AI3)/AI3)</f>
        <v>7.0884428767480807E-3</v>
      </c>
      <c r="AK2" s="5">
        <f t="shared" ref="AK2:AK67" si="10">SUM(AI2/C2)</f>
        <v>0.14597743216967624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0.20360702438378855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0.20386688974766215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4.0516167540889297E-2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0.17155216717796201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1028068411.2129135</v>
      </c>
      <c r="N3" s="5">
        <f t="shared" si="3"/>
        <v>1.150541935697354E-2</v>
      </c>
      <c r="O3" s="5">
        <f t="shared" si="4"/>
        <v>0.15232936335129077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7.8754380930748172E-2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987653384.98564851</v>
      </c>
      <c r="AJ3" s="5">
        <f t="shared" si="9"/>
        <v>6.9602326834195538E-3</v>
      </c>
      <c r="AK3" s="5">
        <f t="shared" si="10"/>
        <v>0.1463410505621042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0.2035669430968485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0.20436911238487759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4.0456446930867675E-2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0.17116023841745409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1016374595.2705516</v>
      </c>
      <c r="N4" s="5">
        <f t="shared" si="3"/>
        <v>1.0900739951253484E-2</v>
      </c>
      <c r="O4" s="5">
        <f t="shared" si="4"/>
        <v>0.15206877744770786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7.8617881662835787E-2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980826603.60248709</v>
      </c>
      <c r="AJ4" s="5">
        <f t="shared" si="9"/>
        <v>6.6115451206148583E-3</v>
      </c>
      <c r="AK4" s="5">
        <f t="shared" si="10"/>
        <v>0.14675012853731778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0.20353137477287697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0.20493212752549303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4.0385470661862516E-2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0.17069513848620338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1005414829.6691939</v>
      </c>
      <c r="N5" s="5">
        <f t="shared" si="3"/>
        <v>1.0325600171785111E-2</v>
      </c>
      <c r="O5" s="5">
        <f t="shared" si="4"/>
        <v>0.15189824532040624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7.8389227255361821E-2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974384417.06424284</v>
      </c>
      <c r="AJ5" s="5">
        <f t="shared" si="9"/>
        <v>6.8610863455420964E-3</v>
      </c>
      <c r="AK5" s="5">
        <f t="shared" si="10"/>
        <v>0.14721016524920705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0.20350194667194949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0.20554216282042456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4.0303096140541936E-2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0.17014122795101971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995139417.92452228</v>
      </c>
      <c r="N6" s="5">
        <f t="shared" si="3"/>
        <v>1.1230748420836005E-2</v>
      </c>
      <c r="O6" s="5">
        <f t="shared" si="4"/>
        <v>0.15184639235146033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7.8149373447410367E-2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967744637.54560709</v>
      </c>
      <c r="AJ6" s="5">
        <f t="shared" si="9"/>
        <v>7.0135307447044227E-3</v>
      </c>
      <c r="AK6" s="5">
        <f t="shared" si="10"/>
        <v>0.14766627598296739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0.20347117183820085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0.20612368635642583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4.0201747612353969E-2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0.16953432906341467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984087380.13411641</v>
      </c>
      <c r="N7" s="5">
        <f t="shared" si="3"/>
        <v>1.1963867540491707E-2</v>
      </c>
      <c r="O7" s="5">
        <f t="shared" si="4"/>
        <v>0.1516641475747359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7.8069096750215089E-2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961004602.22211981</v>
      </c>
      <c r="AJ7" s="5">
        <f t="shared" si="9"/>
        <v>7.0667796322351649E-3</v>
      </c>
      <c r="AK7" s="5">
        <f t="shared" si="10"/>
        <v>0.14810670958055819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0.20351406184762483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0.20672681175603805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4.0058326960948749E-2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0.16886769983730326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972453080.29215789</v>
      </c>
      <c r="N8" s="5">
        <f t="shared" si="3"/>
        <v>1.191561679132413E-2</v>
      </c>
      <c r="O8" s="5">
        <f t="shared" si="4"/>
        <v>0.15142300196038319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7.7916538972752178E-2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954261049.67245913</v>
      </c>
      <c r="AJ8" s="5">
        <f t="shared" si="9"/>
        <v>7.126234211509961E-3</v>
      </c>
      <c r="AK8" s="5">
        <f t="shared" si="10"/>
        <v>0.14859027723153315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0.20367000450932687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0.20737363169638623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3.9875632777411685E-2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0.16818082911634508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961002146.97318566</v>
      </c>
      <c r="N9" s="5">
        <f t="shared" si="3"/>
        <v>1.5459808320127701E-2</v>
      </c>
      <c r="O9" s="5">
        <f t="shared" si="4"/>
        <v>0.15126234863986573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7.7603383330019801E-2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947508879.4798007</v>
      </c>
      <c r="AJ9" s="5">
        <f t="shared" si="9"/>
        <v>7.2460861402748114E-3</v>
      </c>
      <c r="AK9" s="5">
        <f t="shared" si="10"/>
        <v>0.14913849976158397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0.203818079883644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0.20806177293133629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3.9691728358230434E-2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0.16747585611607407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946371426.12563741</v>
      </c>
      <c r="N10" s="5">
        <f t="shared" si="3"/>
        <v>1.2877017815734247E-2</v>
      </c>
      <c r="O10" s="5">
        <f t="shared" si="4"/>
        <v>0.15067144935534021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7.7361831130276337E-2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940692540.30126381</v>
      </c>
      <c r="AJ10" s="5">
        <f t="shared" si="9"/>
        <v>6.8056317794814806E-3</v>
      </c>
      <c r="AK10" s="5">
        <f t="shared" si="10"/>
        <v>0.14976731601587032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0.20409753208190162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0.20882638097854725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3.9545992076480331E-2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0.1668005884858394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934339914.40193212</v>
      </c>
      <c r="N11" s="5">
        <f t="shared" si="3"/>
        <v>1.3679742737287464E-2</v>
      </c>
      <c r="O11" s="5">
        <f t="shared" si="4"/>
        <v>0.1504098295158792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7.7160520903565524E-2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934333808.44188774</v>
      </c>
      <c r="AJ11" s="5">
        <f t="shared" si="9"/>
        <v>7.0998378790422369E-3</v>
      </c>
      <c r="AK11" s="5">
        <f t="shared" si="10"/>
        <v>0.150408846579803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0.20429432562169295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0.20944376327961012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3.9387604190133964E-2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0.16598571372963611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921730873.18376291</v>
      </c>
      <c r="N12" s="5">
        <f t="shared" si="3"/>
        <v>1.3582159361626387E-2</v>
      </c>
      <c r="O12" s="5">
        <f t="shared" si="4"/>
        <v>0.15005312764950596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7.7167448609158112E-2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927746955.46530902</v>
      </c>
      <c r="AJ12" s="5">
        <f t="shared" si="9"/>
        <v>7.0617542025387106E-3</v>
      </c>
      <c r="AK12" s="5">
        <f t="shared" si="10"/>
        <v>0.15103251543915938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0.20436163323659132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0.21007290699804038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3.9240168455254056E-2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0.16518060073708307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909379535.41357398</v>
      </c>
      <c r="N13" s="5">
        <f t="shared" si="3"/>
        <v>1.3715449995704281E-2</v>
      </c>
      <c r="O13" s="5">
        <f t="shared" si="4"/>
        <v>0.14970610407917764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7.7196928775244311E-2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921241375.31164944</v>
      </c>
      <c r="AJ13" s="5">
        <f t="shared" si="9"/>
        <v>7.182799952980547E-3</v>
      </c>
      <c r="AK13" s="5">
        <f t="shared" si="10"/>
        <v>0.15165885292517428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0.20445543084393383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0.21066787558804848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3.9087667588561831E-2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0.16434966048540575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897075737.98685575</v>
      </c>
      <c r="N14" s="5">
        <f t="shared" si="3"/>
        <v>1.3861931068732916E-2</v>
      </c>
      <c r="O14" s="5">
        <f t="shared" si="4"/>
        <v>0.14935444397225914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7.7274841694443194E-2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914671473.0976907</v>
      </c>
      <c r="AJ14" s="5">
        <f t="shared" si="9"/>
        <v>7.184281166159965E-3</v>
      </c>
      <c r="AK14" s="5">
        <f t="shared" si="10"/>
        <v>0.15228396388064444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0.2045590572765654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0.21124603706532569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3.8923481516450566E-2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0.16349080467693242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884810555.06367576</v>
      </c>
      <c r="N15" s="5">
        <f t="shared" si="3"/>
        <v>1.4100212407840797E-2</v>
      </c>
      <c r="O15" s="5">
        <f t="shared" si="4"/>
        <v>0.14899843595292578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7.7322396694466972E-2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908147089.06958508</v>
      </c>
      <c r="AJ15" s="5">
        <f t="shared" si="9"/>
        <v>7.0408948607135402E-3</v>
      </c>
      <c r="AK15" s="5">
        <f t="shared" si="10"/>
        <v>0.15292821170836138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0.20468376727652743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0.21184745733269345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3.8761701003824048E-2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0.16259816644255121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872508006.83969426</v>
      </c>
      <c r="N16" s="5">
        <f t="shared" si="3"/>
        <v>1.450432110120178E-2</v>
      </c>
      <c r="O16" s="5">
        <f t="shared" si="4"/>
        <v>0.14863986838627205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7.7398057534010009E-2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901797626.79368973</v>
      </c>
      <c r="AJ16" s="5">
        <f t="shared" si="9"/>
        <v>7.1857449340684736E-3</v>
      </c>
      <c r="AK16" s="5">
        <f t="shared" si="10"/>
        <v>0.15362962804568764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0.20472395835372176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0.21247369163901619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3.8606827072064955E-2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0.16167357974810034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860033800.44022238</v>
      </c>
      <c r="N17" s="5">
        <f t="shared" si="3"/>
        <v>1.4845310813488612E-2</v>
      </c>
      <c r="O17" s="5">
        <f t="shared" si="4"/>
        <v>0.14826235723708839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7.7427187408434933E-2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895363771.11127841</v>
      </c>
      <c r="AJ17" s="5">
        <f t="shared" si="9"/>
        <v>5.9465325987060752E-3</v>
      </c>
      <c r="AK17" s="5">
        <f t="shared" si="10"/>
        <v>0.15435293731676286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0.20478918101408944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0.21312112604567737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3.8462508244816784E-2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0.16073755087853431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847453095.83273232</v>
      </c>
      <c r="N18" s="5">
        <f t="shared" si="3"/>
        <v>1.4959041906895775E-2</v>
      </c>
      <c r="O18" s="5">
        <f t="shared" si="4"/>
        <v>0.14782912049447003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7.7477523569100037E-2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890070935.27947819</v>
      </c>
      <c r="AJ18" s="5">
        <f t="shared" si="9"/>
        <v>4.6494650609446792E-3</v>
      </c>
      <c r="AK18" s="5">
        <f t="shared" si="10"/>
        <v>0.1552633463575501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0.20484949133609986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0.21376049860190793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3.8307516983283392E-2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0.15967550063703029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834962851.54575813</v>
      </c>
      <c r="N19" s="5">
        <f t="shared" si="3"/>
        <v>1.4953279972028109E-2</v>
      </c>
      <c r="O19" s="5">
        <f t="shared" si="4"/>
        <v>0.14739396983226605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7.7516058418880276E-2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885951733.64819753</v>
      </c>
      <c r="AJ19" s="5">
        <f t="shared" si="9"/>
        <v>4.5604372738858971E-3</v>
      </c>
      <c r="AK19" s="5">
        <f t="shared" si="10"/>
        <v>0.15639491369039654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0.20471483828058551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0.21445462690485606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3.8135922519600525E-2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0.15856419558344226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822661365.82047355</v>
      </c>
      <c r="N20" s="5">
        <f t="shared" si="3"/>
        <v>1.4790118797666705E-2</v>
      </c>
      <c r="O20" s="5">
        <f t="shared" si="4"/>
        <v>0.14697188031085692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7.7618844355547875E-2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881929748.35086942</v>
      </c>
      <c r="AJ20" s="5">
        <f t="shared" si="9"/>
        <v>4.6172833487782994E-3</v>
      </c>
      <c r="AK20" s="5">
        <f t="shared" si="10"/>
        <v>0.15756042376918233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0.20454166856934974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0.21514290742888978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3.7952522786580831E-2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0.15740169712717619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810671438.93278229</v>
      </c>
      <c r="N21" s="5">
        <f t="shared" si="3"/>
        <v>1.4587429675202856E-2</v>
      </c>
      <c r="O21" s="5">
        <f t="shared" si="4"/>
        <v>0.1466164144780292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7.7684548983213961E-2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877876344.52301693</v>
      </c>
      <c r="AJ21" s="5">
        <f t="shared" si="9"/>
        <v>5.7756114579553559E-3</v>
      </c>
      <c r="AK21" s="5">
        <f t="shared" si="10"/>
        <v>0.15877095924149862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0.20428501296137605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0.21584826534560542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3.7766342418003716E-2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0.15623705259219675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799015851.39124024</v>
      </c>
      <c r="N22" s="5">
        <f t="shared" si="3"/>
        <v>1.4367789037885291E-2</v>
      </c>
      <c r="O22" s="5">
        <f t="shared" si="4"/>
        <v>0.14635173400193013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7.777177403125092E-2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872835187.61253536</v>
      </c>
      <c r="AJ22" s="5">
        <f t="shared" si="9"/>
        <v>5.6500813472379601E-3</v>
      </c>
      <c r="AK22" s="5">
        <f t="shared" si="10"/>
        <v>0.15987285231272072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0.20401121302104339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0.21656857505709895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3.7568122362890706E-2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0.15508577950160152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787698367.4226253</v>
      </c>
      <c r="N23" s="5">
        <f t="shared" si="3"/>
        <v>1.3525783574635278E-2</v>
      </c>
      <c r="O23" s="5">
        <f t="shared" si="4"/>
        <v>0.14616539794398908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7.7942455104952138E-2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867931305.13470984</v>
      </c>
      <c r="AJ23" s="5">
        <f t="shared" si="9"/>
        <v>4.8427225459478293E-3</v>
      </c>
      <c r="AK23" s="5">
        <f t="shared" si="10"/>
        <v>0.16105343091944663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0.20345391907992405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0.21729014140405026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3.742972930183433E-2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0.15391943130995422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777186313.548401</v>
      </c>
      <c r="N24" s="5">
        <f t="shared" si="3"/>
        <v>1.3682018501768367E-2</v>
      </c>
      <c r="O24" s="5">
        <f t="shared" si="4"/>
        <v>0.14611139843683779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7.8107498718594334E-2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863748411.22962153</v>
      </c>
      <c r="AJ24" s="5">
        <f t="shared" si="9"/>
        <v>3.73143424842185E-3</v>
      </c>
      <c r="AK24" s="5">
        <f t="shared" si="10"/>
        <v>0.16238511417699747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0.20272954782345456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0.21797375454666909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3.7249352820853406E-2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0.15272400422811333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766696359.76880574</v>
      </c>
      <c r="N25" s="5">
        <f t="shared" si="3"/>
        <v>1.4412547112482747E-2</v>
      </c>
      <c r="O25" s="5">
        <f t="shared" si="4"/>
        <v>0.14600848852294485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7.8302636701747808E-2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860537372.60543466</v>
      </c>
      <c r="AJ25" s="5">
        <f t="shared" si="9"/>
        <v>5.0650631021636706E-3</v>
      </c>
      <c r="AK25" s="5">
        <f t="shared" si="10"/>
        <v>0.16387942826481361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0.20208747175271713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0.21857831904597216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3.7006305154028037E-2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0.15144442489067053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755803308.97049809</v>
      </c>
      <c r="N26" s="5">
        <f t="shared" si="3"/>
        <v>1.458677159786005E-2</v>
      </c>
      <c r="O26" s="5">
        <f t="shared" si="4"/>
        <v>0.14587486122317214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7.8425881210241299E-2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856200662.22316003</v>
      </c>
      <c r="AJ26" s="5">
        <f t="shared" si="9"/>
        <v>6.5094151917075406E-3</v>
      </c>
      <c r="AK26" s="5">
        <f t="shared" si="10"/>
        <v>0.1652521910113347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0.20145876390195311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0.21928775402950718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3.6813909322145448E-2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0.15021536838775673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744937081.902017</v>
      </c>
      <c r="N27" s="5">
        <f t="shared" si="3"/>
        <v>1.5143059131790365E-2</v>
      </c>
      <c r="O27" s="5">
        <f t="shared" si="4"/>
        <v>0.14580275461863787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7.8555108491302275E-2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850663341.34597385</v>
      </c>
      <c r="AJ27" s="5">
        <f t="shared" si="9"/>
        <v>6.5601600690795431E-3</v>
      </c>
      <c r="AK27" s="5">
        <f t="shared" si="10"/>
        <v>0.16649601883780485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0.20087097348145894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0.21998171580705245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3.6558842207757507E-2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0.14908010693757168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733824730.61395967</v>
      </c>
      <c r="N28" s="5">
        <f t="shared" si="3"/>
        <v>1.5367427945537275E-2</v>
      </c>
      <c r="O28" s="5">
        <f t="shared" si="4"/>
        <v>0.14566985082985856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7.864898706730733E-2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845119223.95934427</v>
      </c>
      <c r="AJ28" s="5">
        <f t="shared" si="9"/>
        <v>8.3306617129837932E-3</v>
      </c>
      <c r="AK28" s="5">
        <f t="shared" si="10"/>
        <v>0.16776266341501467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0.20031396643812399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0.22065312754423047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3.6252785582735529E-2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0.14806022214316414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722718407.56085479</v>
      </c>
      <c r="N29" s="5">
        <f t="shared" si="3"/>
        <v>1.5781707170567979E-2</v>
      </c>
      <c r="O29" s="5">
        <f t="shared" si="4"/>
        <v>0.145585696509892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7.8692762579593026E-2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838136988.24116802</v>
      </c>
      <c r="AJ29" s="5">
        <f t="shared" si="9"/>
        <v>8.2874095270981628E-3</v>
      </c>
      <c r="AK29" s="5">
        <f t="shared" si="10"/>
        <v>0.16883582309133194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0.19976656479523397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0.22141891826920046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3.5953639538545627E-2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0.14712247023878292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711489882.57916856</v>
      </c>
      <c r="N30" s="5">
        <f t="shared" si="3"/>
        <v>1.6094945111510876E-2</v>
      </c>
      <c r="O30" s="5">
        <f t="shared" si="4"/>
        <v>0.1454964527913038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7.8787275935497586E-2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831248094.86043942</v>
      </c>
      <c r="AJ30" s="5">
        <f t="shared" si="9"/>
        <v>7.9445718229663714E-3</v>
      </c>
      <c r="AK30" s="5">
        <f t="shared" si="10"/>
        <v>0.16998646383178267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0.19905145075571495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0.22218047628891929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3.5667888441129503E-2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0.14621908910330933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700219882.01219368</v>
      </c>
      <c r="N31" s="5">
        <f t="shared" si="3"/>
        <v>1.6269393268035701E-2</v>
      </c>
      <c r="O31" s="5">
        <f t="shared" si="4"/>
        <v>0.14537346674921833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7.8917649782886901E-2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824696236.37840116</v>
      </c>
      <c r="AJ31" s="5">
        <f t="shared" si="9"/>
        <v>7.3050249890809224E-3</v>
      </c>
      <c r="AK31" s="5">
        <f t="shared" si="10"/>
        <v>0.1712161479231937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0.19835462531406595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0.22285554154336673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3.5385872075314455E-2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0.14529926132411267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689010105.63791955</v>
      </c>
      <c r="N32" s="5">
        <f t="shared" si="3"/>
        <v>1.6832018035996685E-2</v>
      </c>
      <c r="O32" s="5">
        <f t="shared" si="4"/>
        <v>0.1452702700390314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7.9101928420797551E-2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818715499.19781327</v>
      </c>
      <c r="AJ32" s="5">
        <f t="shared" si="9"/>
        <v>7.0556718434919685E-3</v>
      </c>
      <c r="AK32" s="5">
        <f t="shared" si="10"/>
        <v>0.172617238383595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0.19745113876042419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0.22348671125113084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3.5114925272631277E-2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0.14437371642221733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677604651.9156009</v>
      </c>
      <c r="N33" s="5">
        <f t="shared" si="3"/>
        <v>1.7005170408681054E-2</v>
      </c>
      <c r="O33" s="5">
        <f t="shared" si="4"/>
        <v>0.14512840339510735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7.9318717101027197E-2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812979383.45264697</v>
      </c>
      <c r="AJ33" s="5">
        <f t="shared" si="9"/>
        <v>6.9149121086459079E-3</v>
      </c>
      <c r="AK33" s="5">
        <f t="shared" si="10"/>
        <v>0.17412277141261009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0.19652645497359614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0.22406652092211701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3.4862275862382393E-2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0.14340409873477936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666274539.82687926</v>
      </c>
      <c r="N34" s="5">
        <f t="shared" si="3"/>
        <v>1.7499398272969532E-2</v>
      </c>
      <c r="O34" s="5">
        <f t="shared" si="4"/>
        <v>0.14498648439416559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7.9566543734843648E-2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807396308.93948531</v>
      </c>
      <c r="AJ34" s="5">
        <f t="shared" si="9"/>
        <v>6.973097182106763E-3</v>
      </c>
      <c r="AK34" s="5">
        <f t="shared" si="10"/>
        <v>0.17569567100129346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0.19555315541812843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0.22461431067900378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3.4619179057176659E-2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0.14240746253669367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654815659.80065036</v>
      </c>
      <c r="N35" s="5">
        <f t="shared" si="3"/>
        <v>1.8118728442074666E-2</v>
      </c>
      <c r="O35" s="5">
        <f t="shared" si="4"/>
        <v>0.14482555391102009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7.9776568022291758E-2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801805243.05851555</v>
      </c>
      <c r="AJ35" s="5">
        <f t="shared" si="9"/>
        <v>7.586527512799251E-3</v>
      </c>
      <c r="AK35" s="5">
        <f t="shared" si="10"/>
        <v>0.17733523430099599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0.19452220909615311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0.22516707888796803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3.4393708056789589E-2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0.14143529682374451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643162375.37703419</v>
      </c>
      <c r="N36" s="5">
        <f t="shared" si="3"/>
        <v>1.8505147146558959E-2</v>
      </c>
      <c r="O36" s="5">
        <f t="shared" si="4"/>
        <v>0.14464887195747417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7.9845423465118609E-2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795768126.27472365</v>
      </c>
      <c r="AJ36" s="5">
        <f t="shared" si="9"/>
        <v>8.2818311183251239E-3</v>
      </c>
      <c r="AK36" s="5">
        <f t="shared" si="10"/>
        <v>0.17897029772283199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0.19349106025611554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0.22577652938602874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3.4191749672676887E-2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0.14054298447054303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631476804.19575298</v>
      </c>
      <c r="N37" s="5">
        <f t="shared" si="3"/>
        <v>1.8873155781131863E-2</v>
      </c>
      <c r="O37" s="5">
        <f t="shared" si="4"/>
        <v>0.14443542875565996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7.9968817172281506E-2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789231841.45062482</v>
      </c>
      <c r="AJ37" s="5">
        <f t="shared" si="9"/>
        <v>8.4818149266889485E-3</v>
      </c>
      <c r="AK37" s="5">
        <f t="shared" si="10"/>
        <v>0.1805181736686611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0.19246457524465749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0.22638546269400517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3.3993840650148911E-2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0.13970954820894393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619779607.12059724</v>
      </c>
      <c r="N38" s="5">
        <f t="shared" si="3"/>
        <v>1.8965388783039331E-2</v>
      </c>
      <c r="O38" s="5">
        <f t="shared" si="4"/>
        <v>0.14417868076200904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8.0210719563019214E-2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782594023.77820528</v>
      </c>
      <c r="AJ38" s="5">
        <f t="shared" si="9"/>
        <v>8.0513980452663093E-3</v>
      </c>
      <c r="AK38" s="5">
        <f t="shared" si="10"/>
        <v>0.18205402795484163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0.19130925632252185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0.22699294547635193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3.3801457165321222E-2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0.13893504227796907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608244022.75410581</v>
      </c>
      <c r="N39" s="5">
        <f t="shared" si="3"/>
        <v>1.9068385226947794E-2</v>
      </c>
      <c r="O39" s="5">
        <f t="shared" si="4"/>
        <v>0.14391302137345585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8.0510060637934588E-2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776343374.2522949</v>
      </c>
      <c r="AJ39" s="5">
        <f t="shared" si="9"/>
        <v>8.4126928486205621E-3</v>
      </c>
      <c r="AK39" s="5">
        <f t="shared" si="10"/>
        <v>0.18368601487610289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0.18995271796425842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0.22759605162904614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3.3616382142782064E-2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0.13821038399660665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596862812.71364248</v>
      </c>
      <c r="N40" s="5">
        <f t="shared" si="3"/>
        <v>1.9311402510205803E-2</v>
      </c>
      <c r="O40" s="5">
        <f t="shared" si="4"/>
        <v>0.14362667287488481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8.0825216547506573E-2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769866721.98585355</v>
      </c>
      <c r="AJ40" s="5">
        <f t="shared" si="9"/>
        <v>8.5665935195496923E-3</v>
      </c>
      <c r="AK40" s="5">
        <f t="shared" si="10"/>
        <v>0.18525763957918417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0.1886244616173654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0.22821803815447819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3.3434640146531004E-2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0.13749613042199366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585554925.84874368</v>
      </c>
      <c r="N41" s="5">
        <f t="shared" si="3"/>
        <v>1.9539592789791727E-2</v>
      </c>
      <c r="O41" s="5">
        <f t="shared" si="4"/>
        <v>0.14331726203685197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8.1114549743414671E-2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763327604.67435682</v>
      </c>
      <c r="AJ41" s="5">
        <f t="shared" si="9"/>
        <v>8.2480535655521797E-3</v>
      </c>
      <c r="AK41" s="5">
        <f t="shared" si="10"/>
        <v>0.18682794304993389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0.18734910730538354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0.22886427438363022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3.3253774182452386E-2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0.13675014499491345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574332698.78855324</v>
      </c>
      <c r="N42" s="5">
        <f t="shared" si="3"/>
        <v>2.0049224046144662E-2</v>
      </c>
      <c r="O42" s="5">
        <f t="shared" si="4"/>
        <v>0.14296137144784288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8.1446736034124501E-2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757083142.36257374</v>
      </c>
      <c r="AJ42" s="5">
        <f t="shared" si="9"/>
        <v>8.5573587147868852E-3</v>
      </c>
      <c r="AK42" s="5">
        <f t="shared" si="10"/>
        <v>0.18845112695219082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0.18607497224346772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0.22953551003480438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3.3071823824140423E-2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0.13592778175882489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563044101.45070779</v>
      </c>
      <c r="N43" s="5">
        <f t="shared" si="3"/>
        <v>2.0518198196049092E-2</v>
      </c>
      <c r="O43" s="5">
        <f t="shared" si="4"/>
        <v>0.14252815304034636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8.1665423192760711E-2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750659479.92024088</v>
      </c>
      <c r="AJ43" s="5">
        <f t="shared" si="9"/>
        <v>9.1575884171381169E-3</v>
      </c>
      <c r="AK43" s="5">
        <f t="shared" si="10"/>
        <v>0.19002083310986509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0.18508364732192276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0.23018262483065294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3.288983431202095E-2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0.13508941972518207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551723724.71749187</v>
      </c>
      <c r="N44" s="5">
        <f t="shared" si="3"/>
        <v>2.0901647794853088E-2</v>
      </c>
      <c r="O44" s="5">
        <f t="shared" si="4"/>
        <v>0.14215565793801466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8.1397039410301339E-2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743847629.48435926</v>
      </c>
      <c r="AJ44" s="5">
        <f t="shared" si="9"/>
        <v>9.6945555224348182E-3</v>
      </c>
      <c r="AK44" s="5">
        <f t="shared" si="10"/>
        <v>0.19165778892166824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0.18410713770812956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0.23102860874596245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3.2739355827919009E-2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0.13435763990310404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540427891.27553546</v>
      </c>
      <c r="N45" s="5">
        <f t="shared" si="3"/>
        <v>2.1082475958206434E-2</v>
      </c>
      <c r="O45" s="5">
        <f t="shared" si="4"/>
        <v>0.14169992095374356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8.1538606900219579E-2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736705596.17851818</v>
      </c>
      <c r="AJ45" s="5">
        <f t="shared" si="9"/>
        <v>9.9302550198780946E-3</v>
      </c>
      <c r="AK45" s="5">
        <f t="shared" si="10"/>
        <v>0.19316383634140205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0.18300575287919588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0.23182822682499668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3.2587519289748144E-2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0.13360132810142294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529269578.11942267</v>
      </c>
      <c r="N46" s="5">
        <f t="shared" si="3"/>
        <v>2.115237310591795E-2</v>
      </c>
      <c r="O46" s="5">
        <f t="shared" si="4"/>
        <v>0.14121999652304515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8.1538951167754573E-2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729461853.94160497</v>
      </c>
      <c r="AJ46" s="5">
        <f t="shared" si="9"/>
        <v>1.0097236875846483E-2</v>
      </c>
      <c r="AK46" s="5">
        <f t="shared" si="10"/>
        <v>0.19463540837422483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0.18186210445791842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0.23268777109657543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3.2443347444505777E-2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0.13302917380776536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518306172.57403636</v>
      </c>
      <c r="N47" s="5">
        <f t="shared" si="3"/>
        <v>2.1317174554207809E-2</v>
      </c>
      <c r="O47" s="5">
        <f t="shared" si="4"/>
        <v>0.14083527258753537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8.0933826828609085E-2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722169933.06285512</v>
      </c>
      <c r="AJ47" s="5">
        <f t="shared" si="9"/>
        <v>1.0957732047854359E-2</v>
      </c>
      <c r="AK47" s="5">
        <f t="shared" si="10"/>
        <v>0.19622957386813919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0.1808249474985904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0.23372960115739594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3.2331555324203773E-2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0.1325444198759167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507487963.08088183</v>
      </c>
      <c r="N48" s="5">
        <f t="shared" si="3"/>
        <v>2.1636601958953918E-2</v>
      </c>
      <c r="O48" s="5">
        <f t="shared" si="4"/>
        <v>0.14036268398360396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8.0861625381132979E-2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714342360.88187981</v>
      </c>
      <c r="AJ48" s="5">
        <f t="shared" si="9"/>
        <v>1.0835384134571314E-2</v>
      </c>
      <c r="AK48" s="5">
        <f t="shared" si="10"/>
        <v>0.19757515123680802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0.17989193892780056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0.23466171295011393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3.2208360990620168E-2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0.13191022256902929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496740193.2426762</v>
      </c>
      <c r="N49" s="5">
        <f t="shared" si="3"/>
        <v>2.2181379047255936E-2</v>
      </c>
      <c r="O49" s="5">
        <f t="shared" si="4"/>
        <v>0.13987619445567334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8.0729065978240255E-2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706685155.75705278</v>
      </c>
      <c r="AJ49" s="5">
        <f t="shared" si="9"/>
        <v>1.1798374456028835E-2</v>
      </c>
      <c r="AK49" s="5">
        <f t="shared" si="10"/>
        <v>0.19899422597623415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0.17885763298983118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0.23567876748750127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3.2096578846247864E-2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0.13130714877524419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485960910.09373754</v>
      </c>
      <c r="N50" s="5">
        <f t="shared" si="3"/>
        <v>2.2728840690005692E-2</v>
      </c>
      <c r="O50" s="5">
        <f t="shared" si="4"/>
        <v>0.13934557638149525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8.0728885897276323E-2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698444644.3067143</v>
      </c>
      <c r="AJ50" s="5">
        <f t="shared" si="9"/>
        <v>1.2884502009388435E-2</v>
      </c>
      <c r="AK50" s="5">
        <f t="shared" si="10"/>
        <v>0.20027366298395147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0.17781823465129609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0.23675496565891008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3.199739749375935E-2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0.13069516286344018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475161050.27983147</v>
      </c>
      <c r="N51" s="5">
        <f t="shared" si="3"/>
        <v>2.3392144965403455E-2</v>
      </c>
      <c r="O51" s="5">
        <f t="shared" si="4"/>
        <v>0.13876108767984535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8.0919682911467353E-2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689560007.01078987</v>
      </c>
      <c r="AJ51" s="5">
        <f t="shared" si="9"/>
        <v>1.3030154906524235E-2</v>
      </c>
      <c r="AK51" s="5">
        <f t="shared" si="10"/>
        <v>0.20137192755380262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0.17671813623429844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0.23779985629592054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3.1905396436704564E-2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0.13019955939811942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464300075.60385823</v>
      </c>
      <c r="N52" s="5">
        <f t="shared" si="3"/>
        <v>2.400841644623267E-2</v>
      </c>
      <c r="O52" s="5">
        <f t="shared" si="4"/>
        <v>0.1382258020332556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8.0736708695639661E-2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680690504.29640758</v>
      </c>
      <c r="AJ52" s="5">
        <f t="shared" si="9"/>
        <v>1.3369284569826204E-2</v>
      </c>
      <c r="AK52" s="5">
        <f t="shared" si="10"/>
        <v>0.20264694286431489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0.17532928908403528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0.23914583646625737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3.1846359733904678E-2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0.12978735778251374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453414315.88539791</v>
      </c>
      <c r="N53" s="5">
        <f t="shared" si="3"/>
        <v>2.4453763041511603E-2</v>
      </c>
      <c r="O53" s="5">
        <f t="shared" si="4"/>
        <v>0.13762096063276413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8.0757525170486219E-2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671710219.22710013</v>
      </c>
      <c r="AJ53" s="5">
        <f t="shared" si="9"/>
        <v>1.4188244127387268E-2</v>
      </c>
      <c r="AK53" s="5">
        <f t="shared" si="10"/>
        <v>0.20387844494138779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0.17387855272643993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0.24044905322714108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3.1787890384968813E-2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0.12937649921900543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442591293.27540499</v>
      </c>
      <c r="N54" s="5">
        <f t="shared" si="3"/>
        <v>2.4771101811414412E-2</v>
      </c>
      <c r="O54" s="5">
        <f t="shared" si="4"/>
        <v>0.13700259929768727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8.0830358810228389E-2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662313158.44628334</v>
      </c>
      <c r="AJ54" s="5">
        <f t="shared" si="9"/>
        <v>1.4497699003514102E-2</v>
      </c>
      <c r="AK54" s="5">
        <f t="shared" si="10"/>
        <v>0.20501674035358664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0.17244421887616906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0.24173979328898759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3.1738222946415054E-2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0.12899982318653108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431892831.96322387</v>
      </c>
      <c r="N55" s="5">
        <f t="shared" si="3"/>
        <v>2.4928571789812989E-2</v>
      </c>
      <c r="O55" s="5">
        <f t="shared" si="4"/>
        <v>0.13636025598722348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8.09073775063575E-2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652848359.43623877</v>
      </c>
      <c r="AJ55" s="5">
        <f t="shared" si="9"/>
        <v>1.4710127514794218E-2</v>
      </c>
      <c r="AK55" s="5">
        <f t="shared" si="10"/>
        <v>0.20612189604745457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0.17097962289330743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0.24303916757032898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3.1688461335125817E-2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0.12869260367615459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421388225.33654004</v>
      </c>
      <c r="N56" s="5">
        <f t="shared" si="3"/>
        <v>2.5103359283416799E-2</v>
      </c>
      <c r="O56" s="5">
        <f t="shared" si="4"/>
        <v>0.13575206969314282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8.076418048467407E-2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643384097.32361758</v>
      </c>
      <c r="AJ56" s="5">
        <f t="shared" si="9"/>
        <v>1.4715609424439556E-2</v>
      </c>
      <c r="AK56" s="5">
        <f t="shared" si="10"/>
        <v>0.20726901599963121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0.16953973573402442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0.24435789133032113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3.1667891911600243E-2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0.128452470581573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411069012.23219597</v>
      </c>
      <c r="N57" s="5">
        <f t="shared" si="3"/>
        <v>2.5170490067307084E-2</v>
      </c>
      <c r="O57" s="5">
        <f t="shared" si="4"/>
        <v>0.13506548720725331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8.1031353700777062E-2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634053612.01504898</v>
      </c>
      <c r="AJ57" s="5">
        <f t="shared" si="9"/>
        <v>1.4575729029934214E-2</v>
      </c>
      <c r="AK57" s="5">
        <f t="shared" si="10"/>
        <v>0.20833183108912512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0.1679770341269459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0.24559159445734155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3.1635976415771913E-2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0.1281829991038225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400976243.67358392</v>
      </c>
      <c r="N58" s="5">
        <f t="shared" si="3"/>
        <v>2.5286971351608383E-2</v>
      </c>
      <c r="O58" s="5">
        <f t="shared" si="4"/>
        <v>0.13441655754805787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8.1000827366083467E-2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624944589.0266726</v>
      </c>
      <c r="AJ58" s="5">
        <f t="shared" si="9"/>
        <v>1.4487116463648761E-2</v>
      </c>
      <c r="AK58" s="5">
        <f t="shared" si="10"/>
        <v>0.20949595304113316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0.16644146385043432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0.24687735491394092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3.1601037767609905E-2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0.12799257559941041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391086841.90630811</v>
      </c>
      <c r="N59" s="5">
        <f t="shared" si="3"/>
        <v>2.5374274958128426E-2</v>
      </c>
      <c r="O59" s="5">
        <f t="shared" si="4"/>
        <v>0.13375487142477255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8.099508252684294E-2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616020232.1791296</v>
      </c>
      <c r="AJ59" s="5">
        <f t="shared" si="9"/>
        <v>1.4564809688207723E-2</v>
      </c>
      <c r="AK59" s="5">
        <f t="shared" si="10"/>
        <v>0.21068391498049271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0.1648564734300644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0.24815518531422107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3.1569799330541617E-2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0.12781588537413366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381408868.40785849</v>
      </c>
      <c r="N60" s="5">
        <f t="shared" si="3"/>
        <v>2.5342039767939212E-2</v>
      </c>
      <c r="O60" s="5">
        <f t="shared" si="4"/>
        <v>0.13309202400025968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8.0972091379988287E-2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607176817.38679922</v>
      </c>
      <c r="AJ60" s="5">
        <f t="shared" si="9"/>
        <v>1.4265237776873208E-2</v>
      </c>
      <c r="AK60" s="5">
        <f t="shared" si="10"/>
        <v>0.21187339426421203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0.16325505207890736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0.24941548455143783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3.154668329204055E-2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0.12767904578431805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371982083.65101361</v>
      </c>
      <c r="N61" s="5">
        <f t="shared" si="3"/>
        <v>2.5268353755831564E-2</v>
      </c>
      <c r="O61" s="5">
        <f t="shared" si="4"/>
        <v>0.13244844610959297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8.0932829844922366E-2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598637116.57676983</v>
      </c>
      <c r="AJ61" s="5">
        <f t="shared" si="9"/>
        <v>1.3523344100402228E-2</v>
      </c>
      <c r="AK61" s="5">
        <f t="shared" si="10"/>
        <v>0.21315154508491707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0.16161185425416238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0.25060130682822751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3.1528333789918962E-2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0.12756161440147892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362814362.00419527</v>
      </c>
      <c r="N62" s="5">
        <f t="shared" si="3"/>
        <v>2.5193823304247125E-2</v>
      </c>
      <c r="O62" s="5">
        <f t="shared" si="4"/>
        <v>0.13178745308994894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8.0868528651987459E-2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590649559.34302318</v>
      </c>
      <c r="AJ62" s="5">
        <f t="shared" si="9"/>
        <v>1.3710407036118527E-2</v>
      </c>
      <c r="AK62" s="5">
        <f t="shared" si="10"/>
        <v>0.21454553415285585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0.15997815906302507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0.25172218146684777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3.1509084727901419E-2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0.12743017039554214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353898310.50174278</v>
      </c>
      <c r="N63" s="5">
        <f t="shared" si="3"/>
        <v>2.5046834811386174E-2</v>
      </c>
      <c r="O63" s="5">
        <f t="shared" si="4"/>
        <v>0.13112340876580242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8.0799080244182364E-2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582661039.32972479</v>
      </c>
      <c r="AJ63" s="5">
        <f t="shared" si="9"/>
        <v>1.251607466393719E-2</v>
      </c>
      <c r="AK63" s="5">
        <f t="shared" si="10"/>
        <v>0.21588264019577044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0.15843131786220357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0.25281217566037334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3.1492785954935862E-2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0.12730891644262604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345250869.01698679</v>
      </c>
      <c r="N64" s="5">
        <f t="shared" si="3"/>
        <v>2.4879994028622378E-2</v>
      </c>
      <c r="O64" s="5">
        <f t="shared" si="4"/>
        <v>0.13042150328401175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8.0686763360395347E-2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575458557.06351626</v>
      </c>
      <c r="AJ64" s="5">
        <f t="shared" si="9"/>
        <v>1.242392354907353E-2</v>
      </c>
      <c r="AK64" s="5">
        <f t="shared" si="10"/>
        <v>0.21738444946876989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0.15693399833652372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0.25380255448084055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3.146826360141685E-2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0.12716774265525049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336869556.46374416</v>
      </c>
      <c r="N65" s="5">
        <f t="shared" si="3"/>
        <v>2.4722785930462666E-2</v>
      </c>
      <c r="O65" s="5">
        <f t="shared" si="4"/>
        <v>0.12971939871320584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8.0550399375851844E-2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568396838.20018208</v>
      </c>
      <c r="AJ65" s="5">
        <f t="shared" si="9"/>
        <v>1.1535090700822058E-2</v>
      </c>
      <c r="AK65" s="5">
        <f t="shared" si="10"/>
        <v>0.21887432291540551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0.15549084913591266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0.25476098264887587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3.1446212196866725E-2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0.12704351431539213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>
        <f>((C66-C67)/$C$67)</f>
        <v>1.874386648942384E-2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328742135.03300005</v>
      </c>
      <c r="N66" s="5"/>
      <c r="O66" s="5">
        <f t="shared" si="4"/>
        <v>0.12900226694682423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8.033586540306506E-2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561915096.59479988</v>
      </c>
      <c r="AJ66" s="5"/>
      <c r="AK66" s="5">
        <f t="shared" si="10"/>
        <v>0.22050207006502626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0.15406986758850505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0.25563825841942445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3.1425048035980722E-2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0.12693577933389111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320824711</v>
      </c>
      <c r="N67" s="8"/>
      <c r="O67" s="5">
        <f t="shared" si="4"/>
        <v>0.12825514309410449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8.0054945592676258E-2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555878420</v>
      </c>
      <c r="AJ67" s="8"/>
      <c r="AK67" s="5">
        <f t="shared" si="10"/>
        <v>0.22222186713050515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0.15270985679124086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0.25642455579193102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3.1440172087422433E-2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0.12682546464614528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6813753981.0332737</v>
      </c>
      <c r="D2" s="5">
        <f t="shared" ref="D2:D65" si="1">((C2-C3)/C3)</f>
        <v>9.5970216014784337E-3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1.6343981277649456E-2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0.10203099257749167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233068817.83299503</v>
      </c>
      <c r="AJ2" s="5">
        <f t="shared" ref="AJ2:AJ66" si="9">((AI2-AI3)/AI3)</f>
        <v>2.6173646880506322E-2</v>
      </c>
      <c r="AK2" s="5">
        <f t="shared" ref="AK2:AK67" si="10">SUM(AI2/C2)</f>
        <v>3.420564030955095E-2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4.7900373221706406E-2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1.5748456733138592E-2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1.5226605378103822E-2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3.9742722504377957E-2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300361933.42560333</v>
      </c>
      <c r="CM2" s="6">
        <f t="shared" ref="CM2:CM66" si="24">((CL2-CL3)/CL3)</f>
        <v>9.7871899109260585E-3</v>
      </c>
      <c r="CN2" s="5">
        <f t="shared" ref="CN2:CN67" si="25">SUM(CL2/C2)</f>
        <v>4.408171094255664E-2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3.669708526221916E-2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173450331.68247336</v>
      </c>
      <c r="DI2" s="6">
        <f t="shared" ref="DI2:DI66" si="30">((DH2-DH3)/DH3)</f>
        <v>4.8175436555675478E-3</v>
      </c>
      <c r="DJ2" s="5">
        <f t="shared" ref="DJ2:DJ67" si="31">SUM(DH2/C2)</f>
        <v>2.5455913460522454E-2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2.992917900030459E-2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5.8979387015650635E-2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4.3762772392633785E-2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2.1553350174150714E-2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2.9018443295611464E-2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2.2948058402240127E-2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0.15190038804981057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2.9991351389159374E-2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1.0524816151729916E-2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1.8077653471763672E-2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8.8103783965925164E-2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1.0889875848693093E-2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5.4480853891580097E-2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6748983837.358119</v>
      </c>
      <c r="D3" s="5">
        <f t="shared" si="1"/>
        <v>9.775063187399834E-3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1.6134558525964505E-2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0.10254171630227296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227124150.51926872</v>
      </c>
      <c r="AJ3" s="5">
        <f t="shared" si="9"/>
        <v>2.6601162354114975E-2</v>
      </c>
      <c r="AK3" s="5">
        <f t="shared" si="10"/>
        <v>3.36530885230533E-2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4.7706969702683059E-2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1.5829118088566903E-2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1.521829313949819E-2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3.9899642601651457E-2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297450726.67449707</v>
      </c>
      <c r="CM3" s="7">
        <f t="shared" si="24"/>
        <v>9.9233757679989109E-3</v>
      </c>
      <c r="CN3" s="5">
        <f t="shared" si="25"/>
        <v>4.4073409248366752E-2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3.679100259556714E-2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172618733.39855704</v>
      </c>
      <c r="DI3" s="7">
        <f t="shared" si="30"/>
        <v>4.5133056662651719E-3</v>
      </c>
      <c r="DJ3" s="5">
        <f t="shared" si="31"/>
        <v>2.5576996116518841E-2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2.9873121702004093E-2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5.9214671800085411E-2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4.3392504943717831E-2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2.1615272779736946E-2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2.8920497775253337E-2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2.2587116768245975E-2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0.15286149784137823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2.9957405168554566E-2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1.0499041762313106E-2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1.804919555324282E-2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8.7687192854712909E-2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1.086868868679425E-2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5.4555161322704153E-2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6683650729.1580877</v>
      </c>
      <c r="D4" s="5">
        <f t="shared" si="1"/>
        <v>9.767101234825026E-3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1.5916340077851018E-2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0.103050926446284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221238937.62057197</v>
      </c>
      <c r="AJ4" s="5">
        <f t="shared" si="9"/>
        <v>2.6835985727972213E-2</v>
      </c>
      <c r="AK4" s="5">
        <f t="shared" si="10"/>
        <v>3.310151092357283E-2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4.7499705428076841E-2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1.5907876974701595E-2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1.5210299260057359E-2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4.0035558023908242E-2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294528014.51228899</v>
      </c>
      <c r="CM4" s="6">
        <f t="shared" si="24"/>
        <v>9.7064593433542918E-3</v>
      </c>
      <c r="CN4" s="5">
        <f t="shared" si="25"/>
        <v>4.4066936835490428E-2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3.693666228110784E-2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171843152.72366047</v>
      </c>
      <c r="DI4" s="6">
        <f t="shared" si="30"/>
        <v>3.4030552743086985E-3</v>
      </c>
      <c r="DJ4" s="5">
        <f t="shared" si="31"/>
        <v>2.5710971396811284E-2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2.9808062558338351E-2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5.945362775059853E-2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4.3036297922746977E-2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2.1677846536318792E-2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2.8807345082635358E-2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2.2252582686506543E-2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0.15387219975635116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2.9912483710186087E-2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1.0472986951676429E-2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1.8009282924186035E-2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8.7220586533112904E-2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1.0847644343399345E-2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5.4617624685505087E-2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6619002263.9723339</v>
      </c>
      <c r="D5" s="5">
        <f t="shared" si="1"/>
        <v>9.9807088805101418E-3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1.5688460967935684E-2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0.10365851307218657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215456938.29937729</v>
      </c>
      <c r="AJ5" s="5">
        <f t="shared" si="9"/>
        <v>2.6887825535763805E-2</v>
      </c>
      <c r="AK5" s="5">
        <f t="shared" si="10"/>
        <v>3.2551271280283983E-2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4.7195489650210844E-2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1.5990950374498332E-2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1.5202787230652642E-2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4.0163310666798575E-2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291696672.6189217</v>
      </c>
      <c r="CM5" s="7">
        <f t="shared" si="24"/>
        <v>1.032550043833309E-2</v>
      </c>
      <c r="CN5" s="5">
        <f t="shared" si="25"/>
        <v>4.4069583448648433E-2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3.7103228872455415E-2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171260344.30569106</v>
      </c>
      <c r="DI5" s="7">
        <f t="shared" si="30"/>
        <v>3.0275942715009968E-3</v>
      </c>
      <c r="DJ5" s="5">
        <f t="shared" si="31"/>
        <v>2.587404226130461E-2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2.9730810786468487E-2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5.9708867780726205E-2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4.2690390216031285E-2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2.1732910375705211E-2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2.8732186659199556E-2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2.1935882694092409E-2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0.15487409346713263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2.985265385222027E-2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1.0450442288321669E-2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1.795608079681903E-2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8.6703234144959535E-2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1.0817831094792075E-2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5.4664081914449096E-2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6553592762.4885178</v>
      </c>
      <c r="D6" s="5">
        <f t="shared" si="1"/>
        <v>1.0017077690113077E-2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1.5454079493550019E-2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0.10437697951274148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209815456.89955547</v>
      </c>
      <c r="AJ6" s="5">
        <f t="shared" si="9"/>
        <v>2.7021475623046111E-2</v>
      </c>
      <c r="AK6" s="5">
        <f t="shared" si="10"/>
        <v>3.2015333345168789E-2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4.6888498574174632E-2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1.6075053713724866E-2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1.5185821159510858E-2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4.0263911159970453E-2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288715540.18221664</v>
      </c>
      <c r="CM6" s="6">
        <f t="shared" si="24"/>
        <v>1.0450858804856659E-2</v>
      </c>
      <c r="CN6" s="5">
        <f t="shared" si="25"/>
        <v>4.4054543918988665E-2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3.7294416497266544E-2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170743402.55820924</v>
      </c>
      <c r="DI6" s="6">
        <f t="shared" si="30"/>
        <v>4.0461907365260345E-3</v>
      </c>
      <c r="DJ6" s="5">
        <f t="shared" si="31"/>
        <v>2.6053404406741757E-2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2.9656955451811108E-2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5.993028895944956E-2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4.2370479349741773E-2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2.1783847429575207E-2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2.8568237897948247E-2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2.1641697356193441E-2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0.15591375110228414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2.9772772293425391E-2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1.0428975318928571E-2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1.7893470700959837E-2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8.6160278276923949E-2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1.077616891349889E-2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5.4704411172032015E-2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6488595992.3335562</v>
      </c>
      <c r="D7" s="5">
        <f t="shared" si="1"/>
        <v>1.03548475285569E-2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1.5213640612190167E-2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0.10496525159634663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204295101.78671795</v>
      </c>
      <c r="AJ7" s="5">
        <f t="shared" si="9"/>
        <v>2.7150655635138621E-2</v>
      </c>
      <c r="AK7" s="5">
        <f t="shared" si="10"/>
        <v>3.1485255366199082E-2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4.6733623773061859E-2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1.6175961670035096E-2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1.5159511307118121E-2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4.03585829045323E-2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285729422.33302099</v>
      </c>
      <c r="CM7" s="7">
        <f t="shared" si="24"/>
        <v>1.0479656223253378E-2</v>
      </c>
      <c r="CN7" s="5">
        <f t="shared" si="25"/>
        <v>4.4035631540416093E-2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3.7504155693105806E-2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170055326.27234915</v>
      </c>
      <c r="DI7" s="7">
        <f t="shared" si="30"/>
        <v>4.4050361488427326E-3</v>
      </c>
      <c r="DJ7" s="5">
        <f t="shared" si="31"/>
        <v>2.6208339442504034E-2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2.9578904583006205E-2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6.0211239248040824E-2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4.2071383618658413E-2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2.1827870011992937E-2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2.8395557178518986E-2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2.1366447572754164E-2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0.15696480700476487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2.965924300038103E-2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1.0399083960567717E-2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1.784805868213973E-2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8.5558796204438778E-2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1.0723266101232346E-2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5.4737578849492416E-2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6422096165.7237568</v>
      </c>
      <c r="D8" s="5">
        <f t="shared" si="1"/>
        <v>1.0842017656342316E-2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1.4971350889960813E-2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0.10548123771344194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198894972.87074414</v>
      </c>
      <c r="AJ8" s="5">
        <f t="shared" si="9"/>
        <v>2.7008038178386786E-2</v>
      </c>
      <c r="AK8" s="5">
        <f t="shared" si="10"/>
        <v>3.0970413356980475E-2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4.6520945404479264E-2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1.6261090199609605E-2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1.5134503368663326E-2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4.0446861048368227E-2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282766130.49386567</v>
      </c>
      <c r="CM8" s="6">
        <f t="shared" si="24"/>
        <v>1.1289523074769091E-2</v>
      </c>
      <c r="CN8" s="5">
        <f t="shared" si="25"/>
        <v>4.4030192509893464E-2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3.7749633439855157E-2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169309511.75273544</v>
      </c>
      <c r="DI8" s="6">
        <f t="shared" si="30"/>
        <v>4.4028701081042206E-3</v>
      </c>
      <c r="DJ8" s="5">
        <f t="shared" si="31"/>
        <v>2.6363590233416351E-2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2.9514690036370368E-2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6.0558281317451168E-2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4.1796857708410871E-2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2.1868524479712961E-2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2.8173316184295982E-2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2.1116208728930629E-2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0.15808410678315962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2.9515900818223608E-2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1.0359731959188068E-2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1.7822999403875772E-2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8.4908453355427294E-2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1.0668261418713475E-2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5.4781114938328546E-2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6353214501.9194164</v>
      </c>
      <c r="D9" s="5">
        <f t="shared" si="1"/>
        <v>1.1492962111562182E-2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1.4731433868275027E-2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0.10604800328343031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193664475.32730699</v>
      </c>
      <c r="AJ9" s="5">
        <f t="shared" si="9"/>
        <v>2.7051172526850985E-2</v>
      </c>
      <c r="AK9" s="5">
        <f t="shared" si="10"/>
        <v>3.0482911488160454E-2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4.6121339428705992E-2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1.6355578419902914E-2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1.5126465481410901E-2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4.0582114213076628E-2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279609472.89766347</v>
      </c>
      <c r="CM9" s="7">
        <f t="shared" si="24"/>
        <v>1.1402447274971072E-2</v>
      </c>
      <c r="CN9" s="5">
        <f t="shared" si="25"/>
        <v>4.4010708722834496E-2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3.8013071695479073E-2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168567331.68684852</v>
      </c>
      <c r="DI9" s="7">
        <f t="shared" si="30"/>
        <v>3.887085196919758E-3</v>
      </c>
      <c r="DJ9" s="5">
        <f t="shared" si="31"/>
        <v>2.6532605130193763E-2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2.9474766353653224E-2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6.0841031073990783E-2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4.155377351172107E-2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2.1907353308634386E-2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2.7937795973798651E-2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2.0871369259779417E-2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0.15925260769775823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2.9370977622941698E-2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1.0320750735288738E-2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1.7801937978672369E-2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8.4229429199987368E-2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1.0607254160020754E-2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5.4837234777393565E-2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6281026897.7617378</v>
      </c>
      <c r="D10" s="5">
        <f t="shared" si="1"/>
        <v>1.1118298934828193E-2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1.4500906189933861E-2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0.10614939985753689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188563608.61828807</v>
      </c>
      <c r="AJ10" s="5">
        <f t="shared" si="9"/>
        <v>2.6925659092733326E-2</v>
      </c>
      <c r="AK10" s="5">
        <f t="shared" si="10"/>
        <v>3.002114330786949E-2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4.5777580471823329E-2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1.6453233020322977E-2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1.5131017638130035E-2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4.0756250838557551E-2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276457184.42843133</v>
      </c>
      <c r="CM10" s="6">
        <f t="shared" si="24"/>
        <v>1.1324057015468935E-2</v>
      </c>
      <c r="CN10" s="5">
        <f t="shared" si="25"/>
        <v>4.4014647433996447E-2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3.8262790275231391E-2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167914633.20178366</v>
      </c>
      <c r="DI10" s="6">
        <f t="shared" si="30"/>
        <v>2.5996947195854343E-3</v>
      </c>
      <c r="DJ10" s="5">
        <f t="shared" si="31"/>
        <v>2.6733627468084959E-2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2.9466433463121205E-2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6.1173257239188934E-2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4.135261605059435E-2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2.1954348722521465E-2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2.7640418906003307E-2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2.0673405517178649E-2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0.16051255655536534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2.9252882122006118E-2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1.0293109954474208E-2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1.7791178083644364E-2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8.3559270341847972E-2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1.052886428854454E-2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5.4921275771802523E-2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6211960464.347785</v>
      </c>
      <c r="D11" s="5">
        <f t="shared" si="1"/>
        <v>1.1275767828846019E-2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1.4275291021734431E-2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0.10657550753142672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183619531.70483631</v>
      </c>
      <c r="AJ11" s="5">
        <f t="shared" si="9"/>
        <v>2.6741198654798334E-2</v>
      </c>
      <c r="AK11" s="5">
        <f t="shared" si="10"/>
        <v>2.9559030962718006E-2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4.5494416160856622E-2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1.653348126620564E-2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1.5132623476503265E-2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4.092595982844776E-2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273361621.83690912</v>
      </c>
      <c r="CM11" s="7">
        <f t="shared" si="24"/>
        <v>1.2222382560985066E-2</v>
      </c>
      <c r="CN11" s="5">
        <f t="shared" si="25"/>
        <v>4.4005692471130411E-2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3.8516424122153274E-2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167479238.31030816</v>
      </c>
      <c r="DI11" s="7">
        <f t="shared" si="30"/>
        <v>2.4464727889216844E-3</v>
      </c>
      <c r="DJ11" s="5">
        <f t="shared" si="31"/>
        <v>2.6960770158071568E-2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2.946247648731001E-2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6.146841749332986E-2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4.1164151700408852E-2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2.1986909119922755E-2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2.7292069556453517E-2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2.0476075615699956E-2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0.16167561810745665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2.912375249365734E-2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1.0263851696476627E-2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1.7764981468540518E-2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8.2824761607781322E-2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1.0439702182843952E-2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5.4956268470470325E-2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6142696840.9265118</v>
      </c>
      <c r="D12" s="5">
        <f t="shared" si="1"/>
        <v>1.1238076933805519E-2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1.4056406811246829E-2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0.10688292685369591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178837210.33636171</v>
      </c>
      <c r="AJ12" s="5">
        <f t="shared" si="9"/>
        <v>2.6647436145791459E-2</v>
      </c>
      <c r="AK12" s="5">
        <f t="shared" si="10"/>
        <v>2.9113793984563208E-2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4.5414215941218944E-2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1.6613280424111383E-2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1.5139952243827791E-2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4.109619165185302E-2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270060834.99683869</v>
      </c>
      <c r="CM12" s="6">
        <f t="shared" si="24"/>
        <v>1.1292109203020826E-2</v>
      </c>
      <c r="CN12" s="5">
        <f t="shared" si="25"/>
        <v>4.3964539027471362E-2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3.8773550955882211E-2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167070504.8663213</v>
      </c>
      <c r="DI12" s="6">
        <f t="shared" si="30"/>
        <v>2.3170878390572436E-3</v>
      </c>
      <c r="DJ12" s="5">
        <f t="shared" si="31"/>
        <v>2.7198233803952761E-2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2.9473666757600787E-2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6.1733405700247927E-2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4.0880380313134616E-2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2.2016795689504303E-2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2.6920725653114024E-2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2.0284451122344921E-2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0.16286773022258144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2.9004395463498835E-2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1.0235772991755224E-2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1.7764903025222708E-2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8.208240813468376E-2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1.0362717368853703E-2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5.4970572208322903E-2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6074431907.8172979</v>
      </c>
      <c r="D13" s="5">
        <f t="shared" si="1"/>
        <v>1.1334229231707431E-2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1.3845219097008738E-2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0.10718407149717825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174195350.84775248</v>
      </c>
      <c r="AJ13" s="5">
        <f t="shared" si="9"/>
        <v>2.6522370132894491E-2</v>
      </c>
      <c r="AK13" s="5">
        <f t="shared" si="10"/>
        <v>2.8676813484990637E-2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4.5388425801500792E-2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1.6678904650301044E-2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1.5129598323442479E-2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4.1256844414014476E-2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267045329.96867567</v>
      </c>
      <c r="CM13" s="7">
        <f t="shared" si="24"/>
        <v>1.0476337739103551E-2</v>
      </c>
      <c r="CN13" s="5">
        <f t="shared" si="25"/>
        <v>4.3962190048588763E-2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3.899951041873418E-2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166684282.74181825</v>
      </c>
      <c r="DI13" s="7">
        <f t="shared" si="30"/>
        <v>2.5623503250397552E-3</v>
      </c>
      <c r="DJ13" s="5">
        <f t="shared" si="31"/>
        <v>2.7440308043836854E-2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2.9490290536406095E-2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6.2060559984585373E-2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4.0583289625096219E-2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2.2042124559431664E-2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2.6537187624577546E-2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2.0094778880060681E-2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0.16403590908341023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2.888807371660862E-2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1.0199593871953204E-2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1.7779621749370662E-2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8.1330881811689182E-2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1.0292469907106099E-2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5.4946687017239794E-2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6006354508.9657803</v>
      </c>
      <c r="D14" s="5">
        <f t="shared" si="1"/>
        <v>1.1445243835614268E-2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1.3634824431886607E-2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0.10746710025147495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169694646.62051252</v>
      </c>
      <c r="AJ14" s="5">
        <f t="shared" si="9"/>
        <v>2.6150647394314257E-2</v>
      </c>
      <c r="AK14" s="5">
        <f t="shared" si="10"/>
        <v>2.8252519288897555E-2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4.542679162387931E-2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1.6737345308976935E-2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1.5110704761586958E-2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4.1407591922438799E-2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264276678.23095974</v>
      </c>
      <c r="CM14" s="6">
        <f t="shared" si="24"/>
        <v>1.0043210205247515E-2</v>
      </c>
      <c r="CN14" s="5">
        <f t="shared" si="25"/>
        <v>4.399951382098239E-2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3.9196462223296133E-2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166258270.80757391</v>
      </c>
      <c r="DI14" s="6">
        <f t="shared" si="30"/>
        <v>2.8659742822289818E-3</v>
      </c>
      <c r="DJ14" s="5">
        <f t="shared" si="31"/>
        <v>2.7680395913927087E-2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2.9513217579927083E-2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6.2390591363050141E-2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4.0297263094943574E-2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2.2068166292321341E-2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2.6156835582091875E-2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1.9904405023208695E-2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0.16518479646002518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2.8770259323480072E-2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1.0153222192970492E-2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1.7786799535692302E-2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8.0577744945298832E-2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1.0228539900715936E-2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5.4897720295225341E-2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5938388207.9354229</v>
      </c>
      <c r="D15" s="5">
        <f t="shared" si="1"/>
        <v>1.1659760981753366E-2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1.342772660930523E-2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0.10772306695924784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165370111.15416148</v>
      </c>
      <c r="AJ15" s="5">
        <f t="shared" si="9"/>
        <v>2.6090232428082928E-2</v>
      </c>
      <c r="AK15" s="5">
        <f t="shared" si="10"/>
        <v>2.7847642384372692E-2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4.5438746699630425E-2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1.6781742826832723E-2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1.5101907168003819E-2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4.1550644579851623E-2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261648883.49406058</v>
      </c>
      <c r="CM15" s="7">
        <f t="shared" si="24"/>
        <v>9.8025622980248972E-3</v>
      </c>
      <c r="CN15" s="5">
        <f t="shared" si="25"/>
        <v>4.4060589225948743E-2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3.9399783070353731E-2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165783140.59021521</v>
      </c>
      <c r="DI15" s="7">
        <f t="shared" si="30"/>
        <v>3.0430106121260101E-3</v>
      </c>
      <c r="DJ15" s="5">
        <f t="shared" si="31"/>
        <v>2.791719483220724E-2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2.9533758245679793E-2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6.2735436875496639E-2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4.0029585784048576E-2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2.2096895468256571E-2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2.5798964976260719E-2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1.9710936305285014E-2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0.16633755605114775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2.8657088698920734E-2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1.0104612304903322E-2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1.777595728349236E-2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7.9816234093572733E-2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1.018223543519552E-2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5.4823739630290587E-2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5869946040.1316977</v>
      </c>
      <c r="D16" s="5">
        <f t="shared" si="1"/>
        <v>1.1927712979379225E-2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1.322355189194621E-2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0.10796031082529771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161165271.75474504</v>
      </c>
      <c r="AJ16" s="5">
        <f t="shared" si="9"/>
        <v>2.6158287820417528E-2</v>
      </c>
      <c r="AK16" s="5">
        <f t="shared" si="10"/>
        <v>2.7456005669028116E-2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4.546507385562807E-2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1.683571523443872E-2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1.5097268443943214E-2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4.1675526031169426E-2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259108951.85155973</v>
      </c>
      <c r="CM16" s="6">
        <f t="shared" si="24"/>
        <v>9.6199579153218896E-3</v>
      </c>
      <c r="CN16" s="5">
        <f t="shared" si="25"/>
        <v>4.414162414442678E-2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3.9655457331165413E-2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165280191.21437564</v>
      </c>
      <c r="DI16" s="6">
        <f t="shared" si="30"/>
        <v>2.9107439483587018E-3</v>
      </c>
      <c r="DJ16" s="5">
        <f t="shared" si="31"/>
        <v>2.8157020538926016E-2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2.9551513035570007E-2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6.3018497995496761E-2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3.9761984230318188E-2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2.2127236206260857E-2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2.5473671054940524E-2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1.9505258692382788E-2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0.16749476189169293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2.8551241838029755E-2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1.0055585234035203E-2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1.7758879257844938E-2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7.9057304518731192E-2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1.0133396790475143E-2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5.4723999181049067E-2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5800756284.1114855</v>
      </c>
      <c r="D17" s="5">
        <f t="shared" si="1"/>
        <v>1.1879836063783468E-2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1.3014372002494399E-2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0.10817273441415649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157056931.34054744</v>
      </c>
      <c r="AJ17" s="5">
        <f t="shared" si="9"/>
        <v>2.6461920645391532E-2</v>
      </c>
      <c r="AK17" s="5">
        <f t="shared" si="10"/>
        <v>2.7075250820437494E-2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4.5449503360284624E-2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1.689384229923388E-2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1.5083841748916452E-2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4.1775461740475424E-2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256640085.03414661</v>
      </c>
      <c r="CM17" s="7">
        <f t="shared" si="24"/>
        <v>9.5436242263866738E-3</v>
      </c>
      <c r="CN17" s="5">
        <f t="shared" si="25"/>
        <v>4.4242521572074069E-2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3.9924779349891436E-2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164800499.15876278</v>
      </c>
      <c r="DI17" s="7">
        <f t="shared" si="30"/>
        <v>2.518036183040087E-3</v>
      </c>
      <c r="DJ17" s="5">
        <f t="shared" si="31"/>
        <v>2.841017465432193E-2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2.9563389648236401E-2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6.3285127175430556E-2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3.9559296708140561E-2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2.2154972576228813E-2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2.5140763201003325E-2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1.9295376025842876E-2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0.16868498681883115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2.8454387376171061E-2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1.000812086864572E-2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1.7750468928240518E-2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7.8322095723026924E-2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1.0059059345131995E-2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5.4605926882134885E-2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5732653302.6653147</v>
      </c>
      <c r="D18" s="5">
        <f t="shared" si="1"/>
        <v>1.1971402545189469E-2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1.2810004480168058E-2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0.10832850059980682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153008044.60607496</v>
      </c>
      <c r="AJ18" s="5">
        <f t="shared" si="9"/>
        <v>2.6214811496022485E-2</v>
      </c>
      <c r="AK18" s="5">
        <f t="shared" si="10"/>
        <v>2.6690615414495078E-2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4.548862734451195E-2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1.6928657298728188E-2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1.5060238925859887E-2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4.1984488163807544E-2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254213962.502918</v>
      </c>
      <c r="CM18" s="6">
        <f t="shared" si="24"/>
        <v>9.4135751979653338E-3</v>
      </c>
      <c r="CN18" s="5">
        <f t="shared" si="25"/>
        <v>4.4344904371719965E-2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4.025847683887334E-2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164386567.83295363</v>
      </c>
      <c r="DI18" s="6">
        <f t="shared" si="30"/>
        <v>2.0020320629909986E-3</v>
      </c>
      <c r="DJ18" s="5">
        <f t="shared" si="31"/>
        <v>2.8675476983149227E-2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2.9562450798710824E-2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6.3629114473623447E-2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3.9339227097376424E-2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2.2166162140144198E-2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2.4821205687445374E-2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1.9085084586082379E-2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0.16985420832838011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2.8350036903457759E-2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9.9574800798256265E-3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1.7690643698111616E-2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7.7576751440368449E-2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9.9722881704337064E-3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5.4435817328116524E-2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5664837255.5264215</v>
      </c>
      <c r="D19" s="5">
        <f t="shared" si="1"/>
        <v>1.2046776098881027E-2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1.260803012549846E-2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0.1084657782617916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149099431.12496969</v>
      </c>
      <c r="AJ19" s="5">
        <f t="shared" si="9"/>
        <v>2.6387176230310221E-2</v>
      </c>
      <c r="AK19" s="5">
        <f t="shared" si="10"/>
        <v>2.6320161444975915E-2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4.5554406505360925E-2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1.6931457806491221E-2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1.5030194107028135E-2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4.2348665986435129E-2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251843217.43747282</v>
      </c>
      <c r="CM19" s="7">
        <f t="shared" si="24"/>
        <v>8.2021099845924379E-3</v>
      </c>
      <c r="CN19" s="5">
        <f t="shared" si="25"/>
        <v>4.445727318852509E-2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4.0628192268773677E-2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164058118.22008306</v>
      </c>
      <c r="DI19" s="7">
        <f t="shared" si="30"/>
        <v>2.3523610402285894E-3</v>
      </c>
      <c r="DJ19" s="5">
        <f t="shared" si="31"/>
        <v>2.8960782246662702E-2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2.9555766463344364E-2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6.3824892298640898E-2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3.9127229703506669E-2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2.2161657219145901E-2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2.4565780381270132E-2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1.887505639147579E-2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0.1710137901321101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2.8233098779253857E-2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9.9028237403466658E-3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1.7616785093608232E-2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7.683040461098059E-2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9.8915466336143426E-3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5.4225459245239097E-2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5597406552.0593529</v>
      </c>
      <c r="D20" s="5">
        <f t="shared" si="1"/>
        <v>1.2335749880559587E-2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1.241312693397869E-2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0.10860633000909763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145266264.60063389</v>
      </c>
      <c r="AJ20" s="5">
        <f t="shared" si="9"/>
        <v>2.6542811027803072E-2</v>
      </c>
      <c r="AK20" s="5">
        <f t="shared" si="10"/>
        <v>2.595242336778069E-2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4.5658364566983994E-2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1.6956796109114849E-2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1.5003683679449037E-2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4.2708406354634111E-2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249794376.48798567</v>
      </c>
      <c r="CM20" s="6">
        <f t="shared" si="24"/>
        <v>7.4819151986639043E-3</v>
      </c>
      <c r="CN20" s="5">
        <f t="shared" si="25"/>
        <v>4.4626806033248263E-2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4.0984330184971496E-2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163673099.99631828</v>
      </c>
      <c r="DI20" s="6">
        <f t="shared" si="30"/>
        <v>2.3284568347817177E-3</v>
      </c>
      <c r="DJ20" s="5">
        <f t="shared" si="31"/>
        <v>2.9240881196328502E-2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2.9541906569076213E-2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6.4055737283897712E-2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3.8906059331486567E-2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2.2138283581289182E-2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2.4342050213260365E-2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1.8659298885657368E-2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0.17214155832997208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2.8097601957611601E-2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9.8549208289692297E-3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1.7526283451308532E-2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7.6079739934057936E-2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9.7880145800240473E-3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5.4007659161785682E-2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5529199727.1851387</v>
      </c>
      <c r="D21" s="5">
        <f t="shared" si="1"/>
        <v>1.2755837456237479E-2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1.2220325199153064E-2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0.10880284008458758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141510186.46284151</v>
      </c>
      <c r="AJ21" s="5">
        <f t="shared" si="9"/>
        <v>2.6696017212959323E-2</v>
      </c>
      <c r="AK21" s="5">
        <f t="shared" si="10"/>
        <v>2.5593249194288549E-2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4.5741543274100571E-2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1.6957801952735232E-2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1.4985203756378157E-2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4.3041497658265447E-2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247939315.55459145</v>
      </c>
      <c r="CM21" s="7">
        <f t="shared" si="24"/>
        <v>6.3077443655500109E-3</v>
      </c>
      <c r="CN21" s="5">
        <f t="shared" si="25"/>
        <v>4.4841808541579833E-2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4.1354829553301574E-2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163292879.57480115</v>
      </c>
      <c r="DI21" s="7">
        <f t="shared" si="30"/>
        <v>1.8734812028764851E-3</v>
      </c>
      <c r="DJ21" s="5">
        <f t="shared" si="31"/>
        <v>2.9532823488351713E-2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2.9520127447680962E-2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6.4242211895107815E-2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3.8641779240363952E-2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2.2100422347941517E-2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2.4138757431482454E-2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1.8427886103565758E-2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0.17328162181055726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2.795148433597788E-2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9.8148580820258385E-3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1.7438299872897869E-2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7.5342375553732507E-2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9.6579756058822221E-3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5.3798401559684142E-2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5459558486.5479116</v>
      </c>
      <c r="D22" s="5">
        <f t="shared" si="1"/>
        <v>1.307628882847053E-2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1.2028597917908107E-2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0.10907738457974639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137830656.87444776</v>
      </c>
      <c r="AJ22" s="5">
        <f t="shared" si="9"/>
        <v>2.682556767626551E-2</v>
      </c>
      <c r="AK22" s="5">
        <f t="shared" si="10"/>
        <v>2.5245751504275639E-2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4.5789127335621925E-2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1.6989924795839609E-2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1.4992721899789395E-2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4.314478825749947E-2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246385180.81852835</v>
      </c>
      <c r="CM22" s="6">
        <f t="shared" si="24"/>
        <v>5.0782809559238437E-3</v>
      </c>
      <c r="CN22" s="5">
        <f t="shared" si="25"/>
        <v>4.5129140282242519E-2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4.1745314564276388E-2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162987525.50945583</v>
      </c>
      <c r="DI22" s="6">
        <f t="shared" si="30"/>
        <v>2.3910375785993138E-3</v>
      </c>
      <c r="DJ22" s="5">
        <f t="shared" si="31"/>
        <v>2.9853609208702357E-2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2.9481799730035264E-2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6.4469467846560047E-2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3.8336597674235098E-2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2.2051472108868406E-2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2.3935587665463724E-2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1.8200453542041483E-2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0.17443253384959376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2.7795175987638379E-2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9.7729463752523268E-3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1.7326801876261459E-2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7.4620489091909603E-2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9.5199524010665618E-3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5.3618536132363948E-2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5389089199.6508856</v>
      </c>
      <c r="D23" s="5">
        <f t="shared" si="1"/>
        <v>1.3151345482118149E-2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1.1836835124554145E-2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0.10942085400525316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134229864.55855626</v>
      </c>
      <c r="AJ23" s="5">
        <f t="shared" si="9"/>
        <v>2.4181094492947947E-2</v>
      </c>
      <c r="AK23" s="5">
        <f t="shared" si="10"/>
        <v>2.4907708814181792E-2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4.5892422440819342E-2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1.7047743718822259E-2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1.5002288945310541E-2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4.3235636543132776E-2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245140289.55455381</v>
      </c>
      <c r="CM23" s="7">
        <f t="shared" si="24"/>
        <v>3.0478002519516759E-3</v>
      </c>
      <c r="CN23" s="5">
        <f t="shared" si="25"/>
        <v>4.5488259791735201E-2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4.2157692966415639E-2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162598745.79801965</v>
      </c>
      <c r="DI23" s="7">
        <f t="shared" si="30"/>
        <v>3.0851281900213688E-3</v>
      </c>
      <c r="DJ23" s="5">
        <f t="shared" si="31"/>
        <v>3.017184161816306E-2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2.9416770441632226E-2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6.4713343152503974E-2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3.7774698039684862E-2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2.198651133836825E-2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2.3722966132647325E-2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1.7971481231244625E-2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0.17559569404015835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2.7623650816142022E-2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9.8060784856923103E-3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1.7201333697490082E-2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7.3899726592363102E-2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9.3783935538375076E-3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5.3439977466263527E-2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5319135412.1791487</v>
      </c>
      <c r="D24" s="5">
        <f t="shared" si="1"/>
        <v>1.2968056891963235E-2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1.1682028352378682E-2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0.10978990072337061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131060674.01586908</v>
      </c>
      <c r="AJ24" s="5">
        <f t="shared" si="9"/>
        <v>2.5344349855110256E-2</v>
      </c>
      <c r="AK24" s="5">
        <f t="shared" si="10"/>
        <v>2.4639469361088517E-2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4.6059868540567366E-2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1.7040905830907345E-2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1.5006724347119634E-2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4.3425759769443559E-2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244395421.12846264</v>
      </c>
      <c r="CM24" s="6">
        <f t="shared" si="24"/>
        <v>-8.2408355086028477E-4</v>
      </c>
      <c r="CN24" s="5">
        <f t="shared" si="25"/>
        <v>4.5946455991489506E-2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4.2538274605946037E-2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162098650.68123853</v>
      </c>
      <c r="DI24" s="6">
        <f t="shared" si="30"/>
        <v>3.6615041918073056E-3</v>
      </c>
      <c r="DJ24" s="5">
        <f t="shared" si="31"/>
        <v>3.0474623810118381E-2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2.931413688840508E-2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6.4941571891548144E-2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3.7146621198227286E-2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2.1877789568576327E-2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2.3550260452896928E-2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1.7738933235416785E-2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0.17668456085835538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2.7430825394316901E-2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9.8185274265365028E-3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1.7072726123437024E-2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7.3158502729938985E-2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9.2365878094696242E-3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5.3256187565267697E-2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5251039631.4959555</v>
      </c>
      <c r="D25" s="5">
        <f t="shared" si="1"/>
        <v>1.3484154449169311E-2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1.1540056848375689E-2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0.11012637000028595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127821130.56397985</v>
      </c>
      <c r="AJ25" s="5">
        <f t="shared" si="9"/>
        <v>2.7056239535804608E-2</v>
      </c>
      <c r="AK25" s="5">
        <f t="shared" si="10"/>
        <v>2.4342061674283193E-2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4.6247300999476472E-2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1.70580081454774E-2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1.4997327556793942E-2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4.3694680527968134E-2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244596989.48408642</v>
      </c>
      <c r="CM25" s="7">
        <f t="shared" si="24"/>
        <v>-3.3822207865575736E-4</v>
      </c>
      <c r="CN25" s="5">
        <f t="shared" si="25"/>
        <v>4.6580678617808069E-2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4.2846866280709044E-2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161507291.05802214</v>
      </c>
      <c r="DI25" s="7">
        <f t="shared" si="30"/>
        <v>3.8848025844893746E-3</v>
      </c>
      <c r="DJ25" s="5">
        <f t="shared" si="31"/>
        <v>3.0757202838328366E-2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2.9167613458510645E-2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6.5136382752096073E-2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3.6772636290932033E-2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2.1699270757513232E-2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2.3409820215809223E-2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1.7491443225539909E-2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0.17767705560462305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2.7214397255787216E-2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9.7919078982408193E-3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1.692509826909485E-2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7.2380035688050195E-2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9.0886553669797965E-3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5.3050635566545712E-2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5181175856.0250072</v>
      </c>
      <c r="D26" s="5">
        <f t="shared" si="1"/>
        <v>1.4085256761843133E-2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1.1372047282916917E-2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0.11048242163470763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124453876.66575179</v>
      </c>
      <c r="AJ26" s="5">
        <f t="shared" si="9"/>
        <v>2.6681419961254216E-2</v>
      </c>
      <c r="AK26" s="5">
        <f t="shared" si="10"/>
        <v>2.4020392305547544E-2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4.6362808299220355E-2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1.7068527784536252E-2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1.4994545126484692E-2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4.3848017655664824E-2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244679745.57624018</v>
      </c>
      <c r="CM26" s="6">
        <f t="shared" si="24"/>
        <v>2.8940415772417175E-3</v>
      </c>
      <c r="CN26" s="5">
        <f t="shared" si="25"/>
        <v>4.722475213646931E-2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4.3128111714790238E-2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160882295.10221049</v>
      </c>
      <c r="DI26" s="6">
        <f t="shared" si="30"/>
        <v>3.975917472508278E-3</v>
      </c>
      <c r="DJ26" s="5">
        <f t="shared" si="31"/>
        <v>3.1051309504410301E-2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2.900365803878608E-2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6.5326034166905633E-2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3.649183283544135E-2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2.1477292274258375E-2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2.3337276087545496E-2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1.7226682701127767E-2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0.17872379524083393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2.6991612020272532E-2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9.8222973018729284E-3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1.6788213560851136E-2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7.1616632390703344E-2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8.9488058452867839E-3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5.2861716590915465E-2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5109211302.9721336</v>
      </c>
      <c r="D27" s="5">
        <f t="shared" si="1"/>
        <v>1.4217724359724543E-2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1.1211295567524784E-2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0.11086576846677323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121219566.50432861</v>
      </c>
      <c r="AJ27" s="5">
        <f t="shared" si="9"/>
        <v>2.7063987892222769E-2</v>
      </c>
      <c r="AK27" s="5">
        <f t="shared" si="10"/>
        <v>2.3725690584339834E-2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4.6439692969744088E-2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1.7118281428900844E-2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1.4997134092657332E-2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4.3912294354488457E-2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243973675.61525714</v>
      </c>
      <c r="CM27" s="7">
        <f t="shared" si="24"/>
        <v>5.8948933853863496E-3</v>
      </c>
      <c r="CN27" s="5">
        <f t="shared" si="25"/>
        <v>4.7751729405541052E-2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4.346802048081131E-2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160245173.51693937</v>
      </c>
      <c r="DI27" s="7">
        <f t="shared" si="30"/>
        <v>2.5977998994800478E-3</v>
      </c>
      <c r="DJ27" s="5">
        <f t="shared" si="31"/>
        <v>3.1363974596964009E-2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2.8829320168874462E-2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6.5546773061096214E-2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3.6103562161556968E-2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2.1359729820922619E-2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2.3272084878915959E-2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1.6907796058046941E-2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0.17980183487008958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2.6772654183050207E-2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9.7861880247073138E-3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1.6669801327000806E-2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7.0886150668580991E-2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8.8213368056850976E-3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5.2702818136304772E-2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5037588261.6304874</v>
      </c>
      <c r="D28" s="5">
        <f t="shared" si="1"/>
        <v>1.4780844277549917E-2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1.103999788162343E-2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0.11120091746126995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118025330.39163384</v>
      </c>
      <c r="AJ28" s="5">
        <f t="shared" si="9"/>
        <v>2.7248555783934706E-2</v>
      </c>
      <c r="AK28" s="5">
        <f t="shared" si="10"/>
        <v>2.3428935486965195E-2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4.643950233751299E-2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1.7215381576187135E-2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1.4994103153607217E-2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4.4033879500903081E-2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242543905.15310434</v>
      </c>
      <c r="CM28" s="6">
        <f t="shared" si="24"/>
        <v>1.0407413089787265E-2</v>
      </c>
      <c r="CN28" s="5">
        <f t="shared" si="25"/>
        <v>4.8146829902807803E-2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4.3854476706049042E-2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159829967.24409875</v>
      </c>
      <c r="DI28" s="6">
        <f t="shared" si="30"/>
        <v>2.535667714362231E-3</v>
      </c>
      <c r="DJ28" s="5">
        <f t="shared" si="31"/>
        <v>3.17274773052547E-2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2.862801646302187E-2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6.5852208508128021E-2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3.5713180581142853E-2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2.125098220313611E-2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2.3148591868682761E-2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1.6683907712129097E-2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0.18082062796341866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2.6542241513402974E-2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9.7105440693325568E-3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1.6658585065782276E-2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7.0155986637382664E-2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8.6965534683805835E-3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5.2549096971618581E-2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4964213002.2831516</v>
      </c>
      <c r="D29" s="5">
        <f t="shared" si="1"/>
        <v>1.5159035170536477E-2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1.0871561067161752E-2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0.11156955684963321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114894617.98421703</v>
      </c>
      <c r="AJ29" s="5">
        <f t="shared" si="9"/>
        <v>2.8023575624510275E-2</v>
      </c>
      <c r="AK29" s="5">
        <f t="shared" si="10"/>
        <v>2.3144578593097122E-2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4.6378177260789633E-2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1.7318850472996743E-2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1.4995734845806663E-2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4.4037805293654822E-2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240045650.90374222</v>
      </c>
      <c r="CM29" s="7">
        <f t="shared" si="24"/>
        <v>1.1248570706829251E-2</v>
      </c>
      <c r="CN29" s="5">
        <f t="shared" si="25"/>
        <v>4.8355227866600389E-2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4.4327786701289999E-2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159425716.60167283</v>
      </c>
      <c r="DI29" s="7">
        <f t="shared" si="30"/>
        <v>3.2598615138231791E-3</v>
      </c>
      <c r="DJ29" s="5">
        <f t="shared" si="31"/>
        <v>3.2115003229786755E-2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2.8414481187956534E-2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6.6173970314316544E-2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3.5344745903471878E-2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2.1125024415916058E-2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2.3027462552644342E-2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1.6517402719180684E-2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0.18187405299737541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2.6326149469882123E-2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9.6274900686635044E-3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1.6666859174008383E-2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6.9458960165485986E-2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8.5774621797365842E-3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5.2419188719551979E-2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4890084046.2393303</v>
      </c>
      <c r="D30" s="5">
        <f t="shared" si="1"/>
        <v>1.5236054786111923E-2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1.0705135314040173E-2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0.1119363668408213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111762629.4848541</v>
      </c>
      <c r="AJ30" s="5">
        <f t="shared" si="9"/>
        <v>2.7909858943748679E-2</v>
      </c>
      <c r="AK30" s="5">
        <f t="shared" si="10"/>
        <v>2.2854950636442339E-2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4.6354619823943954E-2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1.7441902219218052E-2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1.4990753892335597E-2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4.4056430195629062E-2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237375515.63208467</v>
      </c>
      <c r="CM30" s="6">
        <f t="shared" si="24"/>
        <v>1.1311302821290793E-2</v>
      </c>
      <c r="CN30" s="5">
        <f t="shared" si="25"/>
        <v>4.8542215918484247E-2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4.4891914169753099E-2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158907699.50779718</v>
      </c>
      <c r="DI30" s="6">
        <f t="shared" si="30"/>
        <v>3.233808741105587E-3</v>
      </c>
      <c r="DJ30" s="5">
        <f t="shared" si="31"/>
        <v>3.2495903547916226E-2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2.8185049649480046E-2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6.6425671228084487E-2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3.4907536412035117E-2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2.099606479951938E-2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2.2903817213092974E-2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1.6356126206240513E-2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0.18292053286958582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2.6122512281616085E-2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9.5453761595134246E-3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1.6672830844728086E-2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6.8792011227886821E-2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8.469080303119287E-3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5.2285166727575133E-2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4816696593.0593987</v>
      </c>
      <c r="D31" s="5">
        <f t="shared" si="1"/>
        <v>1.5547970986555373E-2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1.0539601981011225E-2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0.11226070846020554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108728045.0833483</v>
      </c>
      <c r="AJ31" s="5">
        <f t="shared" si="9"/>
        <v>2.6825626681037135E-2</v>
      </c>
      <c r="AK31" s="5">
        <f t="shared" si="10"/>
        <v>2.2573156308001541E-2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4.6388320419869532E-2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1.7549658636871114E-2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1.4979670726146258E-2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4.4135858499561906E-2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234720520.74358293</v>
      </c>
      <c r="CM31" s="7">
        <f t="shared" si="24"/>
        <v>1.2773423061340574E-2</v>
      </c>
      <c r="CN31" s="5">
        <f t="shared" si="25"/>
        <v>4.8730601192901089E-2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4.5465018049913396E-2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158395478.82382509</v>
      </c>
      <c r="DI31" s="7">
        <f t="shared" si="30"/>
        <v>3.69280625549143E-3</v>
      </c>
      <c r="DJ31" s="5">
        <f t="shared" si="31"/>
        <v>3.2884670180817387E-2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2.7934533326340296E-2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6.6698106572111379E-2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3.4524890525297725E-2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2.0861545028014808E-2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2.2772951766087953E-2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1.6188731927017624E-2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0.18389385785026116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2.5924681390339686E-2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9.461190684974783E-3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1.6676687859553889E-2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6.8133080843840232E-2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8.3656637948972355E-3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5.212382882582129E-2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4742953292.8712492</v>
      </c>
      <c r="D32" s="5">
        <f t="shared" si="1"/>
        <v>1.5839009997982274E-2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1.0375734798332363E-2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0.11256930056434025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105887545.32235929</v>
      </c>
      <c r="AJ32" s="5">
        <f t="shared" si="9"/>
        <v>2.7334772266751687E-2</v>
      </c>
      <c r="AK32" s="5">
        <f t="shared" si="10"/>
        <v>2.2325234676358784E-2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4.6468364227585907E-2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1.7670486838991147E-2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1.4963077354220471E-2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4.440738963424324E-2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231760150.2951037</v>
      </c>
      <c r="CM32" s="6">
        <f t="shared" si="24"/>
        <v>1.1618586629367534E-2</v>
      </c>
      <c r="CN32" s="5">
        <f t="shared" si="25"/>
        <v>4.8864101327635613E-2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4.6072658414251295E-2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157812707.07195374</v>
      </c>
      <c r="DI32" s="6">
        <f t="shared" si="30"/>
        <v>4.3687507482717356E-3</v>
      </c>
      <c r="DJ32" s="5">
        <f t="shared" si="31"/>
        <v>3.3273089007464889E-2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2.7675132751674648E-2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6.6830895711977867E-2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3.4103027007648168E-2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2.072552468694943E-2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2.263602133169702E-2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1.602427285710958E-2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0.18482641706232425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2.5737650730617703E-2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9.3772745420135743E-3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1.6671284481392344E-2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6.7495572495743339E-2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8.2701174466955647E-3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5.1936741998386111E-2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4669000940.2972918</v>
      </c>
      <c r="D33" s="5">
        <f t="shared" si="1"/>
        <v>1.6010655521446523E-2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1.0209134604513861E-2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0.11284385101653581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103070146.34453078</v>
      </c>
      <c r="AJ33" s="5">
        <f t="shared" si="9"/>
        <v>2.645170346686682E-2</v>
      </c>
      <c r="AK33" s="5">
        <f t="shared" si="10"/>
        <v>2.2075417774057662E-2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4.6615007019048166E-2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1.7779862933901314E-2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1.4923847148077726E-2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4.4714139788733648E-2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229098351.25440907</v>
      </c>
      <c r="CM33" s="7">
        <f t="shared" si="24"/>
        <v>1.1449134635817948E-2</v>
      </c>
      <c r="CN33" s="5">
        <f t="shared" si="25"/>
        <v>4.9067959973428832E-2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4.6687591771432842E-2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157126261.59901989</v>
      </c>
      <c r="DI33" s="7">
        <f t="shared" si="30"/>
        <v>4.4755089170675751E-3</v>
      </c>
      <c r="DJ33" s="5">
        <f t="shared" si="31"/>
        <v>3.365307987901478E-2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2.7417367442232683E-2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6.6973417083930717E-2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3.3678390580071577E-2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2.0586287012023589E-2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2.249704549340668E-2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1.5859680413310633E-2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0.18570979501539969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2.5568384494347045E-2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9.2938913680353404E-3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1.662367263036264E-2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6.6880685765262668E-2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8.1781556009552711E-3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5.1721584738198774E-2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4595425170.9112473</v>
      </c>
      <c r="D34" s="5">
        <f t="shared" si="1"/>
        <v>1.6370005623381999E-2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1.0051997916407186E-2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0.11308361944935749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100414024.34854823</v>
      </c>
      <c r="AJ34" s="5">
        <f t="shared" si="9"/>
        <v>2.7211526488978274E-2</v>
      </c>
      <c r="AK34" s="5">
        <f t="shared" si="10"/>
        <v>2.185086702840092E-2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4.6827236309800971E-2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1.7858225377996421E-2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1.4881082047046258E-2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4.5003612302433597E-2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226505064.27779797</v>
      </c>
      <c r="CM34" s="6">
        <f t="shared" si="24"/>
        <v>1.1432214334201598E-2</v>
      </c>
      <c r="CN34" s="5">
        <f t="shared" si="25"/>
        <v>4.9289250907959679E-2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4.736326432303016E-2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156426174.85857755</v>
      </c>
      <c r="DI34" s="6">
        <f t="shared" si="30"/>
        <v>4.976591220754569E-3</v>
      </c>
      <c r="DJ34" s="5">
        <f t="shared" si="31"/>
        <v>3.4039543467870047E-2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2.7160222866252453E-2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6.7048735764591139E-2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3.3290113329689341E-2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2.0443602696204696E-2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2.2367252973856222E-2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1.571833182461E-2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0.18652872588053762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2.5409197100562577E-2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9.2099819566140856E-3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1.657066768231848E-2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6.6285857100304241E-2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8.0735384490745257E-3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5.1477399304996417E-2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4521409669.2008162</v>
      </c>
      <c r="D35" s="5">
        <f t="shared" si="1"/>
        <v>1.6876660305443464E-2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9.898477019235517E-3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0.1133068309425975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97753989.085154265</v>
      </c>
      <c r="AJ35" s="5">
        <f t="shared" si="9"/>
        <v>2.9246809644607977E-2</v>
      </c>
      <c r="AK35" s="5">
        <f t="shared" si="10"/>
        <v>2.1620245949187086E-2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4.698428646198375E-2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1.7953064517730617E-2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1.4839217042577402E-2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4.5289494700433419E-2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223944878.428556</v>
      </c>
      <c r="CM35" s="7">
        <f t="shared" si="24"/>
        <v>1.0795091746062566E-2</v>
      </c>
      <c r="CN35" s="5">
        <f t="shared" si="25"/>
        <v>4.9529880018180143E-2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4.8090409986754103E-2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155651560.66825914</v>
      </c>
      <c r="DI35" s="7">
        <f t="shared" si="30"/>
        <v>5.5435581173416985E-3</v>
      </c>
      <c r="DJ35" s="5">
        <f t="shared" si="31"/>
        <v>3.4425449595628307E-2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2.6912569261952266E-2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6.7081207004121068E-2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3.2888557525802969E-2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2.0299082669868636E-2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2.2248143094602581E-2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1.5584093197710978E-2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0.18733484259565442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2.5265645973696248E-2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9.1280620830933336E-3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1.6514433510756602E-2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6.5732498829076086E-2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7.9621942434418055E-3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5.122617024047E-2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4446369796.5520239</v>
      </c>
      <c r="D36" s="5">
        <f t="shared" si="1"/>
        <v>1.7002245694723774E-2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9.7462149253776473E-3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0.11354225708741958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94976237.156283304</v>
      </c>
      <c r="AJ36" s="5">
        <f t="shared" si="9"/>
        <v>3.0045651865303832E-2</v>
      </c>
      <c r="AK36" s="5">
        <f t="shared" si="10"/>
        <v>2.1360399944676992E-2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4.7017394299283817E-2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1.8023950246526657E-2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1.4804078919308119E-2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4.5537364971688685E-2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221553191.40075192</v>
      </c>
      <c r="CM36" s="6">
        <f t="shared" si="24"/>
        <v>1.0227905421112718E-2</v>
      </c>
      <c r="CN36" s="5">
        <f t="shared" si="25"/>
        <v>4.9827882416023352E-2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4.8791604481160405E-2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154793454.15894496</v>
      </c>
      <c r="DI36" s="6">
        <f t="shared" si="30"/>
        <v>6.0291351961758053E-3</v>
      </c>
      <c r="DJ36" s="5">
        <f t="shared" si="31"/>
        <v>3.4813445853959533E-2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2.6684278622787085E-2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6.7082567384694314E-2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3.2496132694103487E-2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2.0148565153590235E-2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2.2137660590246137E-2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1.5458453249149785E-2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0.18818041554663281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2.5141858190779201E-2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9.0498914818976962E-3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1.6463213315935882E-2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6.524507932255072E-2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7.8412351263068246E-3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5.0993456705749639E-2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4372035376.8881474</v>
      </c>
      <c r="D37" s="5">
        <f t="shared" si="1"/>
        <v>1.7062009853949917E-2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9.5997824127755978E-3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0.11374573185867205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92205852.220521852</v>
      </c>
      <c r="AJ37" s="5">
        <f t="shared" si="9"/>
        <v>3.0602008705876656E-2</v>
      </c>
      <c r="AK37" s="5">
        <f t="shared" si="10"/>
        <v>2.1089914484212283E-2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4.7125041915258889E-2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1.8072297695680972E-2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1.4771477561341657E-2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4.5714114583825328E-2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219310108.35460702</v>
      </c>
      <c r="CM37" s="7">
        <f t="shared" si="24"/>
        <v>9.7873541953250771E-3</v>
      </c>
      <c r="CN37" s="5">
        <f t="shared" si="25"/>
        <v>5.0162015960333747E-2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4.9448874879981487E-2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153865776.58982036</v>
      </c>
      <c r="DI37" s="7">
        <f t="shared" si="30"/>
        <v>6.5761641827162768E-3</v>
      </c>
      <c r="DJ37" s="5">
        <f t="shared" si="31"/>
        <v>3.5193168244520547E-2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2.6465266746866067E-2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6.7040462247418761E-2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3.2149984289428869E-2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2.0008570772679108E-2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2.2036342779413388E-2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1.5330610428290608E-2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0.18901850948630125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2.5023784262608782E-2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8.9700563875401255E-3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1.6406075264077464E-2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6.479589746243411E-2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7.7069883577001799E-3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5.0800587124732191E-2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4298691067.5347824</v>
      </c>
      <c r="D38" s="5">
        <f t="shared" si="1"/>
        <v>1.7087873184267754E-2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9.4575747874754579E-3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0.11390826975670462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89467953.139645457</v>
      </c>
      <c r="AJ38" s="5">
        <f t="shared" si="9"/>
        <v>3.0709776091685209E-2</v>
      </c>
      <c r="AK38" s="5">
        <f t="shared" si="10"/>
        <v>2.0812836217828892E-2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4.7376369402871307E-2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1.8099860327825717E-2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1.4734489832322206E-2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4.589879657892483E-2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217184447.24371687</v>
      </c>
      <c r="CM38" s="6">
        <f t="shared" si="24"/>
        <v>9.4804119618983294E-3</v>
      </c>
      <c r="CN38" s="5">
        <f t="shared" si="25"/>
        <v>5.0523390453426562E-2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5.0072053495015541E-2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152860540.57792118</v>
      </c>
      <c r="DI38" s="6">
        <f t="shared" si="30"/>
        <v>7.2757710711842342E-3</v>
      </c>
      <c r="DJ38" s="5">
        <f t="shared" si="31"/>
        <v>3.5559787427474704E-2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2.6247218014189146E-2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6.6919383255583692E-2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3.1753661285015049E-2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1.9883538796422903E-2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2.194753039522971E-2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1.519349650263007E-2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0.18985191857849215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2.4912028416648167E-2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8.8894287486730467E-3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1.6330608058810429E-2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6.4372130451314125E-2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7.5917110530328716E-3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5.0640592714811625E-2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4226469689.4640689</v>
      </c>
      <c r="D39" s="5">
        <f t="shared" si="1"/>
        <v>1.7040711155025649E-2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9.3252585835841128E-3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0.11404998987382137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86802274.718782693</v>
      </c>
      <c r="AJ39" s="5">
        <f t="shared" si="9"/>
        <v>3.1245230367612755E-2</v>
      </c>
      <c r="AK39" s="5">
        <f t="shared" si="10"/>
        <v>2.0537772916050304E-2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4.7690020690117865E-2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1.8128498467000421E-2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1.469154148081629E-2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4.6070251077663354E-2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215144786.04059753</v>
      </c>
      <c r="CM39" s="7">
        <f t="shared" si="24"/>
        <v>9.620319404987995E-3</v>
      </c>
      <c r="CN39" s="5">
        <f t="shared" si="25"/>
        <v>5.0904135566598285E-2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5.0805444836768902E-2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151756395.7836116</v>
      </c>
      <c r="DI39" s="7">
        <f t="shared" si="30"/>
        <v>8.0121112410967005E-3</v>
      </c>
      <c r="DJ39" s="5">
        <f t="shared" si="31"/>
        <v>3.5906183395072407E-2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2.6031326987854275E-2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6.6683645761908009E-2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3.1283814020099762E-2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1.9748405802688371E-2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2.1858396378026827E-2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1.5049290392294403E-2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0.19068836485872492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2.4808073136241234E-2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8.8083090065408376E-3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1.6254788797620226E-2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6.3967750603085086E-2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7.5033535920160967E-3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5.0484491003885232E-2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4155654383.4554877</v>
      </c>
      <c r="D40" s="5">
        <f t="shared" si="1"/>
        <v>1.7115529076990144E-2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9.1981425536980695E-3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0.11417364762501733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84172292.062713236</v>
      </c>
      <c r="AJ40" s="5">
        <f t="shared" si="9"/>
        <v>3.1125293387131894E-2</v>
      </c>
      <c r="AK40" s="5">
        <f t="shared" si="10"/>
        <v>2.025488269616944E-2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4.7970388010300791E-2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1.8210401032455633E-2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1.4644427504750163E-2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4.622027847537518E-2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213094746.51559258</v>
      </c>
      <c r="CM40" s="6">
        <f t="shared" si="24"/>
        <v>9.2903450199932711E-3</v>
      </c>
      <c r="CN40" s="5">
        <f t="shared" si="25"/>
        <v>5.127826495003205E-2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5.1531306936021377E-2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150550171.06566733</v>
      </c>
      <c r="DI40" s="6">
        <f t="shared" si="30"/>
        <v>8.7173803042787119E-3</v>
      </c>
      <c r="DJ40" s="5">
        <f t="shared" si="31"/>
        <v>3.6227789217755553E-2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2.5815567065627116E-2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6.6457646922569211E-2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3.0844121416608201E-2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1.9608450243977636E-2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2.1789708301102603E-2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1.4916633692831364E-2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0.19151169616054423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2.4707067176116298E-2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8.7275729704147011E-3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1.6179514717582041E-2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6.3571172003221613E-2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7.4241496970932595E-3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5.0321294004096732E-2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4085725037.7709327</v>
      </c>
      <c r="D41" s="5">
        <f t="shared" si="1"/>
        <v>1.7007835337554487E-2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9.0752175356498682E-3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0.11426236224335261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81631488.047603428</v>
      </c>
      <c r="AJ41" s="5">
        <f t="shared" si="9"/>
        <v>3.0547733266467057E-2</v>
      </c>
      <c r="AK41" s="5">
        <f t="shared" si="10"/>
        <v>1.9979682257849511E-2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4.826932367735999E-2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1.824919600404111E-2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1.4596030062013569E-2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4.6369340023518474E-2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211133245.81676379</v>
      </c>
      <c r="CM41" s="7">
        <f t="shared" si="24"/>
        <v>8.6775738538566825E-3</v>
      </c>
      <c r="CN41" s="5">
        <f t="shared" si="25"/>
        <v>5.167583326457835E-2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5.2253363491081582E-2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149249109.81533203</v>
      </c>
      <c r="DI41" s="7">
        <f t="shared" si="30"/>
        <v>9.1907366369057761E-3</v>
      </c>
      <c r="DJ41" s="5">
        <f t="shared" si="31"/>
        <v>3.6529406270755439E-2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2.5605754999899775E-2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6.6246073234185424E-2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3.0435108197691938E-2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1.946673381875735E-2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2.1701006283321164E-2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1.4788959648009019E-2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0.19237430845230005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2.460670115094564E-2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8.6470730315067572E-3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1.6101644212642922E-2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6.318144182151407E-2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7.3298786939154491E-3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5.0137180266840983E-2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4017397797.544836</v>
      </c>
      <c r="D42" s="5">
        <f t="shared" si="1"/>
        <v>1.6958150590889197E-2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8.9604921596785209E-3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0.11428370098786168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79211748.677434728</v>
      </c>
      <c r="AJ42" s="5">
        <f t="shared" si="9"/>
        <v>2.9323903555032681E-2</v>
      </c>
      <c r="AK42" s="5">
        <f t="shared" si="10"/>
        <v>1.9717178300302656E-2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4.8619041628543004E-2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1.8281465496846516E-2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1.4546228908734995E-2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4.6504851216639088E-2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209316883.10476312</v>
      </c>
      <c r="CM42" s="6">
        <f t="shared" si="24"/>
        <v>8.888000797108133E-3</v>
      </c>
      <c r="CN42" s="5">
        <f t="shared" si="25"/>
        <v>5.2102603140939528E-2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5.30313128999617E-2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147889892.75971723</v>
      </c>
      <c r="DI42" s="6">
        <f t="shared" si="30"/>
        <v>9.2836031170952481E-3</v>
      </c>
      <c r="DJ42" s="5">
        <f t="shared" si="31"/>
        <v>3.6812359694650507E-2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2.5393746505452081E-2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6.6001336275861355E-2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3.007364931499857E-2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1.9315507383155392E-2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2.1627857678596572E-2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1.4668754172147715E-2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0.19323889818406009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2.450590244487337E-2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8.5659213792670594E-3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1.6017018741562045E-2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6.2781000301960613E-2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7.2133348375217421E-3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4.9916427877780473E-2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3950406214.0714283</v>
      </c>
      <c r="D43" s="5">
        <f t="shared" si="1"/>
        <v>1.7851089820900272E-2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8.8448738351353216E-3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0.11420297265652075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76955124.041962638</v>
      </c>
      <c r="AJ43" s="5">
        <f t="shared" si="9"/>
        <v>2.8530986390246812E-2</v>
      </c>
      <c r="AK43" s="5">
        <f t="shared" si="10"/>
        <v>1.9480306548690336E-2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4.8863261433601E-2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1.8304837419546843E-2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1.4497324339612854E-2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4.6620940037023592E-2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207472864.12305906</v>
      </c>
      <c r="CM43" s="7">
        <f t="shared" si="24"/>
        <v>8.8944146667626605E-3</v>
      </c>
      <c r="CN43" s="5">
        <f t="shared" si="25"/>
        <v>5.2519374687098365E-2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5.3788239150909412E-2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146529570.38335964</v>
      </c>
      <c r="DI43" s="7">
        <f t="shared" si="30"/>
        <v>8.9236315212910585E-3</v>
      </c>
      <c r="DJ43" s="5">
        <f t="shared" si="31"/>
        <v>3.70922792348337E-2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2.5175850192853014E-2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6.6037495851010625E-2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2.9718801418324836E-2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1.9162557088256045E-2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2.1523947242294221E-2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1.4550929145088827E-2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0.19410774844326992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2.4404637835770265E-2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8.4851964762506834E-3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1.592402972083368E-2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6.2377843539244429E-2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7.1309245759475053E-3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4.9656621889156462E-2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3881123922.327908</v>
      </c>
      <c r="D44" s="5">
        <f t="shared" si="1"/>
        <v>1.7628738049633594E-2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8.7401217196432807E-3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0.11413750618038619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74820423.555780172</v>
      </c>
      <c r="AJ44" s="5">
        <f t="shared" si="9"/>
        <v>2.7760844074785688E-2</v>
      </c>
      <c r="AK44" s="5">
        <f t="shared" si="10"/>
        <v>1.9278030037985155E-2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4.8588466186177966E-2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1.8351072299903796E-2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1.4457500924219572E-2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4.6758052270618793E-2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205643783.04303256</v>
      </c>
      <c r="CM44" s="6">
        <f t="shared" si="24"/>
        <v>8.7425383110359672E-3</v>
      </c>
      <c r="CN44" s="5">
        <f t="shared" si="25"/>
        <v>5.2985626627373161E-2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5.449361984624905E-2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145233559.61284912</v>
      </c>
      <c r="DI44" s="6">
        <f t="shared" si="30"/>
        <v>8.6173563128250485E-3</v>
      </c>
      <c r="DJ44" s="5">
        <f t="shared" si="31"/>
        <v>3.7420490177427178E-2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2.4971379539761019E-2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6.597134142750298E-2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2.9413067537590942E-2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1.9023383087333534E-2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2.142712434341143E-2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1.4439120547869956E-2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0.19516236385468105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2.4327586637760367E-2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8.4117691901586401E-3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1.5838785479042231E-2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6.2032719715906307E-2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7.0910696544237836E-3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4.9395065053731743E-2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3813889857.0871639</v>
      </c>
      <c r="D45" s="5">
        <f t="shared" si="1"/>
        <v>1.7624164741996681E-2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8.6357681089653925E-3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0.11397617387307658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72799449.392465681</v>
      </c>
      <c r="AJ45" s="5">
        <f t="shared" si="9"/>
        <v>2.6922199286691283E-2</v>
      </c>
      <c r="AK45" s="5">
        <f t="shared" si="10"/>
        <v>1.9087978971701568E-2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4.8730519558890316E-2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1.8399993825303017E-2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1.4408093516026236E-2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4.686024991872615E-2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203861515.9298698</v>
      </c>
      <c r="CM45" s="7">
        <f t="shared" si="24"/>
        <v>8.2595868206550242E-3</v>
      </c>
      <c r="CN45" s="5">
        <f t="shared" si="25"/>
        <v>5.345238681999271E-2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5.5096380138082081E-2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143992723.01219907</v>
      </c>
      <c r="DI45" s="7">
        <f t="shared" si="30"/>
        <v>9.3770295113560827E-3</v>
      </c>
      <c r="DJ45" s="5">
        <f t="shared" si="31"/>
        <v>3.7754819464601075E-2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2.4752085562161411E-2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6.5814402764914376E-2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2.911953424094756E-2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1.8876568944095562E-2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2.1330473023583811E-2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1.431749167990495E-2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0.19618026212150794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2.4249926882723698E-2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8.3375924070244484E-3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1.5744389833100371E-2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6.1680788849692261E-2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7.0566584020100055E-3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4.9119491016620331E-2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3747837354.1317372</v>
      </c>
      <c r="D46" s="5">
        <f t="shared" si="1"/>
        <v>1.8370459995812747E-2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8.5335128960212555E-3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0.11377133243915111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70890910.180958971</v>
      </c>
      <c r="AJ46" s="5">
        <f t="shared" si="9"/>
        <v>2.5508474416332437E-2</v>
      </c>
      <c r="AK46" s="5">
        <f t="shared" si="10"/>
        <v>1.8915151187872799E-2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4.8738569719189474E-2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1.8447462647171824E-2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1.4352918801393265E-2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4.6934642770681052E-2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202191497.70021659</v>
      </c>
      <c r="CM46" s="6">
        <f t="shared" si="24"/>
        <v>9.1865139611627851E-3</v>
      </c>
      <c r="CN46" s="5">
        <f t="shared" si="25"/>
        <v>5.3948845319371753E-2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5.5688624311160909E-2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142655042.46902329</v>
      </c>
      <c r="DI46" s="6">
        <f t="shared" si="30"/>
        <v>9.5690320627028012E-3</v>
      </c>
      <c r="DJ46" s="5">
        <f t="shared" si="31"/>
        <v>3.8063295973011141E-2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2.4526224984308974E-2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6.5601896812239213E-2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2.8850852486360566E-2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1.8728763239537486E-2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2.1236039592059133E-2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1.4249049611675304E-2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0.19720268189284101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2.4177564083627576E-2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8.2657833608782046E-3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1.564337336772921E-2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6.1343320734637038E-2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7.0290931644484142E-3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4.90133865409507E-2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3680229839.0972056</v>
      </c>
      <c r="D47" s="5">
        <f t="shared" si="1"/>
        <v>1.7890029856534644E-2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8.438683508556746E-3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0.11361309611267459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69127571.297064602</v>
      </c>
      <c r="AJ47" s="5">
        <f t="shared" si="9"/>
        <v>2.3994642225623492E-2</v>
      </c>
      <c r="AK47" s="5">
        <f t="shared" si="10"/>
        <v>1.8783492966304039E-2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4.8129983675722784E-2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1.8503575956495027E-2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1.4300267196391247E-2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4.7019887309672832E-2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200350970.71065068</v>
      </c>
      <c r="CM47" s="7">
        <f t="shared" si="24"/>
        <v>1.1613665610461968E-2</v>
      </c>
      <c r="CN47" s="5">
        <f t="shared" si="25"/>
        <v>5.4439798455576519E-2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5.6374756122866292E-2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141302910.38895813</v>
      </c>
      <c r="DI47" s="7">
        <f t="shared" si="30"/>
        <v>1.0026564055902085E-2</v>
      </c>
      <c r="DJ47" s="5">
        <f t="shared" si="31"/>
        <v>3.8395131980023575E-2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2.4312496229902832E-2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6.5389214543943239E-2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2.8635139286366258E-2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1.8593191233806851E-2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2.1165374417400015E-2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1.4176143193912688E-2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0.1983880835460832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2.4129906392753836E-2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8.2016489314499369E-3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1.5479326451903291E-2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6.107014217926731E-2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7.0135787406060846E-3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4.8981372504140017E-2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3615547584.8564029</v>
      </c>
      <c r="D48" s="5">
        <f t="shared" si="1"/>
        <v>1.8095664338655098E-2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8.3335383940357204E-3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0.11335763166960722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67507747.058927745</v>
      </c>
      <c r="AJ48" s="5">
        <f t="shared" si="9"/>
        <v>2.3424558907963033E-2</v>
      </c>
      <c r="AK48" s="5">
        <f t="shared" si="10"/>
        <v>1.8671513919961011E-2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4.8089218402895047E-2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1.8545077780517324E-2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1.4227329197720618E-2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4.7038140048986064E-2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198050874.08516586</v>
      </c>
      <c r="CM48" s="6">
        <f t="shared" si="24"/>
        <v>1.0597921850052877E-2</v>
      </c>
      <c r="CN48" s="5">
        <f t="shared" si="25"/>
        <v>5.4777559812708633E-2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5.7065397744927152E-2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139900192.15092388</v>
      </c>
      <c r="DI48" s="6">
        <f t="shared" si="30"/>
        <v>9.7568190601079914E-3</v>
      </c>
      <c r="DJ48" s="5">
        <f t="shared" si="31"/>
        <v>3.8694053630186208E-2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2.408545948654137E-2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6.5331595737967374E-2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2.8417956859237824E-2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1.844820573459266E-2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2.1093122535358579E-2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1.4078712855460349E-2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0.19948987755929493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2.4074175807409608E-2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8.134185183210553E-3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1.5333595701547142E-2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6.0785167755920827E-2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6.9938434508346062E-3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4.8797615660726733E-2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3551284728.4395685</v>
      </c>
      <c r="D49" s="5">
        <f t="shared" si="1"/>
        <v>1.8303750570720201E-2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8.2282937451942598E-3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0.11307360795671231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65962602.198017746</v>
      </c>
      <c r="AJ49" s="5">
        <f t="shared" si="9"/>
        <v>2.3271817682039175E-2</v>
      </c>
      <c r="AK49" s="5">
        <f t="shared" si="10"/>
        <v>1.8574292753766791E-2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4.8001189078436757E-2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1.8583396132570366E-2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1.414448076723313E-2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4.7028652288913904E-2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195973957.39999512</v>
      </c>
      <c r="CM49" s="7">
        <f t="shared" si="24"/>
        <v>1.3217566808448955E-2</v>
      </c>
      <c r="CN49" s="5">
        <f t="shared" si="25"/>
        <v>5.5183960843969253E-2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5.7768013238994151E-2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138548400.47640818</v>
      </c>
      <c r="DI49" s="7">
        <f t="shared" si="30"/>
        <v>9.2708469661013822E-3</v>
      </c>
      <c r="DJ49" s="5">
        <f t="shared" si="31"/>
        <v>3.9013599604356769E-2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2.3864695108484428E-2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6.5154326589136363E-2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2.8212369370700832E-2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1.8307040156560591E-2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2.1027997214710426E-2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1.399495384262121E-2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0.20065581643016964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2.4026085221654385E-2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8.0704936245934843E-3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1.5200554938363493E-2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6.0527988230783036E-2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6.9777408467985857E-3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4.8600864759299083E-2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3487451289.9016719</v>
      </c>
      <c r="D50" s="5">
        <f t="shared" si="1"/>
        <v>1.8438977547179838E-2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8.1271053735696899E-3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0.11273435794185412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64462443.954959266</v>
      </c>
      <c r="AJ50" s="5">
        <f t="shared" si="9"/>
        <v>2.3251757466163231E-2</v>
      </c>
      <c r="AK50" s="5">
        <f t="shared" si="10"/>
        <v>1.8484113066071461E-2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4.8059756169195125E-2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1.8612383050417947E-2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1.4056746677663235E-2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4.7004424941368708E-2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193417449.3414053</v>
      </c>
      <c r="CM50" s="6">
        <f t="shared" si="24"/>
        <v>1.4552569557054567E-2</v>
      </c>
      <c r="CN50" s="5">
        <f t="shared" si="25"/>
        <v>5.5460975154396686E-2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5.8445494291626043E-2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137275738.11617452</v>
      </c>
      <c r="DI50" s="6">
        <f t="shared" si="30"/>
        <v>9.5951598053951506E-3</v>
      </c>
      <c r="DJ50" s="5">
        <f t="shared" si="31"/>
        <v>3.9362768596560092E-2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2.3648942406405752E-2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6.495016399247662E-2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2.8023835584376034E-2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1.8170425434062987E-2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2.0976279799495481E-2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1.3926036185897278E-2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0.20185264967351735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2.3986418606103035E-2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8.010978887656308E-3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1.5043466868856197E-2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6.0292423876261415E-2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6.965413018693899E-3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4.8393859099628664E-2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3424310505.378427</v>
      </c>
      <c r="D51" s="5">
        <f t="shared" si="1"/>
        <v>1.9444300975475871E-2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8.030209137520233E-3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0.11233370397162934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62997638.151714489</v>
      </c>
      <c r="AJ51" s="5">
        <f t="shared" si="9"/>
        <v>2.3585271707171708E-2</v>
      </c>
      <c r="AK51" s="5">
        <f t="shared" si="10"/>
        <v>1.8397174570695802E-2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4.8339239595375456E-2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1.8615989354611007E-2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1.3964453961480898E-2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4.6956799332483298E-2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190643102.33411542</v>
      </c>
      <c r="CM51" s="7">
        <f t="shared" si="24"/>
        <v>1.5423405270285259E-2</v>
      </c>
      <c r="CN51" s="5">
        <f t="shared" si="25"/>
        <v>5.5673427405219224E-2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5.9034123562427356E-2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135971073.93287736</v>
      </c>
      <c r="DI51" s="7">
        <f t="shared" si="30"/>
        <v>9.6794909901573231E-3</v>
      </c>
      <c r="DJ51" s="5">
        <f t="shared" si="31"/>
        <v>3.9707577253672834E-2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2.3438925866949983E-2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6.4690531031993403E-2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2.7841084588355977E-2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1.8038963199724839E-2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2.0935489074990026E-2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1.3790879886300041E-2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0.20307348733463046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2.3951106965649196E-2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7.9542894710553751E-3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1.4979552382413004E-2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6.0076979691542076E-2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6.9562201190078686E-3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4.818680720515648E-2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3358997153.7452378</v>
      </c>
      <c r="D52" s="5">
        <f t="shared" si="1"/>
        <v>1.9527612749616213E-2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7.9467121467926179E-3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0.11195634210125238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61546057.659314305</v>
      </c>
      <c r="AJ52" s="5">
        <f t="shared" si="9"/>
        <v>2.3631623334551721E-2</v>
      </c>
      <c r="AK52" s="5">
        <f t="shared" si="10"/>
        <v>1.8322747785210612E-2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4.8236503260706831E-2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1.8619926493248902E-2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1.3880278941683944E-2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4.6957983608857744E-2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187747398.12440118</v>
      </c>
      <c r="CM52" s="6">
        <f t="shared" si="24"/>
        <v>1.671003945109022E-2</v>
      </c>
      <c r="CN52" s="5">
        <f t="shared" si="25"/>
        <v>5.5893884255026921E-2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5.9703477916386076E-2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134667560.4944053</v>
      </c>
      <c r="DI52" s="6">
        <f t="shared" si="30"/>
        <v>9.6540072239621397E-3</v>
      </c>
      <c r="DJ52" s="5">
        <f t="shared" si="31"/>
        <v>4.0091597084044188E-2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2.3254876278017859E-2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6.4071622610278947E-2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2.7675166145249373E-2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1.7928661130088602E-2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2.0923358325687078E-2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1.3729009155123859E-2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0.20449346898544649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2.3939482938957247E-2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7.9068767949474327E-3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1.4859320032032775E-2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5.993348553044104E-2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6.9668571564633613E-3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4.8027695063576556E-2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3294660303.2027612</v>
      </c>
      <c r="D53" s="5">
        <f t="shared" si="1"/>
        <v>1.9850666291378678E-2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7.8698865545452062E-3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0.1115017870469958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60125201.543523744</v>
      </c>
      <c r="AJ53" s="5">
        <f t="shared" si="9"/>
        <v>2.3582889973910812E-2</v>
      </c>
      <c r="AK53" s="5">
        <f t="shared" si="10"/>
        <v>1.8249287031223107E-2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4.8276040576636516E-2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1.86848350691174E-2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1.3796649524732295E-2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4.6955660321841897E-2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184661693.9336645</v>
      </c>
      <c r="CM53" s="7">
        <f t="shared" si="24"/>
        <v>1.8047072786554538E-2</v>
      </c>
      <c r="CN53" s="5">
        <f t="shared" si="25"/>
        <v>5.6048781039475797E-2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6.0390342866635041E-2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133379909.88088383</v>
      </c>
      <c r="DI53" s="7">
        <f t="shared" si="30"/>
        <v>1.022567351742699E-2</v>
      </c>
      <c r="DJ53" s="5">
        <f t="shared" si="31"/>
        <v>4.0483660713435107E-2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2.3101248873369212E-2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6.338263871149262E-2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2.7512718994286915E-2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1.782300937223897E-2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2.0915902908221397E-2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1.3641145765676824E-2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0.20589200455324277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2.3927508251668044E-2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7.8603821333007671E-3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1.471804268805056E-2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5.9818560485562305E-2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6.9880573496045829E-3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4.7851838695787983E-2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3230532088.7650948</v>
      </c>
      <c r="D54" s="5">
        <f t="shared" si="1"/>
        <v>1.9966412956023485E-2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7.803995893238211E-3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0.11101585756096402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58739943.90923848</v>
      </c>
      <c r="AJ54" s="5">
        <f t="shared" si="9"/>
        <v>2.3544244710167129E-2</v>
      </c>
      <c r="AK54" s="5">
        <f t="shared" si="10"/>
        <v>1.8182745843485011E-2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4.8333854658861461E-2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1.8777607388605969E-2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1.3718896762760975E-2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4.6933112409291253E-2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181388168.45493841</v>
      </c>
      <c r="CM54" s="6">
        <f t="shared" si="24"/>
        <v>1.9541730826638185E-2</v>
      </c>
      <c r="CN54" s="5">
        <f t="shared" si="25"/>
        <v>5.6148078233228746E-2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6.1066178208404383E-2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132029816.08701211</v>
      </c>
      <c r="DI54" s="6">
        <f t="shared" si="30"/>
        <v>9.9980621374232519E-3</v>
      </c>
      <c r="DJ54" s="5">
        <f t="shared" si="31"/>
        <v>4.0869371502662247E-2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2.3000854534722222E-2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6.2643343406717705E-2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2.7371674209647076E-2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1.7727165805828664E-2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2.0916768113663248E-2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1.3547134477410655E-2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0.20727589069791369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2.3921941485176627E-2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7.8162814612384359E-3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1.4566569131734203E-2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5.9747625822478077E-2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7.0093257577488518E-3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4.7676302474569943E-2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3167292616.4328327</v>
      </c>
      <c r="D55" s="5">
        <f t="shared" si="1"/>
        <v>2.0357243397523764E-2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7.7442942936775663E-3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0.11049677422166282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57388768.695457451</v>
      </c>
      <c r="AJ55" s="5">
        <f t="shared" si="9"/>
        <v>2.3351866890448551E-2</v>
      </c>
      <c r="AK55" s="5">
        <f t="shared" si="10"/>
        <v>1.8119187471883045E-2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4.841737646053286E-2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1.8845493132375428E-2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1.3644507913449207E-2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4.6885045676091759E-2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177911470.38961318</v>
      </c>
      <c r="CM55" s="7">
        <f t="shared" si="24"/>
        <v>2.0529215566326513E-2</v>
      </c>
      <c r="CN55" s="5">
        <f t="shared" si="25"/>
        <v>5.6171466275820828E-2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6.1792645251746367E-2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130722840.99991447</v>
      </c>
      <c r="DI55" s="7">
        <f t="shared" si="30"/>
        <v>1.0029263280754867E-2</v>
      </c>
      <c r="DJ55" s="5">
        <f t="shared" si="31"/>
        <v>4.1272738843795627E-2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2.2928272462661058E-2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6.1848989061504767E-2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2.7241519385981489E-2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1.7637401632781685E-2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2.092325073913065E-2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1.3466215202850499E-2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0.20864970162834787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2.3915536534420759E-2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7.7729248007050609E-3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1.4440943270247007E-2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5.9705901639864493E-2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7.0352077668880365E-3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4.7510550999155091E-2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3104101663.3415308</v>
      </c>
      <c r="D56" s="5">
        <f t="shared" si="1"/>
        <v>1.9918775252385671E-2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7.6907189156358476E-3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0.1099951852878292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56079214.346712098</v>
      </c>
      <c r="AJ56" s="5">
        <f t="shared" si="9"/>
        <v>2.3318799348512359E-2</v>
      </c>
      <c r="AK56" s="5">
        <f t="shared" si="10"/>
        <v>1.8066165489677759E-2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4.8303205919770734E-2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1.888319492561048E-2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1.3577779639292856E-2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4.6854073019205376E-2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174332559.69147736</v>
      </c>
      <c r="CM56" s="6">
        <f t="shared" si="24"/>
        <v>2.1367159602038614E-2</v>
      </c>
      <c r="CN56" s="5">
        <f t="shared" si="25"/>
        <v>5.6162000668435033E-2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6.2558172105699084E-2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129424805.54999308</v>
      </c>
      <c r="DI56" s="6">
        <f t="shared" si="30"/>
        <v>1.0191940543440641E-2</v>
      </c>
      <c r="DJ56" s="5">
        <f t="shared" si="31"/>
        <v>4.169477020629174E-2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2.2846390097098709E-2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6.1052584936358012E-2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2.7133250478933092E-2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1.7557418265441174E-2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2.0946270837296471E-2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1.3358436941921075E-2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0.21005318355110358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2.3930712811831983E-2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7.7371790997682625E-3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1.4311369737207378E-2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5.9712613904448798E-2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7.0660172670313475E-3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4.736246967288546E-2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3043479283.5080423</v>
      </c>
      <c r="D57" s="5">
        <f t="shared" si="1"/>
        <v>2.0245001324829266E-2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7.636686685600658E-3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0.10942266070337724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54801313.51287055</v>
      </c>
      <c r="AJ57" s="5">
        <f t="shared" si="9"/>
        <v>2.3043748503137208E-2</v>
      </c>
      <c r="AK57" s="5">
        <f t="shared" si="10"/>
        <v>1.8006139818275434E-2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4.8363109378982666E-2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1.9157301793183111E-2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1.3510942528611271E-2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4.6814047442873097E-2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170685495.46805832</v>
      </c>
      <c r="CM57" s="7">
        <f t="shared" si="24"/>
        <v>2.2451900685850731E-2</v>
      </c>
      <c r="CN57" s="5">
        <f t="shared" si="25"/>
        <v>5.6082358238140867E-2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6.3339188785639308E-2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128119024.07414575</v>
      </c>
      <c r="DI57" s="7">
        <f t="shared" si="30"/>
        <v>9.4528164491322602E-3</v>
      </c>
      <c r="DJ57" s="5">
        <f t="shared" si="31"/>
        <v>4.2096236622471889E-2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2.2727732211335779E-2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6.020562283199863E-2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2.7026394110184128E-2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1.7469177020811077E-2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2.0967368882543247E-2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1.3296039355157755E-2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0.21132818621964061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2.3934718850843823E-2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7.7012575649280952E-3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1.4179699441237153E-2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5.9709926446622007E-2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7.0862976370997333E-3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4.7207075578863618E-2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2983086689.5264978</v>
      </c>
      <c r="D58" s="5">
        <f t="shared" si="1"/>
        <v>2.0239838961790796E-2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7.5872903668960084E-3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0.10887238687215216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53566930.635227375</v>
      </c>
      <c r="AJ58" s="5">
        <f t="shared" si="9"/>
        <v>2.2988384654991062E-2</v>
      </c>
      <c r="AK58" s="5">
        <f t="shared" si="10"/>
        <v>1.7956880309009726E-2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4.8443349431328837E-2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1.9105802435655479E-2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1.3451675499099149E-2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4.6798190631405848E-2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166937432.80594829</v>
      </c>
      <c r="CM58" s="6">
        <f t="shared" si="24"/>
        <v>2.3282027062821196E-2</v>
      </c>
      <c r="CN58" s="5">
        <f t="shared" si="25"/>
        <v>5.5961307927141095E-2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6.4190161789342379E-2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126919279.42191426</v>
      </c>
      <c r="DI58" s="6">
        <f t="shared" si="30"/>
        <v>8.9700613663511002E-3</v>
      </c>
      <c r="DJ58" s="5">
        <f t="shared" si="31"/>
        <v>4.2546292693243865E-2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2.2621039799434545E-2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5.9351779758507438E-2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2.6936763506286012E-2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1.7380273080021484E-2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2.1006942134635786E-2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1.323525521015214E-2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0.21263515756915305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2.3936305071743064E-2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7.6647326958668412E-3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1.4068926506005493E-2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5.9734593611354261E-2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7.1068269508997913E-3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4.708222853115087E-2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2923907277.0988097</v>
      </c>
      <c r="D59" s="5">
        <f t="shared" si="1"/>
        <v>2.0292839866622121E-2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7.5405006311135836E-3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0.10830573668839596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52363185.583278291</v>
      </c>
      <c r="AJ59" s="5">
        <f t="shared" si="9"/>
        <v>2.3014484465717355E-2</v>
      </c>
      <c r="AK59" s="5">
        <f t="shared" si="10"/>
        <v>1.7908634105262958E-2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4.8487733444886688E-2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1.9118454647736875E-2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1.3388894434219397E-2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4.6801368771510678E-2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163139221.04653528</v>
      </c>
      <c r="CM59" s="7">
        <f t="shared" si="24"/>
        <v>2.4895283998658247E-2</v>
      </c>
      <c r="CN59" s="5">
        <f t="shared" si="25"/>
        <v>5.579493656461193E-2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6.5066092487563801E-2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125790927.08661711</v>
      </c>
      <c r="DI59" s="7">
        <f t="shared" si="30"/>
        <v>8.964800742711455E-3</v>
      </c>
      <c r="DJ59" s="5">
        <f t="shared" si="31"/>
        <v>4.3021517156806258E-2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2.251574063754809E-2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5.8463783719939301E-2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2.6847480625784945E-2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1.7283800835538134E-2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2.1048426872647227E-2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1.3192625935083472E-2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0.21391413250649036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2.3941123002233469E-2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7.628676328308155E-3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1.3930639130539118E-2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5.9776763277060045E-2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7.1265006080937074E-3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4.6981982358440803E-2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2865753010.1662164</v>
      </c>
      <c r="D60" s="5">
        <f t="shared" si="1"/>
        <v>2.0383910442590088E-2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7.4989976744972561E-3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0.10773203664590097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51185184.939610749</v>
      </c>
      <c r="AJ60" s="5">
        <f t="shared" si="9"/>
        <v>2.2621139821498548E-2</v>
      </c>
      <c r="AK60" s="5">
        <f t="shared" si="10"/>
        <v>1.7860989679861477E-2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4.8537228657318791E-2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1.9112700759656744E-2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1.3322161963012748E-2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4.6846177105288378E-2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159176477.43488774</v>
      </c>
      <c r="CM60" s="6">
        <f t="shared" si="24"/>
        <v>2.665063207335933E-2</v>
      </c>
      <c r="CN60" s="5">
        <f t="shared" si="25"/>
        <v>5.5544381134805247E-2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6.5978299609193783E-2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124673256.18695603</v>
      </c>
      <c r="DI60" s="6">
        <f t="shared" si="30"/>
        <v>8.7835062504260722E-3</v>
      </c>
      <c r="DJ60" s="5">
        <f t="shared" si="31"/>
        <v>4.3504536414924633E-2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2.2414062759077084E-2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5.7538917238074638E-2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2.6780904160848752E-2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1.7177582777045213E-2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2.1098041649327916E-2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1.3140936345267876E-2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0.21517650655684198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2.3952300683810695E-2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7.5943826082298452E-3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1.3785250733228756E-2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5.9839872811680808E-2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7.1490874238323374E-3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4.6904834815576127E-2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2808504701.8461905</v>
      </c>
      <c r="D61" s="5">
        <f t="shared" si="1"/>
        <v>2.0151681986547283E-2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7.4579378081445682E-3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0.10716859382675541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50052930.598075911</v>
      </c>
      <c r="AJ61" s="5">
        <f t="shared" si="9"/>
        <v>2.2472819507913699E-2</v>
      </c>
      <c r="AK61" s="5">
        <f t="shared" si="10"/>
        <v>1.7821914474692981E-2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4.8593825105559485E-2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1.9086566567405306E-2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1.3252438171957584E-2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4.6973200381826327E-2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155044444.97679302</v>
      </c>
      <c r="CM61" s="7">
        <f t="shared" si="24"/>
        <v>2.8471377427602484E-2</v>
      </c>
      <c r="CN61" s="5">
        <f t="shared" si="25"/>
        <v>5.5205335734304972E-2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6.6968196524882811E-2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123587722.65256134</v>
      </c>
      <c r="DI61" s="7">
        <f t="shared" si="30"/>
        <v>5.9177866873452306E-3</v>
      </c>
      <c r="DJ61" s="5">
        <f t="shared" si="31"/>
        <v>4.4004812443903002E-2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2.231894311506407E-2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5.6564626361368837E-2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2.6721069716508471E-2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1.705892426051028E-2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2.1158617281832846E-2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1.3028576407998673E-2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0.21641411313839595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2.3966146311686032E-2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7.5621874782329348E-3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1.3646254975410194E-2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5.9929333928821292E-2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7.1648884693190883E-3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4.6821137027928325E-2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2753026585.592814</v>
      </c>
      <c r="D62" s="5">
        <f t="shared" si="1"/>
        <v>2.0028125633084065E-2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7.420426689865622E-3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0.10658556983644724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48952822.650253847</v>
      </c>
      <c r="AJ62" s="5">
        <f t="shared" si="9"/>
        <v>2.2298326329513542E-2</v>
      </c>
      <c r="AK62" s="5">
        <f t="shared" si="10"/>
        <v>1.7781456563636035E-2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4.8641062418860292E-2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1.9050436598269885E-2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1.3177029634857272E-2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4.718606642075357E-2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150752318.80987093</v>
      </c>
      <c r="CM62" s="6">
        <f t="shared" si="24"/>
        <v>2.6835314881639337E-2</v>
      </c>
      <c r="CN62" s="5">
        <f t="shared" si="25"/>
        <v>5.4758758814313871E-2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6.7973221438930184E-2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122860659.47750689</v>
      </c>
      <c r="DI62" s="6">
        <f t="shared" si="30"/>
        <v>1.0649243737979017E-2</v>
      </c>
      <c r="DJ62" s="5">
        <f t="shared" si="31"/>
        <v>4.4627487478858141E-2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2.2225411677969174E-2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5.5621438222741106E-2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2.6655534424991155E-2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1.6926085816351265E-2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2.1222033955695659E-2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1.2940543715252996E-2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0.21755960379589909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2.3980369721790039E-2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7.5287150061113944E-3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1.3510826964877726E-2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6.0033842331473242E-2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7.1711069177875682E-3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4.67143941814036E-2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2698971250.3114934</v>
      </c>
      <c r="D63" s="5">
        <f t="shared" si="1"/>
        <v>1.9559744449577997E-2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7.3876741989120373E-3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0.10599376498472994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47885065.826152071</v>
      </c>
      <c r="AJ63" s="5">
        <f t="shared" si="9"/>
        <v>2.1671617288191242E-2</v>
      </c>
      <c r="AK63" s="5">
        <f t="shared" si="10"/>
        <v>1.7741969582160448E-2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4.8640993623231939E-2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1.9051781968709103E-2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1.3106304652241328E-2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4.7479396589659079E-2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146812557.59814587</v>
      </c>
      <c r="CM63" s="7">
        <f t="shared" si="24"/>
        <v>2.2787120793680008E-2</v>
      </c>
      <c r="CN63" s="5">
        <f t="shared" si="25"/>
        <v>5.4395747113349935E-2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6.8965863416968559E-2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121566072.73864418</v>
      </c>
      <c r="DI63" s="7">
        <f t="shared" si="30"/>
        <v>1.1079965330683174E-2</v>
      </c>
      <c r="DJ63" s="5">
        <f t="shared" si="31"/>
        <v>4.5041633075792863E-2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2.2141852335478312E-2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5.4752145974144864E-2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2.6593139047242285E-2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1.6789563311499722E-2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2.1286550300041087E-2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1.2883124512113093E-2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0.21864250084821918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2.3996047118980061E-2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7.4967388359558056E-3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1.3386383384328489E-2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6.016179482201231E-2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7.1765036813737672E-3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4.6584234554911494E-2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2647192834.9510961</v>
      </c>
      <c r="D64" s="5">
        <f t="shared" si="1"/>
        <v>1.9362706539855487E-2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7.3573988477929576E-3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0.1053588088528561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46869331.608969167</v>
      </c>
      <c r="AJ64" s="5">
        <f t="shared" si="9"/>
        <v>2.1471343689417385E-2</v>
      </c>
      <c r="AK64" s="5">
        <f t="shared" si="10"/>
        <v>1.7705295583362753E-2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4.8618504659281643E-2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1.9032347427552925E-2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1.3035911273560779E-2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4.7817891877216051E-2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143541656.53183013</v>
      </c>
      <c r="CM64" s="6">
        <f t="shared" si="24"/>
        <v>2.0297351982310349E-2</v>
      </c>
      <c r="CN64" s="5">
        <f t="shared" si="25"/>
        <v>5.4224102844582497E-2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6.9923064112198313E-2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120233885.45621598</v>
      </c>
      <c r="DI64" s="6">
        <f t="shared" si="30"/>
        <v>1.109581386208704E-2</v>
      </c>
      <c r="DJ64" s="5">
        <f t="shared" si="31"/>
        <v>4.5419390634772988E-2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2.2064147149201793E-2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5.3934246498414745E-2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2.6532060258617901E-2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1.6651429530954654E-2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2.1343757159845947E-2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1.2849563551696643E-2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0.21960923376929803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2.4006930059294107E-2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7.4613335421227439E-3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1.3265608665908559E-2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6.0289528770260101E-2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7.1774957663204245E-3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4.6435109452761393E-2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2596909635.7632885</v>
      </c>
      <c r="D65" s="5">
        <f t="shared" si="1"/>
        <v>1.90577792405189E-2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7.331205671562451E-3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0.1047194467401001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45884137.522334628</v>
      </c>
      <c r="AJ65" s="5">
        <f t="shared" si="9"/>
        <v>2.0856226300464464E-2</v>
      </c>
      <c r="AK65" s="5">
        <f t="shared" si="10"/>
        <v>1.7668746301543248E-2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4.8586435852271972E-2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1.9005800721890134E-2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1.2958162801689743E-2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4.817197024728636E-2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140686101.21642148</v>
      </c>
      <c r="CM65" s="7">
        <f t="shared" si="24"/>
        <v>1.8876568067716121E-2</v>
      </c>
      <c r="CN65" s="5">
        <f t="shared" si="25"/>
        <v>5.4174430746055116E-2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7.0737174564496311E-2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118914433.04166999</v>
      </c>
      <c r="DI65" s="7">
        <f t="shared" si="30"/>
        <v>1.1610242274599222E-2</v>
      </c>
      <c r="DJ65" s="5">
        <f t="shared" si="31"/>
        <v>4.5790747357567739E-2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2.1997338105173108E-2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5.3143066362766798E-2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2.6474245186048562E-2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1.6524484895361811E-2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2.1405886369529652E-2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1.2828137992303283E-2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0.22052695828704294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2.4019789046793034E-2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7.4264231500736954E-3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1.3150945249516174E-2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6.0433355163830665E-2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7.1786479518320132E-3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4.6280565950213272E-2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2548343861.0308313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7.3080602503410273E-3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0.10405658750571255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44946718.588000007</v>
      </c>
      <c r="AJ66" s="7">
        <f t="shared" si="9"/>
        <v>2.0643658021399634E-2</v>
      </c>
      <c r="AK66" s="5">
        <f t="shared" si="10"/>
        <v>1.7637619190770667E-2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4.8498057287295081E-2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1.8963290021210891E-2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1.2874518094559084E-2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4.8527105821965774E-2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138079631.65079999</v>
      </c>
      <c r="CM66" s="7">
        <f t="shared" si="24"/>
        <v>1.6048365229154468E-2</v>
      </c>
      <c r="CN66" s="5">
        <f t="shared" si="25"/>
        <v>5.418406587992617E-2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7.1663036700678015E-2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117549653.09</v>
      </c>
      <c r="DI66" s="7">
        <f t="shared" si="30"/>
        <v>1.1746389505004553E-2</v>
      </c>
      <c r="DJ66" s="5">
        <f t="shared" si="31"/>
        <v>4.6127861662456318E-2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2.1936775552490344E-2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5.2357300704320354E-2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2.6414635139455227E-2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1.6410553041724712E-2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2.1468929377870202E-2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1.2773906679466819E-2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0.22139542236208748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2.4034936963693163E-2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7.3901110722875678E-3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1.3038586427876895E-2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6.0579096571857019E-2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7.1819090723481338E-3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4.6136187261809077E-2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7.2880288658757949E-3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0.10336232510436678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44037621</v>
      </c>
      <c r="AJ67" s="5"/>
      <c r="AK67" s="5">
        <f t="shared" si="10"/>
        <v>1.7604789123861909E-2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4.8355192777180499E-2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1.8905328828049586E-2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1.2794423987446173E-2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4.8888482000302512E-2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135898680</v>
      </c>
      <c r="CM67" s="5"/>
      <c r="CN67" s="5">
        <f t="shared" si="25"/>
        <v>5.4327812204278479E-2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7.2558680077716403E-2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116184900</v>
      </c>
      <c r="DI67" s="5"/>
      <c r="DJ67" s="5">
        <f t="shared" si="31"/>
        <v>4.6446892848207758E-2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2.1876571322093728E-2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5.1617079896661304E-2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2.6352931901283079E-2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1.6312573768619564E-2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2.1537149122024951E-2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1.2700998431641363E-2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0.22218640823826469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2.405210551900237E-2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7.3880665684200632E-3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1.292894559432815E-2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6.071832730065093E-2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7.1901914810856976E-3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4.5988000270080501E-2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drawing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11"/>
      <c r="H2" s="10"/>
      <c r="I2" s="10">
        <f>IF(H2&lt;&gt;"",H2,8333)</f>
        <v>8333</v>
      </c>
      <c r="J2" s="10">
        <f t="shared" ref="J2:J33" si="3">IF(I2="","",I2*C2)</f>
        <v>93350474168.620636</v>
      </c>
      <c r="K2" s="11">
        <f t="shared" ref="K2:K33" si="4">IFERROR(J2/J3-1,"")</f>
        <v>1.2199999999999989E-2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11"/>
      <c r="H3" s="10"/>
      <c r="I3" s="10">
        <f t="shared" ref="I3:I34" si="5">IF(H3&lt;&gt;"",H3,I2/(1+IF(G2="",0,G2)))</f>
        <v>8333</v>
      </c>
      <c r="J3" s="10">
        <f t="shared" si="3"/>
        <v>92225325201.166412</v>
      </c>
      <c r="K3" s="11">
        <f t="shared" si="4"/>
        <v>1.23000000000002E-2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11"/>
      <c r="H4" s="10"/>
      <c r="I4" s="10">
        <f t="shared" si="5"/>
        <v>8333</v>
      </c>
      <c r="J4" s="10">
        <f t="shared" si="3"/>
        <v>91104736936.843231</v>
      </c>
      <c r="K4" s="11">
        <f t="shared" si="4"/>
        <v>1.2000000000000011E-2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11"/>
      <c r="H5" s="10"/>
      <c r="I5" s="10">
        <f t="shared" si="5"/>
        <v>8333</v>
      </c>
      <c r="J5" s="10">
        <f t="shared" si="3"/>
        <v>90024443613.481461</v>
      </c>
      <c r="K5" s="11">
        <f t="shared" si="4"/>
        <v>1.1500000000000066E-2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11"/>
      <c r="H6" s="10"/>
      <c r="I6" s="10">
        <f t="shared" si="5"/>
        <v>8333</v>
      </c>
      <c r="J6" s="10">
        <f t="shared" si="3"/>
        <v>89000932885.300507</v>
      </c>
      <c r="K6" s="11">
        <f t="shared" si="4"/>
        <v>1.330000000000009E-2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11"/>
      <c r="H7" s="10"/>
      <c r="I7" s="10">
        <f t="shared" si="5"/>
        <v>8333</v>
      </c>
      <c r="J7" s="10">
        <f t="shared" si="3"/>
        <v>87832757214.349655</v>
      </c>
      <c r="K7" s="11">
        <f t="shared" si="4"/>
        <v>1.6000000000000014E-2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11"/>
      <c r="H8" s="10"/>
      <c r="I8" s="10">
        <f t="shared" si="5"/>
        <v>8333</v>
      </c>
      <c r="J8" s="10">
        <f t="shared" si="3"/>
        <v>86449564187.35202</v>
      </c>
      <c r="K8" s="11">
        <f t="shared" si="4"/>
        <v>1.6999999999999682E-2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11"/>
      <c r="H9" s="10"/>
      <c r="I9" s="10">
        <f t="shared" si="5"/>
        <v>8333</v>
      </c>
      <c r="J9" s="10">
        <f t="shared" si="3"/>
        <v>85004487893.168182</v>
      </c>
      <c r="K9" s="11">
        <f t="shared" si="4"/>
        <v>1.760000000000006E-2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11"/>
      <c r="H10" s="10"/>
      <c r="I10" s="10">
        <f t="shared" si="5"/>
        <v>8333</v>
      </c>
      <c r="J10" s="10">
        <f t="shared" si="3"/>
        <v>83534284486.210861</v>
      </c>
      <c r="K10" s="11">
        <f t="shared" si="4"/>
        <v>1.7700000000000049E-2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11"/>
      <c r="H11" s="10"/>
      <c r="I11" s="10">
        <f t="shared" si="5"/>
        <v>8333</v>
      </c>
      <c r="J11" s="10">
        <f t="shared" si="3"/>
        <v>82081442946.065491</v>
      </c>
      <c r="K11" s="11">
        <f t="shared" si="4"/>
        <v>1.7300000000000093E-2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11"/>
      <c r="H12" s="10"/>
      <c r="I12" s="10">
        <f t="shared" si="5"/>
        <v>8333</v>
      </c>
      <c r="J12" s="10">
        <f t="shared" si="3"/>
        <v>80685582371.046387</v>
      </c>
      <c r="K12" s="11">
        <f t="shared" si="4"/>
        <v>1.7100000000000115E-2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11"/>
      <c r="H13" s="10"/>
      <c r="I13" s="10">
        <f t="shared" si="5"/>
        <v>8333</v>
      </c>
      <c r="J13" s="10">
        <f t="shared" si="3"/>
        <v>79329055521.626572</v>
      </c>
      <c r="K13" s="11">
        <f t="shared" si="4"/>
        <v>1.7099999999999893E-2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11"/>
      <c r="H14" s="10"/>
      <c r="I14" s="10">
        <f t="shared" si="5"/>
        <v>8333</v>
      </c>
      <c r="J14" s="10">
        <f t="shared" si="3"/>
        <v>77995335288.198395</v>
      </c>
      <c r="K14" s="11">
        <f t="shared" si="4"/>
        <v>1.6999999999999904E-2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11"/>
      <c r="H15" s="10"/>
      <c r="I15" s="10">
        <f t="shared" si="5"/>
        <v>8333</v>
      </c>
      <c r="J15" s="10">
        <f t="shared" si="3"/>
        <v>76691578454.472366</v>
      </c>
      <c r="K15" s="11">
        <f t="shared" si="4"/>
        <v>1.7500000000000293E-2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11"/>
      <c r="H16" s="10"/>
      <c r="I16" s="10">
        <f t="shared" si="5"/>
        <v>8333</v>
      </c>
      <c r="J16" s="10">
        <f t="shared" si="3"/>
        <v>75372558677.614105</v>
      </c>
      <c r="K16" s="11">
        <f t="shared" si="4"/>
        <v>1.8699999999999717E-2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11"/>
      <c r="H17" s="10"/>
      <c r="I17" s="10">
        <f t="shared" si="5"/>
        <v>8333</v>
      </c>
      <c r="J17" s="10">
        <f t="shared" si="3"/>
        <v>73988965031.524612</v>
      </c>
      <c r="K17" s="11">
        <f t="shared" si="4"/>
        <v>2.1700000000000053E-2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11"/>
      <c r="H18" s="10"/>
      <c r="I18" s="10">
        <f t="shared" si="5"/>
        <v>8333</v>
      </c>
      <c r="J18" s="10">
        <f t="shared" si="3"/>
        <v>72417505169.349716</v>
      </c>
      <c r="K18" s="11">
        <f t="shared" si="4"/>
        <v>2.0999999999999686E-2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11"/>
      <c r="H19" s="10"/>
      <c r="I19" s="10">
        <f t="shared" si="5"/>
        <v>8333</v>
      </c>
      <c r="J19" s="10">
        <f t="shared" si="3"/>
        <v>70928016816.209335</v>
      </c>
      <c r="K19" s="11">
        <f t="shared" si="4"/>
        <v>2.1700000000000053E-2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11"/>
      <c r="H20" s="10"/>
      <c r="I20" s="10">
        <f t="shared" si="5"/>
        <v>8333</v>
      </c>
      <c r="J20" s="10">
        <f t="shared" si="3"/>
        <v>69421568773.81749</v>
      </c>
      <c r="K20" s="11">
        <f t="shared" si="4"/>
        <v>2.2300000000000209E-2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11"/>
      <c r="H21" s="10"/>
      <c r="I21" s="10">
        <f t="shared" si="5"/>
        <v>8333</v>
      </c>
      <c r="J21" s="10">
        <f t="shared" si="3"/>
        <v>67907237380.238167</v>
      </c>
      <c r="K21" s="11">
        <f t="shared" si="4"/>
        <v>2.2699999999999942E-2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11"/>
      <c r="H22" s="10"/>
      <c r="I22" s="10">
        <f t="shared" si="5"/>
        <v>8333</v>
      </c>
      <c r="J22" s="10">
        <f t="shared" si="3"/>
        <v>66399958326.232689</v>
      </c>
      <c r="K22" s="11">
        <f t="shared" si="4"/>
        <v>2.3099999999999898E-2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11"/>
      <c r="H23" s="10"/>
      <c r="I23" s="10">
        <f t="shared" si="5"/>
        <v>8333</v>
      </c>
      <c r="J23" s="10">
        <f t="shared" si="3"/>
        <v>64900750978.626427</v>
      </c>
      <c r="K23" s="11">
        <f t="shared" si="4"/>
        <v>2.3700000000000054E-2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11"/>
      <c r="H24" s="10"/>
      <c r="I24" s="10">
        <f t="shared" si="5"/>
        <v>8333</v>
      </c>
      <c r="J24" s="10">
        <f t="shared" si="3"/>
        <v>63398213322.874298</v>
      </c>
      <c r="K24" s="11">
        <f t="shared" si="4"/>
        <v>2.4199999999999999E-2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11"/>
      <c r="H25" s="10"/>
      <c r="I25" s="10">
        <f t="shared" si="5"/>
        <v>8333</v>
      </c>
      <c r="J25" s="10">
        <f t="shared" si="3"/>
        <v>61900227809.875313</v>
      </c>
      <c r="K25" s="11">
        <f t="shared" si="4"/>
        <v>2.4000000000000021E-2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11"/>
      <c r="H26" s="10"/>
      <c r="I26" s="10">
        <f t="shared" si="5"/>
        <v>8333</v>
      </c>
      <c r="J26" s="10">
        <f t="shared" si="3"/>
        <v>60449441220.58136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11"/>
      <c r="H27" s="10"/>
      <c r="I27" s="10">
        <f t="shared" si="5"/>
        <v>8333</v>
      </c>
      <c r="J27" s="10">
        <f t="shared" si="3"/>
        <v>59067267168.830711</v>
      </c>
      <c r="K27" s="11">
        <f t="shared" si="4"/>
        <v>2.3900000000000032E-2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11"/>
      <c r="H28" s="10"/>
      <c r="I28" s="10">
        <f t="shared" si="5"/>
        <v>8333</v>
      </c>
      <c r="J28" s="10">
        <f t="shared" si="3"/>
        <v>57688511738.285683</v>
      </c>
      <c r="K28" s="11">
        <f t="shared" si="4"/>
        <v>2.4599999999999955E-2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11"/>
      <c r="H29" s="10"/>
      <c r="I29" s="10">
        <f t="shared" si="5"/>
        <v>8333</v>
      </c>
      <c r="J29" s="10">
        <f t="shared" si="3"/>
        <v>56303446943.476173</v>
      </c>
      <c r="K29" s="11">
        <f t="shared" si="4"/>
        <v>2.4899999999999922E-2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11"/>
      <c r="H30" s="10"/>
      <c r="I30" s="10">
        <f t="shared" si="5"/>
        <v>8333</v>
      </c>
      <c r="J30" s="10">
        <f t="shared" si="3"/>
        <v>54935551705.996857</v>
      </c>
      <c r="K30" s="11">
        <f t="shared" si="4"/>
        <v>2.5199999999999889E-2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11"/>
      <c r="H31" s="10"/>
      <c r="I31" s="10">
        <f t="shared" si="5"/>
        <v>8333</v>
      </c>
      <c r="J31" s="10">
        <f t="shared" si="3"/>
        <v>53585204551.304001</v>
      </c>
      <c r="K31" s="11">
        <f t="shared" si="4"/>
        <v>2.5400000000000089E-2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11"/>
      <c r="H32" s="10"/>
      <c r="I32" s="10">
        <f t="shared" si="5"/>
        <v>8333</v>
      </c>
      <c r="J32" s="10">
        <f t="shared" si="3"/>
        <v>52257855033.454254</v>
      </c>
      <c r="K32" s="11">
        <f t="shared" si="4"/>
        <v>2.5400000000000089E-2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11"/>
      <c r="H33" s="10"/>
      <c r="I33" s="10">
        <f t="shared" si="5"/>
        <v>8333</v>
      </c>
      <c r="J33" s="10">
        <f t="shared" si="3"/>
        <v>50963385053.105377</v>
      </c>
      <c r="K33" s="11">
        <f t="shared" si="4"/>
        <v>2.5600000000000289E-2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11"/>
      <c r="H34" s="10"/>
      <c r="I34" s="10">
        <f t="shared" si="5"/>
        <v>8333</v>
      </c>
      <c r="J34" s="10">
        <f t="shared" ref="J34:J65" si="6">IF(I34="","",I34*C34)</f>
        <v>49691288078.300865</v>
      </c>
      <c r="K34" s="11">
        <f t="shared" ref="K34:K65" si="7">IFERROR(J34/J35-1,"")</f>
        <v>2.6499999999999968E-2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11"/>
      <c r="H35" s="10"/>
      <c r="I35" s="10">
        <f t="shared" ref="I35:I66" si="8">IF(H35&lt;&gt;"",H35,I34/(1+IF(G34="",0,G34)))</f>
        <v>8333</v>
      </c>
      <c r="J35" s="10">
        <f t="shared" si="6"/>
        <v>48408463787.920959</v>
      </c>
      <c r="K35" s="11">
        <f t="shared" si="7"/>
        <v>2.8200000000000003E-2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11"/>
      <c r="H36" s="10"/>
      <c r="I36" s="10">
        <f t="shared" si="8"/>
        <v>8333</v>
      </c>
      <c r="J36" s="10">
        <f t="shared" si="6"/>
        <v>47080785633.068428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11"/>
      <c r="H37" s="10"/>
      <c r="I37" s="10">
        <f t="shared" si="8"/>
        <v>8333</v>
      </c>
      <c r="J37" s="10">
        <f t="shared" si="6"/>
        <v>45731700469.22625</v>
      </c>
      <c r="K37" s="11">
        <f t="shared" si="7"/>
        <v>3.0399999999999761E-2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11"/>
      <c r="H38" s="10"/>
      <c r="I38" s="10">
        <f t="shared" si="8"/>
        <v>8333</v>
      </c>
      <c r="J38" s="10">
        <f t="shared" si="6"/>
        <v>44382473281.469582</v>
      </c>
      <c r="K38" s="11">
        <f t="shared" si="7"/>
        <v>3.1400000000000095E-2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11"/>
      <c r="H39" s="10"/>
      <c r="I39" s="10">
        <f t="shared" si="8"/>
        <v>8333</v>
      </c>
      <c r="J39" s="10">
        <f t="shared" si="6"/>
        <v>43031290751.861137</v>
      </c>
      <c r="K39" s="11">
        <f t="shared" si="7"/>
        <v>3.2200000000000006E-2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11"/>
      <c r="H40" s="10"/>
      <c r="I40" s="10">
        <f t="shared" si="8"/>
        <v>8333</v>
      </c>
      <c r="J40" s="10">
        <f t="shared" si="6"/>
        <v>41688907916.935806</v>
      </c>
      <c r="K40" s="11">
        <f t="shared" si="7"/>
        <v>3.279999999999994E-2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11"/>
      <c r="H41" s="10"/>
      <c r="I41" s="10">
        <f t="shared" si="8"/>
        <v>8333</v>
      </c>
      <c r="J41" s="10">
        <f t="shared" si="6"/>
        <v>40364937952.106705</v>
      </c>
      <c r="K41" s="11">
        <f t="shared" si="7"/>
        <v>3.2899999999999929E-2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11"/>
      <c r="H42" s="10"/>
      <c r="I42" s="10">
        <f t="shared" si="8"/>
        <v>8333</v>
      </c>
      <c r="J42" s="10">
        <f t="shared" si="6"/>
        <v>39079231244.173401</v>
      </c>
      <c r="K42" s="11">
        <f t="shared" si="7"/>
        <v>3.259999999999974E-2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11"/>
      <c r="H43" s="10"/>
      <c r="I43" s="10">
        <f t="shared" si="8"/>
        <v>8333</v>
      </c>
      <c r="J43" s="10">
        <f t="shared" si="6"/>
        <v>37845468956.201248</v>
      </c>
      <c r="K43" s="11">
        <f t="shared" si="7"/>
        <v>3.2200000000000006E-2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11"/>
      <c r="H44" s="10"/>
      <c r="I44" s="10">
        <f t="shared" si="8"/>
        <v>8333</v>
      </c>
      <c r="J44" s="10">
        <f t="shared" si="6"/>
        <v>36664860449.720253</v>
      </c>
      <c r="K44" s="11">
        <f t="shared" si="7"/>
        <v>3.1800000000000272E-2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11"/>
      <c r="H45" s="10"/>
      <c r="I45" s="10">
        <f t="shared" si="8"/>
        <v>8333</v>
      </c>
      <c r="J45" s="10">
        <f t="shared" si="6"/>
        <v>35534852151.308632</v>
      </c>
      <c r="K45" s="11">
        <f t="shared" si="7"/>
        <v>3.1500000000000083E-2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11"/>
      <c r="H46" s="10"/>
      <c r="I46" s="10">
        <f t="shared" si="8"/>
        <v>8333</v>
      </c>
      <c r="J46" s="10">
        <f t="shared" si="6"/>
        <v>34449687010.478554</v>
      </c>
      <c r="K46" s="11">
        <f t="shared" si="7"/>
        <v>2.7800000000000047E-2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11"/>
      <c r="H47" s="10"/>
      <c r="I47" s="10">
        <f t="shared" si="8"/>
        <v>8333</v>
      </c>
      <c r="J47" s="10">
        <f t="shared" si="6"/>
        <v>33517889677.445568</v>
      </c>
      <c r="K47" s="11">
        <f t="shared" si="7"/>
        <v>2.4000000000000021E-2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11"/>
      <c r="H48" s="10"/>
      <c r="I48" s="10">
        <f t="shared" si="8"/>
        <v>8333</v>
      </c>
      <c r="J48" s="10">
        <f t="shared" si="6"/>
        <v>32732314138.130436</v>
      </c>
      <c r="K48" s="11">
        <f t="shared" si="7"/>
        <v>2.4000000000000021E-2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11"/>
      <c r="H49" s="10"/>
      <c r="I49" s="10">
        <f t="shared" si="8"/>
        <v>8333</v>
      </c>
      <c r="J49" s="10">
        <f t="shared" si="6"/>
        <v>31965150525.518002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11"/>
      <c r="H50" s="10"/>
      <c r="I50" s="10">
        <f t="shared" si="8"/>
        <v>8333</v>
      </c>
      <c r="J50" s="10">
        <f t="shared" si="6"/>
        <v>31215967310.076172</v>
      </c>
      <c r="K50" s="11">
        <f t="shared" si="7"/>
        <v>2.4000000000000021E-2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11"/>
      <c r="H51" s="10"/>
      <c r="I51" s="10">
        <f t="shared" si="8"/>
        <v>8333</v>
      </c>
      <c r="J51" s="10">
        <f t="shared" si="6"/>
        <v>30484343076.246262</v>
      </c>
      <c r="K51" s="11">
        <f t="shared" si="7"/>
        <v>2.3900000000000032E-2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11"/>
      <c r="H52" s="10"/>
      <c r="I52" s="10">
        <f t="shared" si="8"/>
        <v>8333</v>
      </c>
      <c r="J52" s="10">
        <f t="shared" si="6"/>
        <v>29772773782.836468</v>
      </c>
      <c r="K52" s="11">
        <f t="shared" si="7"/>
        <v>2.4000000000000021E-2</v>
      </c>
      <c r="L52" t="inlineStr">
        <is>
          <t xml:space="preserve">Arten Fiscal Crisis - trade &amp; financial fallout across the region.</t>
        </is>
      </c>
      <c r="M52" t="inlineStr">
        <is>
          <t xml:space="preserve">Arten Fiscal Crisis (1713-15): capital flight and imperial-debt default triggered by the Arten Revolution and the 1715 Declaration of Rights.</t>
        </is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11"/>
      <c r="H53" s="10"/>
      <c r="I53" s="10">
        <f t="shared" si="8"/>
        <v>8333</v>
      </c>
      <c r="J53" s="10">
        <f t="shared" si="6"/>
        <v>29074974397.301235</v>
      </c>
      <c r="K53" s="11">
        <f t="shared" si="7"/>
        <v>2.3900000000000032E-2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11"/>
      <c r="H54" s="10"/>
      <c r="I54" s="10">
        <f t="shared" si="8"/>
        <v>8333</v>
      </c>
      <c r="J54" s="10">
        <f t="shared" si="6"/>
        <v>28396302761.306019</v>
      </c>
      <c r="K54" s="11">
        <f t="shared" si="7"/>
        <v>2.4000000000000021E-2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11"/>
      <c r="H55" s="10"/>
      <c r="I55" s="10">
        <f t="shared" si="8"/>
        <v>8333</v>
      </c>
      <c r="J55" s="10">
        <f t="shared" si="6"/>
        <v>27730764415.33791</v>
      </c>
      <c r="K55" s="11">
        <f t="shared" si="7"/>
        <v>2.3800000000000043E-2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11"/>
      <c r="H56" s="10"/>
      <c r="I56" s="10">
        <f t="shared" si="8"/>
        <v>8333</v>
      </c>
      <c r="J56" s="10">
        <f t="shared" si="6"/>
        <v>27086114881.166153</v>
      </c>
      <c r="K56" s="11">
        <f t="shared" si="7"/>
        <v>2.2999999999999909E-2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11"/>
      <c r="H57" s="10"/>
      <c r="I57" s="10">
        <f t="shared" si="8"/>
        <v>8333</v>
      </c>
      <c r="J57" s="10">
        <f t="shared" si="6"/>
        <v>26477140646.301228</v>
      </c>
      <c r="K57" s="11">
        <f t="shared" si="7"/>
        <v>2.2599999999999953E-2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11"/>
      <c r="H58" s="10"/>
      <c r="I58" s="10">
        <f t="shared" si="8"/>
        <v>8333</v>
      </c>
      <c r="J58" s="10">
        <f t="shared" si="6"/>
        <v>25891981856.347771</v>
      </c>
      <c r="K58" s="11">
        <f t="shared" si="7"/>
        <v>2.2699999999999942E-2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11"/>
      <c r="H59" s="10"/>
      <c r="I59" s="10">
        <f t="shared" si="8"/>
        <v>8333</v>
      </c>
      <c r="J59" s="10">
        <f t="shared" si="6"/>
        <v>25317279609.21851</v>
      </c>
      <c r="K59" s="11">
        <f t="shared" si="7"/>
        <v>2.3700000000000054E-2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11"/>
      <c r="H60" s="10"/>
      <c r="I60" s="10">
        <f t="shared" si="8"/>
        <v>8333</v>
      </c>
      <c r="J60" s="10">
        <f t="shared" si="6"/>
        <v>24731151322.86657</v>
      </c>
      <c r="K60" s="11">
        <f t="shared" si="7"/>
        <v>2.48999999999997E-2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11"/>
      <c r="H61" s="10"/>
      <c r="I61" s="10">
        <f t="shared" si="8"/>
        <v>8333</v>
      </c>
      <c r="J61" s="10">
        <f t="shared" si="6"/>
        <v>24130306686.375816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11"/>
      <c r="H62" s="10"/>
      <c r="I62" s="10">
        <f t="shared" si="8"/>
        <v>8333</v>
      </c>
      <c r="J62" s="10">
        <f t="shared" si="6"/>
        <v>23530284433.326</v>
      </c>
      <c r="K62" s="11">
        <f t="shared" si="7"/>
        <v>2.5999999999999801E-2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11"/>
      <c r="H63" s="10"/>
      <c r="I63" s="10">
        <f t="shared" si="8"/>
        <v>8333</v>
      </c>
      <c r="J63" s="10">
        <f t="shared" si="6"/>
        <v>22934000422.345032</v>
      </c>
      <c r="K63" s="11">
        <f t="shared" si="7"/>
        <v>2.6100000000000012E-2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11"/>
      <c r="H64" s="10"/>
      <c r="I64" s="10">
        <f t="shared" si="8"/>
        <v>8333</v>
      </c>
      <c r="J64" s="10">
        <f t="shared" si="6"/>
        <v>22350648496.584183</v>
      </c>
      <c r="K64" s="11">
        <f t="shared" si="7"/>
        <v>2.6100000000000012E-2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11"/>
      <c r="H65" s="10"/>
      <c r="I65" s="10">
        <f t="shared" si="8"/>
        <v>8333</v>
      </c>
      <c r="J65" s="10">
        <f t="shared" si="6"/>
        <v>21782134778.856041</v>
      </c>
      <c r="K65" s="11">
        <f t="shared" si="7"/>
        <v>2.5800000000000045E-2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11"/>
      <c r="H66" s="10"/>
      <c r="I66" s="10">
        <f t="shared" si="8"/>
        <v>8333</v>
      </c>
      <c r="J66" s="10">
        <f t="shared" ref="J66:J97" si="9">IF(I66="","",I66*C66)</f>
        <v>21234290094.420002</v>
      </c>
      <c r="K66" s="11">
        <f t="shared" ref="K66:K97" si="10">IFERROR(J66/J67-1,"")</f>
        <v>2.6100000000000012E-2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11"/>
      <c r="H67" s="10"/>
      <c r="I67" s="10">
        <f t="shared" ref="I67:I98" si="11">IF(H67&lt;&gt;"",H67,I66/(1+IF(G66="",0,G66)))</f>
        <v>8333</v>
      </c>
      <c r="J67" s="10">
        <f t="shared" si="9"/>
        <v>20694172200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11"/>
      <c r="H2" s="10"/>
      <c r="I2" s="10">
        <f>IF(H2&lt;&gt;"",H2,8849)</f>
        <v>8849</v>
      </c>
      <c r="J2" s="10">
        <f t="shared" ref="J2:J33" si="3">IF(I2="","",I2*C2)</f>
        <v>128043904853.04085</v>
      </c>
      <c r="K2" s="11">
        <f t="shared" ref="K2:K33" si="4">IFERROR(J2/J3-1,"")</f>
        <v>-1.9999999999997797E-4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11"/>
      <c r="H3" s="10"/>
      <c r="I3" s="10">
        <f t="shared" ref="I3:I34" si="5">IF(H3&lt;&gt;"",H3,I2/(1+IF(G2="",0,G2)))</f>
        <v>8849</v>
      </c>
      <c r="J3" s="10">
        <f t="shared" si="3"/>
        <v>128069518756.79221</v>
      </c>
      <c r="K3" s="11">
        <f t="shared" si="4"/>
        <v>-2.8000000000000247E-3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11"/>
      <c r="H4" s="10"/>
      <c r="I4" s="10">
        <f t="shared" si="5"/>
        <v>8849</v>
      </c>
      <c r="J4" s="10">
        <f t="shared" si="3"/>
        <v>128429120293.61433</v>
      </c>
      <c r="K4" s="11">
        <f t="shared" si="4"/>
        <v>-1.2600000000000056E-2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11"/>
      <c r="H5" s="10"/>
      <c r="I5" s="10">
        <f t="shared" si="5"/>
        <v>8849</v>
      </c>
      <c r="J5" s="10">
        <f t="shared" si="3"/>
        <v>130067976801.31085</v>
      </c>
      <c r="K5" s="11">
        <f t="shared" si="4"/>
        <v>-1.2199999999999878E-2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11"/>
      <c r="H6" s="10"/>
      <c r="I6" s="10">
        <f t="shared" si="5"/>
        <v>8849</v>
      </c>
      <c r="J6" s="10">
        <f t="shared" si="3"/>
        <v>131674404536.65807</v>
      </c>
      <c r="K6" s="11">
        <f t="shared" si="4"/>
        <v>-2.0999999999999908E-3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11"/>
      <c r="H7" s="10"/>
      <c r="I7" s="10">
        <f t="shared" si="5"/>
        <v>8849</v>
      </c>
      <c r="J7" s="10">
        <f t="shared" si="3"/>
        <v>131951502692.31192</v>
      </c>
      <c r="K7" s="11">
        <f t="shared" si="4"/>
        <v>-1.0999999999999899E-3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11"/>
      <c r="H8" s="10"/>
      <c r="I8" s="10">
        <f t="shared" si="5"/>
        <v>8849</v>
      </c>
      <c r="J8" s="10">
        <f t="shared" si="3"/>
        <v>132096809182.41257</v>
      </c>
      <c r="K8" s="11">
        <f t="shared" si="4"/>
        <v>-2.0000000000000018E-3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11"/>
      <c r="H9" s="10"/>
      <c r="I9" s="10">
        <f t="shared" si="5"/>
        <v>8849</v>
      </c>
      <c r="J9" s="10">
        <f t="shared" si="3"/>
        <v>132361532246.90639</v>
      </c>
      <c r="K9" s="11">
        <f t="shared" si="4"/>
        <v>-2.0000000000000018E-3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11"/>
      <c r="H10" s="10"/>
      <c r="I10" s="10">
        <f t="shared" si="5"/>
        <v>8849</v>
      </c>
      <c r="J10" s="10">
        <f t="shared" si="3"/>
        <v>132626785818.54347</v>
      </c>
      <c r="K10" s="11">
        <f t="shared" si="4"/>
        <v>-4.2000000000000925E-3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11"/>
      <c r="H11" s="10"/>
      <c r="I11" s="10">
        <f t="shared" si="5"/>
        <v>8849</v>
      </c>
      <c r="J11" s="10">
        <f t="shared" si="3"/>
        <v>133186167722.98</v>
      </c>
      <c r="K11" s="11">
        <f t="shared" si="4"/>
        <v>-6.5999999999999392E-3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11"/>
      <c r="H12" s="10"/>
      <c r="I12" s="10">
        <f t="shared" si="5"/>
        <v>8849</v>
      </c>
      <c r="J12" s="10">
        <f t="shared" si="3"/>
        <v>134071036564.3044</v>
      </c>
      <c r="K12" s="11">
        <f t="shared" si="4"/>
        <v>-6.6999999999999282E-3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11"/>
      <c r="H13" s="10"/>
      <c r="I13" s="10">
        <f t="shared" si="5"/>
        <v>8849</v>
      </c>
      <c r="J13" s="10">
        <f t="shared" si="3"/>
        <v>134975371553.71428</v>
      </c>
      <c r="K13" s="11">
        <f t="shared" si="4"/>
        <v>-7.2999999999999732E-3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11"/>
      <c r="H14" s="10"/>
      <c r="I14" s="10">
        <f t="shared" si="5"/>
        <v>8849</v>
      </c>
      <c r="J14" s="10">
        <f t="shared" si="3"/>
        <v>135967937497.44563</v>
      </c>
      <c r="K14" s="11">
        <f t="shared" si="4"/>
        <v>-5.3999999999999604E-3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11"/>
      <c r="H15" s="10"/>
      <c r="I15" s="10">
        <f t="shared" si="5"/>
        <v>8849</v>
      </c>
      <c r="J15" s="10">
        <f t="shared" si="3"/>
        <v>136706150711.28658</v>
      </c>
      <c r="K15" s="11">
        <f t="shared" si="4"/>
        <v>-1.5000000000000568E-3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11"/>
      <c r="H16" s="10"/>
      <c r="I16" s="10">
        <f t="shared" si="5"/>
        <v>8849</v>
      </c>
      <c r="J16" s="10">
        <f t="shared" si="3"/>
        <v>136911517988.26898</v>
      </c>
      <c r="K16" s="11">
        <f t="shared" si="4"/>
        <v>1.3000000000000789E-3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11"/>
      <c r="H17" s="10"/>
      <c r="I17" s="10">
        <f t="shared" si="5"/>
        <v>8849</v>
      </c>
      <c r="J17" s="10">
        <f t="shared" si="3"/>
        <v>136733764094.94554</v>
      </c>
      <c r="K17" s="11">
        <f t="shared" si="4"/>
        <v>2.5999999999999357E-3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11"/>
      <c r="H18" s="10"/>
      <c r="I18" s="10">
        <f t="shared" si="5"/>
        <v>8849</v>
      </c>
      <c r="J18" s="10">
        <f t="shared" si="3"/>
        <v>136379178231.54355</v>
      </c>
      <c r="K18" s="11">
        <f t="shared" si="4"/>
        <v>2.6999999999999247E-3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11"/>
      <c r="H19" s="10"/>
      <c r="I19" s="10">
        <f t="shared" si="5"/>
        <v>8849</v>
      </c>
      <c r="J19" s="10">
        <f t="shared" si="3"/>
        <v>136011945977.40456</v>
      </c>
      <c r="K19" s="11">
        <f t="shared" si="4"/>
        <v>2.4999999999999467E-3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11"/>
      <c r="H20" s="10"/>
      <c r="I20" s="10">
        <f t="shared" si="5"/>
        <v>8849</v>
      </c>
      <c r="J20" s="10">
        <f t="shared" si="3"/>
        <v>135672764067.23647</v>
      </c>
      <c r="K20" s="11">
        <f t="shared" si="4"/>
        <v>2.9999999999998916E-3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11"/>
      <c r="H21" s="10"/>
      <c r="I21" s="10">
        <f t="shared" si="5"/>
        <v>8849</v>
      </c>
      <c r="J21" s="10">
        <f t="shared" si="3"/>
        <v>135266963177.70337</v>
      </c>
      <c r="K21" s="11">
        <f t="shared" si="4"/>
        <v>2.8999999999999027E-3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11"/>
      <c r="H22" s="10"/>
      <c r="I22" s="10">
        <f t="shared" si="5"/>
        <v>8849</v>
      </c>
      <c r="J22" s="10">
        <f t="shared" si="3"/>
        <v>134875823290.16191</v>
      </c>
      <c r="K22" s="11">
        <f t="shared" si="4"/>
        <v>2.4999999999999467E-3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11"/>
      <c r="H23" s="10"/>
      <c r="I23" s="10">
        <f t="shared" si="5"/>
        <v>8849</v>
      </c>
      <c r="J23" s="10">
        <f t="shared" si="3"/>
        <v>134539474603.65279</v>
      </c>
      <c r="K23" s="11">
        <f t="shared" si="4"/>
        <v>2.3999999999999577E-3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11"/>
      <c r="H24" s="10"/>
      <c r="I24" s="10">
        <f t="shared" si="5"/>
        <v>8849</v>
      </c>
      <c r="J24" s="10">
        <f t="shared" si="3"/>
        <v>134217352956.55707</v>
      </c>
      <c r="K24" s="11">
        <f t="shared" si="4"/>
        <v>3.7000000000000366E-3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11"/>
      <c r="H25" s="10"/>
      <c r="I25" s="10">
        <f t="shared" si="5"/>
        <v>8849</v>
      </c>
      <c r="J25" s="10">
        <f t="shared" si="3"/>
        <v>133722579412.72995</v>
      </c>
      <c r="K25" s="11">
        <f t="shared" si="4"/>
        <v>5.2000000000000934E-3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11"/>
      <c r="H26" s="10"/>
      <c r="I26" s="10">
        <f t="shared" si="5"/>
        <v>8849</v>
      </c>
      <c r="J26" s="10">
        <f t="shared" si="3"/>
        <v>133030819153.13365</v>
      </c>
      <c r="K26" s="11">
        <f t="shared" si="4"/>
        <v>4.0999999999999925E-3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11"/>
      <c r="H27" s="10"/>
      <c r="I27" s="10">
        <f t="shared" si="5"/>
        <v>8849</v>
      </c>
      <c r="J27" s="10">
        <f t="shared" si="3"/>
        <v>132487619911.49652</v>
      </c>
      <c r="K27" s="11">
        <f t="shared" si="4"/>
        <v>3.8000000000000256E-3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11"/>
      <c r="H28" s="10"/>
      <c r="I28" s="10">
        <f t="shared" si="5"/>
        <v>8849</v>
      </c>
      <c r="J28" s="10">
        <f t="shared" si="3"/>
        <v>131986072834.72456</v>
      </c>
      <c r="K28" s="11">
        <f t="shared" si="4"/>
        <v>5.5000000000000604E-3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11"/>
      <c r="H29" s="10"/>
      <c r="I29" s="10">
        <f t="shared" si="5"/>
        <v>8849</v>
      </c>
      <c r="J29" s="10">
        <f t="shared" si="3"/>
        <v>131264120173.76883</v>
      </c>
      <c r="K29" s="11">
        <f t="shared" si="4"/>
        <v>4.8999999999999044E-3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11"/>
      <c r="H30" s="10"/>
      <c r="I30" s="10">
        <f t="shared" si="5"/>
        <v>8849</v>
      </c>
      <c r="J30" s="10">
        <f t="shared" si="3"/>
        <v>130624062268.65244</v>
      </c>
      <c r="K30" s="11">
        <f t="shared" si="4"/>
        <v>4.3999999999999595E-3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11"/>
      <c r="H31" s="10"/>
      <c r="I31" s="10">
        <f t="shared" si="5"/>
        <v>8849</v>
      </c>
      <c r="J31" s="10">
        <f t="shared" si="3"/>
        <v>130051834198.18044</v>
      </c>
      <c r="K31" s="11">
        <f t="shared" si="4"/>
        <v>4.6999999999999265E-3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11"/>
      <c r="H32" s="10"/>
      <c r="I32" s="10">
        <f t="shared" si="5"/>
        <v>8849</v>
      </c>
      <c r="J32" s="10">
        <f t="shared" si="3"/>
        <v>129443449983.25914</v>
      </c>
      <c r="K32" s="11">
        <f t="shared" si="4"/>
        <v>4.9999999999998934E-3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11"/>
      <c r="H33" s="10"/>
      <c r="I33" s="10">
        <f t="shared" si="5"/>
        <v>8849</v>
      </c>
      <c r="J33" s="10">
        <f t="shared" si="3"/>
        <v>128799452719.66086</v>
      </c>
      <c r="K33" s="11">
        <f t="shared" si="4"/>
        <v>5.9000000000000163E-3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11"/>
      <c r="H34" s="10"/>
      <c r="I34" s="10">
        <f t="shared" si="5"/>
        <v>8849</v>
      </c>
      <c r="J34" s="10">
        <f t="shared" ref="J34:J65" si="6">IF(I34="","",I34*C34)</f>
        <v>128043993160.01675</v>
      </c>
      <c r="K34" s="11">
        <f t="shared" ref="K34:K65" si="7">IFERROR(J34/J35-1,"")</f>
        <v>7.6000000000000512E-3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11"/>
      <c r="H35" s="10"/>
      <c r="I35" s="10">
        <f t="shared" ref="I35:I66" si="8">IF(H35&lt;&gt;"",H35,I34/(1+IF(G34="",0,G34)))</f>
        <v>8849</v>
      </c>
      <c r="J35" s="10">
        <f t="shared" si="6"/>
        <v>127078198848.76613</v>
      </c>
      <c r="K35" s="11">
        <f t="shared" si="7"/>
        <v>1.2000000000000011E-2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11"/>
      <c r="H36" s="10"/>
      <c r="I36" s="10">
        <f t="shared" si="8"/>
        <v>8849</v>
      </c>
      <c r="J36" s="10">
        <f t="shared" si="6"/>
        <v>125571342735.93491</v>
      </c>
      <c r="K36" s="11">
        <f t="shared" si="7"/>
        <v>1.0599999999999943E-2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11"/>
      <c r="H37" s="10"/>
      <c r="I37" s="10">
        <f t="shared" si="8"/>
        <v>8849</v>
      </c>
      <c r="J37" s="10">
        <f t="shared" si="6"/>
        <v>124254247710.20673</v>
      </c>
      <c r="K37" s="11">
        <f t="shared" si="7"/>
        <v>5.2000000000000934E-3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11"/>
      <c r="H38" s="10"/>
      <c r="I38" s="10">
        <f t="shared" si="8"/>
        <v>8849</v>
      </c>
      <c r="J38" s="10">
        <f t="shared" si="6"/>
        <v>123611468076.21042</v>
      </c>
      <c r="K38" s="11">
        <f t="shared" si="7"/>
        <v>3.6000000000000476E-3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11"/>
      <c r="H39" s="10"/>
      <c r="I39" s="10">
        <f t="shared" si="8"/>
        <v>8849</v>
      </c>
      <c r="J39" s="10">
        <f t="shared" si="6"/>
        <v>123168063049.23317</v>
      </c>
      <c r="K39" s="11">
        <f t="shared" si="7"/>
        <v>3.3000000000000806E-3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11"/>
      <c r="H40" s="10"/>
      <c r="I40" s="10">
        <f t="shared" si="8"/>
        <v>8849</v>
      </c>
      <c r="J40" s="10">
        <f t="shared" si="6"/>
        <v>122762945329.64532</v>
      </c>
      <c r="K40" s="11">
        <f t="shared" si="7"/>
        <v>3.3000000000000806E-3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11"/>
      <c r="H41" s="10"/>
      <c r="I41" s="10">
        <f t="shared" si="8"/>
        <v>8849</v>
      </c>
      <c r="J41" s="10">
        <f t="shared" si="6"/>
        <v>122359160101.31099</v>
      </c>
      <c r="K41" s="11">
        <f t="shared" si="7"/>
        <v>3.9000000000000146E-3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11"/>
      <c r="H42" s="10"/>
      <c r="I42" s="10">
        <f t="shared" si="8"/>
        <v>8849</v>
      </c>
      <c r="J42" s="10">
        <f t="shared" si="6"/>
        <v>121883813229.71509</v>
      </c>
      <c r="K42" s="11">
        <f t="shared" si="7"/>
        <v>4.9999999999998934E-3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11"/>
      <c r="H43" s="10"/>
      <c r="I43" s="10">
        <f t="shared" si="8"/>
        <v>8849</v>
      </c>
      <c r="J43" s="10">
        <f t="shared" si="6"/>
        <v>121277426099.21901</v>
      </c>
      <c r="K43" s="11">
        <f t="shared" si="7"/>
        <v>5.8000000000000274E-3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11"/>
      <c r="H44" s="10"/>
      <c r="I44" s="10">
        <f t="shared" si="8"/>
        <v>8849</v>
      </c>
      <c r="J44" s="10">
        <f t="shared" si="6"/>
        <v>120578073274.22849</v>
      </c>
      <c r="K44" s="11">
        <f t="shared" si="7"/>
        <v>6.1999999999999833E-3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11"/>
      <c r="H45" s="10"/>
      <c r="I45" s="10">
        <f t="shared" si="8"/>
        <v>8849</v>
      </c>
      <c r="J45" s="10">
        <f t="shared" si="6"/>
        <v>119835095681.00626</v>
      </c>
      <c r="K45" s="11">
        <f t="shared" si="7"/>
        <v>8.999999999999897E-3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11"/>
      <c r="H46" s="10"/>
      <c r="I46" s="10">
        <f t="shared" si="8"/>
        <v>8849</v>
      </c>
      <c r="J46" s="10">
        <f t="shared" si="6"/>
        <v>118766199882.06766</v>
      </c>
      <c r="K46" s="11">
        <f t="shared" si="7"/>
        <v>9.8000000000000309E-3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11"/>
      <c r="H47" s="10"/>
      <c r="I47" s="10">
        <f t="shared" si="8"/>
        <v>8849</v>
      </c>
      <c r="J47" s="10">
        <f t="shared" si="6"/>
        <v>117613586732.09314</v>
      </c>
      <c r="K47" s="11">
        <f t="shared" si="7"/>
        <v>1.2499999999999956E-2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11"/>
      <c r="H48" s="10"/>
      <c r="I48" s="10">
        <f t="shared" si="8"/>
        <v>8849</v>
      </c>
      <c r="J48" s="10">
        <f t="shared" si="6"/>
        <v>116161567142.80804</v>
      </c>
      <c r="K48" s="11">
        <f t="shared" si="7"/>
        <v>1.2999999999999678E-2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11"/>
      <c r="H49" s="10"/>
      <c r="I49" s="10">
        <f t="shared" si="8"/>
        <v>8849</v>
      </c>
      <c r="J49" s="10">
        <f t="shared" si="6"/>
        <v>114670846142.94972</v>
      </c>
      <c r="K49" s="11">
        <f t="shared" si="7"/>
        <v>1.2999999999999901E-2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11"/>
      <c r="H50" s="10"/>
      <c r="I50" s="10">
        <f t="shared" si="8"/>
        <v>8849</v>
      </c>
      <c r="J50" s="10">
        <f t="shared" si="6"/>
        <v>113199255817.32451</v>
      </c>
      <c r="K50" s="11">
        <f t="shared" si="7"/>
        <v>1.5500000000000069E-2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11"/>
      <c r="H51" s="10"/>
      <c r="I51" s="10">
        <f t="shared" si="8"/>
        <v>8849</v>
      </c>
      <c r="J51" s="10">
        <f t="shared" si="6"/>
        <v>111471448367.6263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11"/>
      <c r="H52" s="10"/>
      <c r="I52" s="10">
        <f t="shared" si="8"/>
        <v>8849</v>
      </c>
      <c r="J52" s="10">
        <f t="shared" si="6"/>
        <v>110433374645.95432</v>
      </c>
      <c r="K52" s="11">
        <f t="shared" si="7"/>
        <v>3.6999999999998145E-3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11"/>
      <c r="H53" s="10"/>
      <c r="I53" s="10">
        <f t="shared" si="8"/>
        <v>8849</v>
      </c>
      <c r="J53" s="10">
        <f t="shared" si="6"/>
        <v>110026277419.50217</v>
      </c>
      <c r="K53" s="11">
        <f t="shared" si="7"/>
        <v>4.5000000000001705E-3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11"/>
      <c r="H54" s="10"/>
      <c r="I54" s="10">
        <f t="shared" si="8"/>
        <v>8849</v>
      </c>
      <c r="J54" s="10">
        <f t="shared" si="6"/>
        <v>109533377222.00314</v>
      </c>
      <c r="K54" s="11">
        <f t="shared" si="7"/>
        <v>6.4999999999999503E-3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11"/>
      <c r="H55" s="10"/>
      <c r="I55" s="10">
        <f t="shared" si="8"/>
        <v>8849</v>
      </c>
      <c r="J55" s="10">
        <f t="shared" si="6"/>
        <v>108826008168.90527</v>
      </c>
      <c r="K55" s="11">
        <f t="shared" si="7"/>
        <v>4.3000000000001926E-3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11"/>
      <c r="H56" s="10"/>
      <c r="I56" s="10">
        <f t="shared" si="8"/>
        <v>8849</v>
      </c>
      <c r="J56" s="10">
        <f t="shared" si="6"/>
        <v>108360059911.28673</v>
      </c>
      <c r="K56" s="11">
        <f t="shared" si="7"/>
        <v>2.2999999999999687E-3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11"/>
      <c r="H57" s="10"/>
      <c r="I57" s="10">
        <f t="shared" si="8"/>
        <v>8849</v>
      </c>
      <c r="J57" s="10">
        <f t="shared" si="6"/>
        <v>108111403682.81625</v>
      </c>
      <c r="K57" s="11">
        <f t="shared" si="7"/>
        <v>3.7000000000000366E-3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11"/>
      <c r="H58" s="10"/>
      <c r="I58" s="10">
        <f t="shared" si="8"/>
        <v>8849</v>
      </c>
      <c r="J58" s="10">
        <f t="shared" si="6"/>
        <v>107712866078.32645</v>
      </c>
      <c r="K58" s="11">
        <f t="shared" si="7"/>
        <v>6.4999999999999503E-3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11"/>
      <c r="H59" s="10"/>
      <c r="I59" s="10">
        <f t="shared" si="8"/>
        <v>8849</v>
      </c>
      <c r="J59" s="10">
        <f t="shared" si="6"/>
        <v>107017253927.79578</v>
      </c>
      <c r="K59" s="11">
        <f t="shared" si="7"/>
        <v>8.0999999999999961E-3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11"/>
      <c r="H60" s="10"/>
      <c r="I60" s="10">
        <f t="shared" si="8"/>
        <v>8849</v>
      </c>
      <c r="J60" s="10">
        <f t="shared" si="6"/>
        <v>106157379156.62711</v>
      </c>
      <c r="K60" s="11">
        <f t="shared" si="7"/>
        <v>7.4000000000000732E-3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11"/>
      <c r="H61" s="10"/>
      <c r="I61" s="10">
        <f t="shared" si="8"/>
        <v>8849</v>
      </c>
      <c r="J61" s="10">
        <f t="shared" si="6"/>
        <v>105377585027.42415</v>
      </c>
      <c r="K61" s="11">
        <f t="shared" si="7"/>
        <v>4.6999999999999265E-3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11"/>
      <c r="H62" s="10"/>
      <c r="I62" s="10">
        <f t="shared" si="8"/>
        <v>8849</v>
      </c>
      <c r="J62" s="10">
        <f t="shared" si="6"/>
        <v>104884627279.21187</v>
      </c>
      <c r="K62" s="11">
        <f t="shared" si="7"/>
        <v>3.6000000000000476E-3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11"/>
      <c r="H63" s="10"/>
      <c r="I63" s="10">
        <f t="shared" si="8"/>
        <v>8849</v>
      </c>
      <c r="J63" s="10">
        <f t="shared" si="6"/>
        <v>104508397049.83247</v>
      </c>
      <c r="K63" s="11">
        <f t="shared" si="7"/>
        <v>3.7000000000000366E-3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11"/>
      <c r="H64" s="10"/>
      <c r="I64" s="10">
        <f t="shared" si="8"/>
        <v>8849</v>
      </c>
      <c r="J64" s="10">
        <f t="shared" si="6"/>
        <v>104123141426.55421</v>
      </c>
      <c r="K64" s="11">
        <f t="shared" si="7"/>
        <v>6.0000000000000053E-3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11"/>
      <c r="H65" s="10"/>
      <c r="I65" s="10">
        <f t="shared" si="8"/>
        <v>8849</v>
      </c>
      <c r="J65" s="10">
        <f t="shared" si="6"/>
        <v>103502128654.62645</v>
      </c>
      <c r="K65" s="11">
        <f t="shared" si="7"/>
        <v>7.9000000000000181E-3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11"/>
      <c r="H66" s="10"/>
      <c r="I66" s="10">
        <f t="shared" si="8"/>
        <v>8849</v>
      </c>
      <c r="J66" s="10">
        <f t="shared" ref="J66:J97" si="9">IF(I66="","",I66*C66)</f>
        <v>102690870775.5</v>
      </c>
      <c r="K66" s="11">
        <f t="shared" ref="K66:K97" si="10">IFERROR(J66/J67-1,"")</f>
        <v>4.9999999999994493E-4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11"/>
      <c r="H67" s="10"/>
      <c r="I67" s="10">
        <f t="shared" ref="I67:I98" si="11">IF(H67&lt;&gt;"",H67,I66/(1+IF(G66="",0,G66)))</f>
        <v>8849</v>
      </c>
      <c r="J67" s="10">
        <f t="shared" si="9"/>
        <v>102639551000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11"/>
      <c r="H2" s="10"/>
      <c r="I2" s="10">
        <f>IF(H2&lt;&gt;"",H2,7262)</f>
        <v>7262</v>
      </c>
      <c r="J2" s="10">
        <f t="shared" ref="J2:J33" si="3">IF(I2="","",I2*C2)</f>
        <v>10204814708.994215</v>
      </c>
      <c r="K2" s="11">
        <f t="shared" ref="K2:K33" si="4">IFERROR(J2/J3-1,"")</f>
        <v>1.2699999999999934E-2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11"/>
      <c r="H3" s="10"/>
      <c r="I3" s="10">
        <f t="shared" ref="I3:I34" si="5">IF(H3&lt;&gt;"",H3,I2/(1+IF(G2="",0,G2)))</f>
        <v>7262</v>
      </c>
      <c r="J3" s="10">
        <f t="shared" si="3"/>
        <v>10076838855.528997</v>
      </c>
      <c r="K3" s="11">
        <f t="shared" si="4"/>
        <v>1.3100000000000112E-2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11"/>
      <c r="H4" s="10"/>
      <c r="I4" s="10">
        <f t="shared" si="5"/>
        <v>7262</v>
      </c>
      <c r="J4" s="10">
        <f t="shared" si="3"/>
        <v>9946539192.1123257</v>
      </c>
      <c r="K4" s="11">
        <f t="shared" si="4"/>
        <v>1.2699999999999934E-2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11"/>
      <c r="H5" s="10"/>
      <c r="I5" s="10">
        <f t="shared" si="5"/>
        <v>7262</v>
      </c>
      <c r="J5" s="10">
        <f t="shared" si="3"/>
        <v>9821802302.8659286</v>
      </c>
      <c r="K5" s="11">
        <f t="shared" si="4"/>
        <v>1.21E-2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11"/>
      <c r="H6" s="10"/>
      <c r="I6" s="10">
        <f t="shared" si="5"/>
        <v>7262</v>
      </c>
      <c r="J6" s="10">
        <f t="shared" si="3"/>
        <v>9704379313.1764927</v>
      </c>
      <c r="K6" s="11">
        <f t="shared" si="4"/>
        <v>1.3700000000000045E-2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11"/>
      <c r="H7" s="10"/>
      <c r="I7" s="10">
        <f t="shared" si="5"/>
        <v>7262</v>
      </c>
      <c r="J7" s="10">
        <f t="shared" si="3"/>
        <v>9573226115.3955727</v>
      </c>
      <c r="K7" s="11">
        <f t="shared" si="4"/>
        <v>1.5900000000000025E-2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11"/>
      <c r="H8" s="10"/>
      <c r="I8" s="10">
        <f t="shared" si="5"/>
        <v>7262</v>
      </c>
      <c r="J8" s="10">
        <f t="shared" si="3"/>
        <v>9423394148.4354496</v>
      </c>
      <c r="K8" s="11">
        <f t="shared" si="4"/>
        <v>1.6699999999999937E-2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11"/>
      <c r="H9" s="10"/>
      <c r="I9" s="10">
        <f t="shared" si="5"/>
        <v>7262</v>
      </c>
      <c r="J9" s="10">
        <f t="shared" si="3"/>
        <v>9268608388.3500061</v>
      </c>
      <c r="K9" s="11">
        <f t="shared" si="4"/>
        <v>1.7099999999999893E-2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11"/>
      <c r="H10" s="10"/>
      <c r="I10" s="10">
        <f t="shared" si="5"/>
        <v>7262</v>
      </c>
      <c r="J10" s="10">
        <f t="shared" si="3"/>
        <v>9112779852.8659992</v>
      </c>
      <c r="K10" s="11">
        <f t="shared" si="4"/>
        <v>1.7300000000000315E-2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11"/>
      <c r="H11" s="10"/>
      <c r="I11" s="10">
        <f t="shared" si="5"/>
        <v>7262</v>
      </c>
      <c r="J11" s="10">
        <f t="shared" si="3"/>
        <v>8957809744.2897835</v>
      </c>
      <c r="K11" s="11">
        <f t="shared" si="4"/>
        <v>1.7300000000000093E-2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11"/>
      <c r="H12" s="10"/>
      <c r="I12" s="10">
        <f t="shared" si="5"/>
        <v>7262</v>
      </c>
      <c r="J12" s="10">
        <f t="shared" si="3"/>
        <v>8805475026.3342018</v>
      </c>
      <c r="K12" s="11">
        <f t="shared" si="4"/>
        <v>1.7300000000000093E-2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11"/>
      <c r="H13" s="10"/>
      <c r="I13" s="10">
        <f t="shared" si="5"/>
        <v>7262</v>
      </c>
      <c r="J13" s="10">
        <f t="shared" si="3"/>
        <v>8655730882.074316</v>
      </c>
      <c r="K13" s="11">
        <f t="shared" si="4"/>
        <v>1.7400000000000082E-2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11"/>
      <c r="H14" s="10"/>
      <c r="I14" s="10">
        <f t="shared" si="5"/>
        <v>7262</v>
      </c>
      <c r="J14" s="10">
        <f t="shared" si="3"/>
        <v>8507696955.0563345</v>
      </c>
      <c r="K14" s="11">
        <f t="shared" si="4"/>
        <v>1.760000000000006E-2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11"/>
      <c r="H15" s="10"/>
      <c r="I15" s="10">
        <f t="shared" si="5"/>
        <v>7262</v>
      </c>
      <c r="J15" s="10">
        <f t="shared" si="3"/>
        <v>8360551253.0034733</v>
      </c>
      <c r="K15" s="11">
        <f t="shared" si="4"/>
        <v>1.7700000000000049E-2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11"/>
      <c r="H16" s="10"/>
      <c r="I16" s="10">
        <f t="shared" si="5"/>
        <v>7262</v>
      </c>
      <c r="J16" s="10">
        <f t="shared" si="3"/>
        <v>8215143218.0440922</v>
      </c>
      <c r="K16" s="11">
        <f t="shared" si="4"/>
        <v>1.7800000000000038E-2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11"/>
      <c r="H17" s="10"/>
      <c r="I17" s="10">
        <f t="shared" si="5"/>
        <v>7262</v>
      </c>
      <c r="J17" s="10">
        <f t="shared" si="3"/>
        <v>8071471033.6452074</v>
      </c>
      <c r="K17" s="11">
        <f t="shared" si="4"/>
        <v>1.8000000000000016E-2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11"/>
      <c r="H18" s="10"/>
      <c r="I18" s="10">
        <f t="shared" si="5"/>
        <v>7262</v>
      </c>
      <c r="J18" s="10">
        <f t="shared" si="3"/>
        <v>7928753471.1642513</v>
      </c>
      <c r="K18" s="11">
        <f t="shared" si="4"/>
        <v>1.8199999999999994E-2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11"/>
      <c r="H19" s="10"/>
      <c r="I19" s="10">
        <f t="shared" si="5"/>
        <v>7262</v>
      </c>
      <c r="J19" s="10">
        <f t="shared" si="3"/>
        <v>7787029533.6517897</v>
      </c>
      <c r="K19" s="11">
        <f t="shared" si="4"/>
        <v>1.8299999999999983E-2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11"/>
      <c r="H20" s="10"/>
      <c r="I20" s="10">
        <f t="shared" si="5"/>
        <v>7262</v>
      </c>
      <c r="J20" s="10">
        <f t="shared" si="3"/>
        <v>7647087826.428154</v>
      </c>
      <c r="K20" s="11">
        <f t="shared" si="4"/>
        <v>1.8499999999999961E-2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11"/>
      <c r="H21" s="10"/>
      <c r="I21" s="10">
        <f t="shared" si="5"/>
        <v>7262</v>
      </c>
      <c r="J21" s="10">
        <f t="shared" si="3"/>
        <v>7508186378.4272499</v>
      </c>
      <c r="K21" s="11">
        <f t="shared" si="4"/>
        <v>1.8899999999999917E-2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11"/>
      <c r="H22" s="10"/>
      <c r="I22" s="10">
        <f t="shared" si="5"/>
        <v>7262</v>
      </c>
      <c r="J22" s="10">
        <f t="shared" si="3"/>
        <v>7368913905.6111984</v>
      </c>
      <c r="K22" s="11">
        <f t="shared" si="4"/>
        <v>1.8999999999999906E-2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11"/>
      <c r="H23" s="10"/>
      <c r="I23" s="10">
        <f t="shared" si="5"/>
        <v>7262</v>
      </c>
      <c r="J23" s="10">
        <f t="shared" si="3"/>
        <v>7231515118.3623152</v>
      </c>
      <c r="K23" s="11">
        <f t="shared" si="4"/>
        <v>1.9099999999999895E-2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11"/>
      <c r="H24" s="10"/>
      <c r="I24" s="10">
        <f t="shared" si="5"/>
        <v>7262</v>
      </c>
      <c r="J24" s="10">
        <f t="shared" si="3"/>
        <v>7095981864.7456741</v>
      </c>
      <c r="K24" s="11">
        <f t="shared" si="4"/>
        <v>1.9300000000000095E-2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11"/>
      <c r="H25" s="10"/>
      <c r="I25" s="10">
        <f t="shared" si="5"/>
        <v>7262</v>
      </c>
      <c r="J25" s="10">
        <f t="shared" si="3"/>
        <v>6961622549.5395594</v>
      </c>
      <c r="K25" s="11">
        <f t="shared" si="4"/>
        <v>1.9500000000000073E-2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11"/>
      <c r="H26" s="10"/>
      <c r="I26" s="10">
        <f t="shared" si="5"/>
        <v>7262</v>
      </c>
      <c r="J26" s="10">
        <f t="shared" si="3"/>
        <v>6828467434.5655317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11"/>
      <c r="H27" s="10"/>
      <c r="I27" s="10">
        <f t="shared" si="5"/>
        <v>7262</v>
      </c>
      <c r="J27" s="10">
        <f t="shared" si="3"/>
        <v>6697202270.0721178</v>
      </c>
      <c r="K27" s="11">
        <f t="shared" si="4"/>
        <v>1.980000000000004E-2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11"/>
      <c r="H28" s="10"/>
      <c r="I28" s="10">
        <f t="shared" si="5"/>
        <v>7262</v>
      </c>
      <c r="J28" s="10">
        <f t="shared" si="3"/>
        <v>6567172259.3372402</v>
      </c>
      <c r="K28" s="11">
        <f t="shared" si="4"/>
        <v>2.0000000000000018E-2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11"/>
      <c r="H29" s="10"/>
      <c r="I29" s="10">
        <f t="shared" si="5"/>
        <v>7262</v>
      </c>
      <c r="J29" s="10">
        <f t="shared" si="3"/>
        <v>6438404175.8208237</v>
      </c>
      <c r="K29" s="11">
        <f t="shared" si="4"/>
        <v>2.0100000000000007E-2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11"/>
      <c r="H30" s="10"/>
      <c r="I30" s="10">
        <f t="shared" si="5"/>
        <v>7262</v>
      </c>
      <c r="J30" s="10">
        <f t="shared" si="3"/>
        <v>6311542178.0421753</v>
      </c>
      <c r="K30" s="11">
        <f t="shared" si="4"/>
        <v>2.0199999999999996E-2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11"/>
      <c r="H31" s="10"/>
      <c r="I31" s="10">
        <f t="shared" si="5"/>
        <v>7262</v>
      </c>
      <c r="J31" s="10">
        <f t="shared" si="3"/>
        <v>6186573395.4540043</v>
      </c>
      <c r="K31" s="11">
        <f t="shared" si="4"/>
        <v>2.0399999999999974E-2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11"/>
      <c r="H32" s="10"/>
      <c r="I32" s="10">
        <f t="shared" si="5"/>
        <v>7262</v>
      </c>
      <c r="J32" s="10">
        <f t="shared" si="3"/>
        <v>6062890430.6683702</v>
      </c>
      <c r="K32" s="11">
        <f t="shared" si="4"/>
        <v>2.0599999999999952E-2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11"/>
      <c r="H33" s="10"/>
      <c r="I33" s="10">
        <f t="shared" si="5"/>
        <v>7262</v>
      </c>
      <c r="J33" s="10">
        <f t="shared" si="3"/>
        <v>5940515805.0836477</v>
      </c>
      <c r="K33" s="11">
        <f t="shared" si="4"/>
        <v>2.079999999999993E-2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11"/>
      <c r="H34" s="10"/>
      <c r="I34" s="10">
        <f t="shared" si="5"/>
        <v>7262</v>
      </c>
      <c r="J34" s="10">
        <f t="shared" ref="J34:J65" si="6">IF(I34="","",I34*C34)</f>
        <v>5819470812.190094</v>
      </c>
      <c r="K34" s="11">
        <f t="shared" ref="K34:K65" si="7">IFERROR(J34/J35-1,"")</f>
        <v>2.0900000000000141E-2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11"/>
      <c r="H35" s="10"/>
      <c r="I35" s="10">
        <f t="shared" ref="I35:I66" si="8">IF(H35&lt;&gt;"",H35,I34/(1+IF(G34="",0,G34)))</f>
        <v>7262</v>
      </c>
      <c r="J35" s="10">
        <f t="shared" si="6"/>
        <v>5700333835.0378036</v>
      </c>
      <c r="K35" s="11">
        <f t="shared" si="7"/>
        <v>2.1200000000000108E-2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11"/>
      <c r="H36" s="10"/>
      <c r="I36" s="10">
        <f t="shared" si="8"/>
        <v>7262</v>
      </c>
      <c r="J36" s="10">
        <f t="shared" si="6"/>
        <v>5581995529.8059177</v>
      </c>
      <c r="K36" s="11">
        <f t="shared" si="7"/>
        <v>2.1300000000000097E-2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11"/>
      <c r="H37" s="10"/>
      <c r="I37" s="10">
        <f t="shared" si="8"/>
        <v>7262</v>
      </c>
      <c r="J37" s="10">
        <f t="shared" si="6"/>
        <v>5465578703.423007</v>
      </c>
      <c r="K37" s="11">
        <f t="shared" si="7"/>
        <v>2.1399999999999864E-2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11"/>
      <c r="H38" s="10"/>
      <c r="I38" s="10">
        <f t="shared" si="8"/>
        <v>7262</v>
      </c>
      <c r="J38" s="10">
        <f t="shared" si="6"/>
        <v>5351065893.3062534</v>
      </c>
      <c r="K38" s="11">
        <f t="shared" si="7"/>
        <v>2.1900000000000031E-2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11"/>
      <c r="H39" s="10"/>
      <c r="I39" s="10">
        <f t="shared" si="8"/>
        <v>7262</v>
      </c>
      <c r="J39" s="10">
        <f t="shared" si="6"/>
        <v>5236388974.7590303</v>
      </c>
      <c r="K39" s="11">
        <f t="shared" si="7"/>
        <v>2.2199999999999998E-2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11"/>
      <c r="H40" s="10"/>
      <c r="I40" s="10">
        <f t="shared" si="8"/>
        <v>7262</v>
      </c>
      <c r="J40" s="10">
        <f t="shared" si="6"/>
        <v>5122665794.1293583</v>
      </c>
      <c r="K40" s="11">
        <f t="shared" si="7"/>
        <v>2.2599999999999953E-2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11"/>
      <c r="H41" s="10"/>
      <c r="I41" s="10">
        <f t="shared" si="8"/>
        <v>7262</v>
      </c>
      <c r="J41" s="10">
        <f t="shared" si="6"/>
        <v>5009452174.974925</v>
      </c>
      <c r="K41" s="11">
        <f t="shared" si="7"/>
        <v>2.2999999999999909E-2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11"/>
      <c r="H42" s="10"/>
      <c r="I42" s="10">
        <f t="shared" si="8"/>
        <v>7262</v>
      </c>
      <c r="J42" s="10">
        <f t="shared" si="6"/>
        <v>4896825195.4789104</v>
      </c>
      <c r="K42" s="11">
        <f t="shared" si="7"/>
        <v>2.3400000000000087E-2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11"/>
      <c r="H43" s="10"/>
      <c r="I43" s="10">
        <f t="shared" si="8"/>
        <v>7262</v>
      </c>
      <c r="J43" s="10">
        <f t="shared" si="6"/>
        <v>4784859483.5635233</v>
      </c>
      <c r="K43" s="11">
        <f t="shared" si="7"/>
        <v>2.3499999999999854E-2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11"/>
      <c r="H44" s="10"/>
      <c r="I44" s="10">
        <f t="shared" si="8"/>
        <v>7262</v>
      </c>
      <c r="J44" s="10">
        <f t="shared" si="6"/>
        <v>4674997052.8222017</v>
      </c>
      <c r="K44" s="11">
        <f t="shared" si="7"/>
        <v>2.3600000000000065E-2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11"/>
      <c r="H45" s="10"/>
      <c r="I45" s="10">
        <f t="shared" si="8"/>
        <v>7262</v>
      </c>
      <c r="J45" s="10">
        <f t="shared" si="6"/>
        <v>4567210876.145175</v>
      </c>
      <c r="K45" s="11">
        <f t="shared" si="7"/>
        <v>2.3700000000000054E-2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11"/>
      <c r="H46" s="10"/>
      <c r="I46" s="10">
        <f t="shared" si="8"/>
        <v>7262</v>
      </c>
      <c r="J46" s="10">
        <f t="shared" si="6"/>
        <v>4461473943.6799593</v>
      </c>
      <c r="K46" s="11">
        <f t="shared" si="7"/>
        <v>2.3799999999999821E-2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11"/>
      <c r="H47" s="10"/>
      <c r="I47" s="10">
        <f t="shared" si="8"/>
        <v>7262</v>
      </c>
      <c r="J47" s="10">
        <f t="shared" si="6"/>
        <v>4357759272.9829655</v>
      </c>
      <c r="K47" s="11">
        <f t="shared" si="7"/>
        <v>2.4000000000000021E-2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11"/>
      <c r="H48" s="10"/>
      <c r="I48" s="10">
        <f t="shared" si="8"/>
        <v>7262</v>
      </c>
      <c r="J48" s="10">
        <f t="shared" si="6"/>
        <v>4255624290.0224271</v>
      </c>
      <c r="K48" s="11">
        <f t="shared" si="7"/>
        <v>2.4299999999999988E-2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11"/>
      <c r="H49" s="10"/>
      <c r="I49" s="10">
        <f t="shared" si="8"/>
        <v>7262</v>
      </c>
      <c r="J49" s="10">
        <f t="shared" si="6"/>
        <v>4154665908.4471612</v>
      </c>
      <c r="K49" s="11">
        <f t="shared" si="7"/>
        <v>2.4799999999999933E-2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11"/>
      <c r="H50" s="10"/>
      <c r="I50" s="10">
        <f t="shared" si="8"/>
        <v>7262</v>
      </c>
      <c r="J50" s="10">
        <f t="shared" si="6"/>
        <v>4054123642.1225228</v>
      </c>
      <c r="K50" s="11">
        <f t="shared" si="7"/>
        <v>2.5400000000000089E-2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11"/>
      <c r="H51" s="10"/>
      <c r="I51" s="10">
        <f t="shared" si="8"/>
        <v>7262</v>
      </c>
      <c r="J51" s="10">
        <f t="shared" si="6"/>
        <v>3953699670.4920249</v>
      </c>
      <c r="K51" s="11">
        <f t="shared" si="7"/>
        <v>2.6000000000000023E-2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11"/>
      <c r="H52" s="10"/>
      <c r="I52" s="10">
        <f t="shared" si="8"/>
        <v>7262</v>
      </c>
      <c r="J52" s="10">
        <f t="shared" si="6"/>
        <v>3853508450.7719541</v>
      </c>
      <c r="K52" s="11">
        <f t="shared" si="7"/>
        <v>2.6599999999999957E-2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11"/>
      <c r="H53" s="10"/>
      <c r="I53" s="10">
        <f t="shared" si="8"/>
        <v>7262</v>
      </c>
      <c r="J53" s="10">
        <f t="shared" si="6"/>
        <v>3753661066.4055662</v>
      </c>
      <c r="K53" s="11">
        <f t="shared" si="7"/>
        <v>2.7099999999999902E-2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11"/>
      <c r="H54" s="10"/>
      <c r="I54" s="10">
        <f t="shared" si="8"/>
        <v>7262</v>
      </c>
      <c r="J54" s="10">
        <f t="shared" si="6"/>
        <v>3654620841.5982537</v>
      </c>
      <c r="K54" s="11">
        <f t="shared" si="7"/>
        <v>2.7700000000000058E-2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11"/>
      <c r="H55" s="10"/>
      <c r="I55" s="10">
        <f t="shared" si="8"/>
        <v>7262</v>
      </c>
      <c r="J55" s="10">
        <f t="shared" si="6"/>
        <v>3556116416.8514681</v>
      </c>
      <c r="K55" s="11">
        <f t="shared" si="7"/>
        <v>2.8000000000000025E-2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11"/>
      <c r="H56" s="10"/>
      <c r="I56" s="10">
        <f t="shared" si="8"/>
        <v>7262</v>
      </c>
      <c r="J56" s="10">
        <f t="shared" si="6"/>
        <v>3459257214.8360581</v>
      </c>
      <c r="K56" s="11">
        <f t="shared" si="7"/>
        <v>2.8299999999999992E-2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11"/>
      <c r="H57" s="10"/>
      <c r="I57" s="10">
        <f t="shared" si="8"/>
        <v>7262</v>
      </c>
      <c r="J57" s="10">
        <f t="shared" si="6"/>
        <v>3364054473.2432733</v>
      </c>
      <c r="K57" s="11">
        <f t="shared" si="7"/>
        <v>2.8599999999999737E-2</v>
      </c>
      <c r="L57" t="inlineStr">
        <is>
          <t xml:space="preserve">Aetintine Civil War begins (to 1734).</t>
        </is>
      </c>
      <c r="M57" t="inlineStr">
        <is>
          <t xml:space="preserve">Aetintine Civil War (1710-34): a decades-long internal conflict.</t>
        </is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11"/>
      <c r="H58" s="10"/>
      <c r="I58" s="10">
        <f t="shared" si="8"/>
        <v>7262</v>
      </c>
      <c r="J58" s="10">
        <f t="shared" si="6"/>
        <v>3270517667.9401846</v>
      </c>
      <c r="K58" s="11">
        <f t="shared" si="7"/>
        <v>2.8999999999999915E-2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11"/>
      <c r="H59" s="10"/>
      <c r="I59" s="10">
        <f t="shared" si="8"/>
        <v>7262</v>
      </c>
      <c r="J59" s="10">
        <f t="shared" si="6"/>
        <v>3178345644.2567391</v>
      </c>
      <c r="K59" s="11">
        <f t="shared" si="7"/>
        <v>2.9400000000000093E-2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11"/>
      <c r="H60" s="10"/>
      <c r="I60" s="10">
        <f t="shared" si="8"/>
        <v>7262</v>
      </c>
      <c r="J60" s="10">
        <f t="shared" si="6"/>
        <v>3087571055.232892</v>
      </c>
      <c r="K60" s="11">
        <f t="shared" si="7"/>
        <v>2.9800000000000049E-2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11"/>
      <c r="H61" s="10"/>
      <c r="I61" s="10">
        <f t="shared" si="8"/>
        <v>7262</v>
      </c>
      <c r="J61" s="10">
        <f t="shared" si="6"/>
        <v>2998223980.610693</v>
      </c>
      <c r="K61" s="11">
        <f t="shared" si="7"/>
        <v>3.0100000000000016E-2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11"/>
      <c r="H62" s="10"/>
      <c r="I62" s="10">
        <f t="shared" si="8"/>
        <v>7262</v>
      </c>
      <c r="J62" s="10">
        <f t="shared" si="6"/>
        <v>2910614484.6235251</v>
      </c>
      <c r="K62" s="11">
        <f t="shared" si="7"/>
        <v>3.0299999999999994E-2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11"/>
      <c r="H63" s="10"/>
      <c r="I63" s="10">
        <f t="shared" si="8"/>
        <v>7262</v>
      </c>
      <c r="J63" s="10">
        <f t="shared" si="6"/>
        <v>2825016485.1242599</v>
      </c>
      <c r="K63" s="11">
        <f t="shared" si="7"/>
        <v>3.0300000000000216E-2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11"/>
      <c r="H64" s="10"/>
      <c r="I64" s="10">
        <f t="shared" si="8"/>
        <v>7262</v>
      </c>
      <c r="J64" s="10">
        <f t="shared" si="6"/>
        <v>2741935829.4906917</v>
      </c>
      <c r="K64" s="11">
        <f t="shared" si="7"/>
        <v>3.0099999999999794E-2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11"/>
      <c r="H65" s="10"/>
      <c r="I65" s="10">
        <f t="shared" si="8"/>
        <v>7262</v>
      </c>
      <c r="J65" s="10">
        <f t="shared" si="6"/>
        <v>2661815192.2053123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11"/>
      <c r="H66" s="10"/>
      <c r="I66" s="10">
        <f t="shared" si="8"/>
        <v>7262</v>
      </c>
      <c r="J66" s="10">
        <f t="shared" ref="J66:J97" si="9">IF(I66="","",I66*C66)</f>
        <v>2585290590.7199998</v>
      </c>
      <c r="K66" s="11">
        <f t="shared" ref="K66:K97" si="10">IFERROR(J66/J67-1,"")</f>
        <v>3.0100000000000016E-2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7262</v>
      </c>
      <c r="J67" s="10">
        <f t="shared" si="9"/>
        <v>2509747200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28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t="inlineStr">
        <is>
          <t xml:space="preserve">Notes</t>
        </is>
      </c>
      <c r="AB1" t="inlineStr">
        <is>
          <t xml:space="preserve">What it means</t>
        </is>
      </c>
    </row>
    <row r="2" spans="1:26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8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t="inlineStr">
        <is>
          <t xml:space="preserve">The Great Crash - global stock-market crash &amp; recession.</t>
        </is>
      </c>
      <c r="AB27" t="inlineStr">
        <is>
          <t xml:space="preserve">The Great Crash (1740): the global stock-market crash set off by the collapse of the Estijan Huan.</t>
        </is>
      </c>
    </row>
    <row r="28" spans="1:26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8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t="inlineStr">
        <is>
          <t xml:space="preserve">The Great Slump - global depression after the Massiran Credit Crisis &amp; Global Austerity.</t>
        </is>
      </c>
      <c r="AB37" t="inlineStr">
        <is>
          <t xml:space="preserve">The Great Slump (1729-33): the worldwide depression that followed the 1729 Massiran Credit Crisis and the GTU's Global Austerity doctrine.</t>
        </is>
      </c>
    </row>
    <row r="38" spans="1:28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t="inlineStr">
        <is>
          <t xml:space="preserve">GTU 'Global Austerity' doctrine adopted amid the Massiran Credit Crisis.</t>
        </is>
      </c>
      <c r="AB38" t="inlineStr">
        <is>
          <t xml:space="preserve">GTU Global Austerity (1729): the world austerity doctrine adopted during the Massiran Credit Crisis.</t>
        </is>
      </c>
    </row>
    <row r="39" spans="1:26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8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t="inlineStr">
        <is>
          <t xml:space="preserve">Oil Crisis - hit by the global oil shortage &amp; price spike (MPU supply cut).</t>
        </is>
      </c>
      <c r="AB42" t="inlineStr">
        <is>
          <t xml:space="preserve">Oil Crisis (1725): a worldwide oil shortage after the MPU cartel restricted global supply - felt in every economy.</t>
        </is>
      </c>
    </row>
    <row r="43" spans="1:26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8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t="inlineStr">
        <is>
          <t xml:space="preserve">Ahokini Civil War (1703-11).</t>
        </is>
      </c>
      <c r="AB64" t="inlineStr">
        <is>
          <t xml:space="preserve">Ahokini Civil War (1703-11): an internal conflict.</t>
        </is>
      </c>
    </row>
    <row r="65" spans="1:26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5">
        <v>2236563</v>
      </c>
      <c r="G2" s="11"/>
      <c r="H2" s="10"/>
      <c r="I2" s="10">
        <f>IF(H2&lt;&gt;"",H2,1917)</f>
        <v>1917</v>
      </c>
      <c r="J2" s="10">
        <f t="shared" ref="J2:J33" si="3">IF(I2="","",I2*C2)</f>
        <v>4292237450.9824915</v>
      </c>
      <c r="K2" s="11">
        <f t="shared" ref="K2:K33" si="4">IFERROR(J2/J3-1,"")</f>
        <v>7.0999999999998842E-3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11"/>
      <c r="H3" s="10"/>
      <c r="I3" s="10">
        <f t="shared" ref="I3:I34" si="5">IF(H3&lt;&gt;"",H3,I2/(1+IF(G2="",0,G2)))</f>
        <v>1917</v>
      </c>
      <c r="J3" s="10">
        <f t="shared" si="3"/>
        <v>4261977411.3618226</v>
      </c>
      <c r="K3" s="11">
        <f t="shared" si="4"/>
        <v>5.5000000000000604E-3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11"/>
      <c r="H4" s="10"/>
      <c r="I4" s="10">
        <f t="shared" si="5"/>
        <v>1917</v>
      </c>
      <c r="J4" s="10">
        <f t="shared" si="3"/>
        <v>4238664755.2081776</v>
      </c>
      <c r="K4" s="11">
        <f t="shared" si="4"/>
        <v>4.1999999999999815E-3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11"/>
      <c r="H5" s="10"/>
      <c r="I5" s="10">
        <f t="shared" si="5"/>
        <v>1917</v>
      </c>
      <c r="J5" s="10">
        <f t="shared" si="3"/>
        <v>4220936820.5618181</v>
      </c>
      <c r="K5" s="11">
        <f t="shared" si="4"/>
        <v>3.8000000000000256E-3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11"/>
      <c r="H6" s="10"/>
      <c r="I6" s="10">
        <f t="shared" si="5"/>
        <v>1917</v>
      </c>
      <c r="J6" s="10">
        <f t="shared" si="3"/>
        <v>4204957980.2369175</v>
      </c>
      <c r="K6" s="11">
        <f t="shared" si="4"/>
        <v>4.0999999999999925E-3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11"/>
      <c r="H7" s="10"/>
      <c r="I7" s="10">
        <f t="shared" si="5"/>
        <v>1917</v>
      </c>
      <c r="J7" s="10">
        <f t="shared" si="3"/>
        <v>4187788049.2350535</v>
      </c>
      <c r="K7" s="11">
        <f t="shared" si="4"/>
        <v>4.3999999999999595E-3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11"/>
      <c r="H8" s="10"/>
      <c r="I8" s="10">
        <f t="shared" si="5"/>
        <v>1917</v>
      </c>
      <c r="J8" s="10">
        <f t="shared" si="3"/>
        <v>4169442502.2252626</v>
      </c>
      <c r="K8" s="11">
        <f t="shared" si="4"/>
        <v>5.4000000000000714E-3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11"/>
      <c r="H9" s="10"/>
      <c r="I9" s="10">
        <f t="shared" si="5"/>
        <v>1917</v>
      </c>
      <c r="J9" s="10">
        <f t="shared" si="3"/>
        <v>4147048440.6457753</v>
      </c>
      <c r="K9" s="11">
        <f t="shared" si="4"/>
        <v>5.9000000000000163E-3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11"/>
      <c r="H10" s="10"/>
      <c r="I10" s="10">
        <f t="shared" si="5"/>
        <v>1917</v>
      </c>
      <c r="J10" s="10">
        <f t="shared" si="3"/>
        <v>4122724366.8811765</v>
      </c>
      <c r="K10" s="11">
        <f t="shared" si="4"/>
        <v>4.3999999999999595E-3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11"/>
      <c r="H11" s="10"/>
      <c r="I11" s="10">
        <f t="shared" si="5"/>
        <v>1917</v>
      </c>
      <c r="J11" s="10">
        <f t="shared" si="3"/>
        <v>4104663845.9589572</v>
      </c>
      <c r="K11" s="11">
        <f t="shared" si="4"/>
        <v>3.3000000000000806E-3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11"/>
      <c r="H12" s="10"/>
      <c r="I12" s="10">
        <f t="shared" si="5"/>
        <v>1917</v>
      </c>
      <c r="J12" s="10">
        <f t="shared" si="3"/>
        <v>4091163008.0324502</v>
      </c>
      <c r="K12" s="11">
        <f t="shared" si="4"/>
        <v>2.7999999999999137E-3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11"/>
      <c r="H13" s="10"/>
      <c r="I13" s="10">
        <f t="shared" si="5"/>
        <v>1917</v>
      </c>
      <c r="J13" s="10">
        <f t="shared" si="3"/>
        <v>4079739736.769496</v>
      </c>
      <c r="K13" s="11">
        <f t="shared" si="4"/>
        <v>2.5999999999999357E-3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11"/>
      <c r="H14" s="10"/>
      <c r="I14" s="10">
        <f t="shared" si="5"/>
        <v>1917</v>
      </c>
      <c r="J14" s="10">
        <f t="shared" si="3"/>
        <v>4069159920.9749618</v>
      </c>
      <c r="K14" s="11">
        <f t="shared" si="4"/>
        <v>2.6999999999999247E-3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11"/>
      <c r="H15" s="10"/>
      <c r="I15" s="10">
        <f t="shared" si="5"/>
        <v>1917</v>
      </c>
      <c r="J15" s="10">
        <f t="shared" si="3"/>
        <v>4058202773.4865484</v>
      </c>
      <c r="K15" s="11">
        <f t="shared" si="4"/>
        <v>3.1999999999998696E-3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11"/>
      <c r="H16" s="10"/>
      <c r="I16" s="10">
        <f t="shared" si="5"/>
        <v>1917</v>
      </c>
      <c r="J16" s="10">
        <f t="shared" si="3"/>
        <v>4045257948.0527797</v>
      </c>
      <c r="K16" s="11">
        <f t="shared" si="4"/>
        <v>3.6000000000000476E-3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11"/>
      <c r="H17" s="10"/>
      <c r="I17" s="10">
        <f t="shared" si="5"/>
        <v>1917</v>
      </c>
      <c r="J17" s="10">
        <f t="shared" si="3"/>
        <v>4030747257.924252</v>
      </c>
      <c r="K17" s="11">
        <f t="shared" si="4"/>
        <v>3.3000000000000806E-3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11"/>
      <c r="H18" s="10"/>
      <c r="I18" s="10">
        <f t="shared" si="5"/>
        <v>1917</v>
      </c>
      <c r="J18" s="10">
        <f t="shared" si="3"/>
        <v>4017489542.4342189</v>
      </c>
      <c r="K18" s="11">
        <f t="shared" si="4"/>
        <v>3.3000000000000806E-3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11"/>
      <c r="H19" s="10"/>
      <c r="I19" s="10">
        <f t="shared" si="5"/>
        <v>1917</v>
      </c>
      <c r="J19" s="10">
        <f t="shared" si="3"/>
        <v>4004275433.5036564</v>
      </c>
      <c r="K19" s="11">
        <f t="shared" si="4"/>
        <v>3.6000000000000476E-3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11"/>
      <c r="H20" s="10"/>
      <c r="I20" s="10">
        <f t="shared" si="5"/>
        <v>1917</v>
      </c>
      <c r="J20" s="10">
        <f t="shared" si="3"/>
        <v>3989911751.1993389</v>
      </c>
      <c r="K20" s="11">
        <f t="shared" si="4"/>
        <v>4.2000000000002036E-3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11"/>
      <c r="H21" s="10"/>
      <c r="I21" s="10">
        <f t="shared" si="5"/>
        <v>1917</v>
      </c>
      <c r="J21" s="10">
        <f t="shared" si="3"/>
        <v>3973224209.5193572</v>
      </c>
      <c r="K21" s="11">
        <f t="shared" si="4"/>
        <v>5.7000000000000384E-3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11"/>
      <c r="H22" s="10"/>
      <c r="I22" s="10">
        <f t="shared" si="5"/>
        <v>1917</v>
      </c>
      <c r="J22" s="10">
        <f t="shared" si="3"/>
        <v>3950705189.936718</v>
      </c>
      <c r="K22" s="11">
        <f t="shared" si="4"/>
        <v>5.2000000000000934E-3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11"/>
      <c r="H23" s="10"/>
      <c r="I23" s="10">
        <f t="shared" si="5"/>
        <v>1917</v>
      </c>
      <c r="J23" s="10">
        <f t="shared" si="3"/>
        <v>3930267797.3902884</v>
      </c>
      <c r="K23" s="11">
        <f t="shared" si="4"/>
        <v>3.4000000000002917E-3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11"/>
      <c r="H24" s="10"/>
      <c r="I24" s="10">
        <f t="shared" si="5"/>
        <v>1917</v>
      </c>
      <c r="J24" s="10">
        <f t="shared" si="3"/>
        <v>3916950166.8230891</v>
      </c>
      <c r="K24" s="11">
        <f t="shared" si="4"/>
        <v>3.3000000000000806E-3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11"/>
      <c r="H25" s="10"/>
      <c r="I25" s="10">
        <f t="shared" si="5"/>
        <v>1917</v>
      </c>
      <c r="J25" s="10">
        <f t="shared" si="3"/>
        <v>3904066746.559443</v>
      </c>
      <c r="K25" s="11">
        <f t="shared" si="4"/>
        <v>3.3000000000000806E-3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11"/>
      <c r="H26" s="10"/>
      <c r="I26" s="10">
        <f t="shared" si="5"/>
        <v>1917</v>
      </c>
      <c r="J26" s="10">
        <f t="shared" si="3"/>
        <v>3891225701.7436886</v>
      </c>
      <c r="K26" s="11">
        <f t="shared" si="4"/>
        <v>2.5999999999999357E-3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11"/>
      <c r="H27" s="10"/>
      <c r="I27" s="10">
        <f t="shared" si="5"/>
        <v>1917</v>
      </c>
      <c r="J27" s="10">
        <f t="shared" si="3"/>
        <v>3881134751.3900743</v>
      </c>
      <c r="K27" s="11">
        <f t="shared" si="4"/>
        <v>1.6000000000000458E-3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11"/>
      <c r="H28" s="10"/>
      <c r="I28" s="10">
        <f t="shared" si="5"/>
        <v>1917</v>
      </c>
      <c r="J28" s="10">
        <f t="shared" si="3"/>
        <v>3874934855.6210804</v>
      </c>
      <c r="K28" s="11">
        <f t="shared" si="4"/>
        <v>5.9999999999993392E-4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11"/>
      <c r="H29" s="10"/>
      <c r="I29" s="10">
        <f t="shared" si="5"/>
        <v>1917</v>
      </c>
      <c r="J29" s="10">
        <f t="shared" si="3"/>
        <v>3872611288.8477716</v>
      </c>
      <c r="K29" s="11">
        <f t="shared" si="4"/>
        <v>4.9999999999994493E-4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11"/>
      <c r="H30" s="10"/>
      <c r="I30" s="10">
        <f t="shared" si="5"/>
        <v>1917</v>
      </c>
      <c r="J30" s="10">
        <f t="shared" si="3"/>
        <v>3870675950.8723354</v>
      </c>
      <c r="K30" s="11">
        <f t="shared" si="4"/>
        <v>1.3000000000000789E-3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11"/>
      <c r="H31" s="10"/>
      <c r="I31" s="10">
        <f t="shared" si="5"/>
        <v>1917</v>
      </c>
      <c r="J31" s="10">
        <f t="shared" si="3"/>
        <v>3865650605.0857239</v>
      </c>
      <c r="K31" s="11">
        <f t="shared" si="4"/>
        <v>1.3000000000000789E-3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11"/>
      <c r="H32" s="10"/>
      <c r="I32" s="10">
        <f t="shared" si="5"/>
        <v>1917</v>
      </c>
      <c r="J32" s="10">
        <f t="shared" si="3"/>
        <v>3860631783.7668266</v>
      </c>
      <c r="K32" s="11">
        <f t="shared" si="4"/>
        <v>3.9999999999995595E-4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11"/>
      <c r="H33" s="10"/>
      <c r="I33" s="10">
        <f t="shared" si="5"/>
        <v>1917</v>
      </c>
      <c r="J33" s="10">
        <f t="shared" si="3"/>
        <v>3859088148.5074239</v>
      </c>
      <c r="K33" s="11">
        <f t="shared" si="4"/>
        <v>-4.9999999999994493E-4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11"/>
      <c r="H34" s="10"/>
      <c r="I34" s="10">
        <f t="shared" si="5"/>
        <v>1917</v>
      </c>
      <c r="J34" s="10">
        <f t="shared" ref="J34:J65" si="6">IF(I34="","",I34*C34)</f>
        <v>3861018657.8363419</v>
      </c>
      <c r="K34" s="11">
        <f t="shared" ref="K34:K65" si="7">IFERROR(J34/J35-1,"")</f>
        <v>-7.0000000000014495E-4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11"/>
      <c r="H35" s="10"/>
      <c r="I35" s="10">
        <f t="shared" ref="I35:I66" si="8">IF(H35&lt;&gt;"",H35,I34/(1+IF(G34="",0,G34)))</f>
        <v>1917</v>
      </c>
      <c r="J35" s="10">
        <f t="shared" si="6"/>
        <v>3863723264.1212273</v>
      </c>
      <c r="K35" s="11">
        <f t="shared" si="7"/>
        <v>-7.0000000000003393E-4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11"/>
      <c r="H36" s="10"/>
      <c r="I36" s="10">
        <f t="shared" si="8"/>
        <v>1917</v>
      </c>
      <c r="J36" s="10">
        <f t="shared" si="6"/>
        <v>3866429764.956697</v>
      </c>
      <c r="K36" s="11">
        <f t="shared" si="7"/>
        <v>-2.9999999999985594E-4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11"/>
      <c r="H37" s="10"/>
      <c r="I37" s="10">
        <f t="shared" si="8"/>
        <v>1917</v>
      </c>
      <c r="J37" s="10">
        <f t="shared" si="6"/>
        <v>3867590041.9692874</v>
      </c>
      <c r="K37" s="11">
        <f t="shared" si="7"/>
        <v>1.2000000000000899E-3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11"/>
      <c r="H38" s="10"/>
      <c r="I38" s="10">
        <f t="shared" si="8"/>
        <v>1917</v>
      </c>
      <c r="J38" s="10">
        <f t="shared" si="6"/>
        <v>3862954496.5733991</v>
      </c>
      <c r="K38" s="11">
        <f t="shared" si="7"/>
        <v>2.4999999999999467E-3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11"/>
      <c r="H39" s="10"/>
      <c r="I39" s="10">
        <f t="shared" si="8"/>
        <v>1917</v>
      </c>
      <c r="J39" s="10">
        <f t="shared" si="6"/>
        <v>3853321193.5894256</v>
      </c>
      <c r="K39" s="11">
        <f t="shared" si="7"/>
        <v>3.1000000000001027E-3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11"/>
      <c r="H40" s="10"/>
      <c r="I40" s="10">
        <f t="shared" si="8"/>
        <v>1917</v>
      </c>
      <c r="J40" s="10">
        <f t="shared" si="6"/>
        <v>3841412813.8664389</v>
      </c>
      <c r="K40" s="11">
        <f t="shared" si="7"/>
        <v>3.1000000000001027E-3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11"/>
      <c r="H41" s="10"/>
      <c r="I41" s="10">
        <f t="shared" si="8"/>
        <v>1917</v>
      </c>
      <c r="J41" s="10">
        <f t="shared" si="6"/>
        <v>3829541236.0347309</v>
      </c>
      <c r="K41" s="11">
        <f t="shared" si="7"/>
        <v>2.4999999999999467E-3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11"/>
      <c r="H42" s="10"/>
      <c r="I42" s="10">
        <f t="shared" si="8"/>
        <v>1917</v>
      </c>
      <c r="J42" s="10">
        <f t="shared" si="6"/>
        <v>3819991257.8900061</v>
      </c>
      <c r="K42" s="11">
        <f t="shared" si="7"/>
        <v>2.8999999999999027E-3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11"/>
      <c r="H43" s="10"/>
      <c r="I43" s="10">
        <f t="shared" si="8"/>
        <v>1917</v>
      </c>
      <c r="J43" s="10">
        <f t="shared" si="6"/>
        <v>3808945316.4722371</v>
      </c>
      <c r="K43" s="11">
        <f t="shared" si="7"/>
        <v>4.6999999999999265E-3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11"/>
      <c r="H44" s="10"/>
      <c r="I44" s="10">
        <f t="shared" si="8"/>
        <v>1917</v>
      </c>
      <c r="J44" s="10">
        <f t="shared" si="6"/>
        <v>3791127019.4806781</v>
      </c>
      <c r="K44" s="11">
        <f t="shared" si="7"/>
        <v>6.0000000000000053E-3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11"/>
      <c r="H45" s="10"/>
      <c r="I45" s="10">
        <f t="shared" si="8"/>
        <v>1917</v>
      </c>
      <c r="J45" s="10">
        <f t="shared" si="6"/>
        <v>3768515923.9370561</v>
      </c>
      <c r="K45" s="11">
        <f t="shared" si="7"/>
        <v>5.7000000000000384E-3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11"/>
      <c r="H46" s="10"/>
      <c r="I46" s="10">
        <f t="shared" si="8"/>
        <v>1917</v>
      </c>
      <c r="J46" s="10">
        <f t="shared" si="6"/>
        <v>3747157128.3057132</v>
      </c>
      <c r="K46" s="11">
        <f t="shared" si="7"/>
        <v>6.8999999999999062E-3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11"/>
      <c r="H47" s="10"/>
      <c r="I47" s="10">
        <f t="shared" si="8"/>
        <v>1917</v>
      </c>
      <c r="J47" s="10">
        <f t="shared" si="6"/>
        <v>3721478923.7319632</v>
      </c>
      <c r="K47" s="11">
        <f t="shared" si="7"/>
        <v>7.5000000000000622E-3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11"/>
      <c r="H48" s="10"/>
      <c r="I48" s="10">
        <f t="shared" si="8"/>
        <v>1917</v>
      </c>
      <c r="J48" s="10">
        <f t="shared" si="6"/>
        <v>3693775606.681849</v>
      </c>
      <c r="K48" s="11">
        <f t="shared" si="7"/>
        <v>5.5000000000000604E-3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11"/>
      <c r="H49" s="10"/>
      <c r="I49" s="10">
        <f t="shared" si="8"/>
        <v>1917</v>
      </c>
      <c r="J49" s="10">
        <f t="shared" si="6"/>
        <v>3673570966.3668313</v>
      </c>
      <c r="K49" s="11">
        <f t="shared" si="7"/>
        <v>6.0999999999999943E-3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11"/>
      <c r="H50" s="10"/>
      <c r="I50" s="10">
        <f t="shared" si="8"/>
        <v>1917</v>
      </c>
      <c r="J50" s="10">
        <f t="shared" si="6"/>
        <v>3651298048.2723699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11"/>
      <c r="H51" s="10"/>
      <c r="I51" s="10">
        <f t="shared" si="8"/>
        <v>1917</v>
      </c>
      <c r="J51" s="10">
        <f t="shared" si="6"/>
        <v>3622678885.080236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11"/>
      <c r="H52" s="10"/>
      <c r="I52" s="10">
        <f t="shared" si="8"/>
        <v>1917</v>
      </c>
      <c r="J52" s="10">
        <f t="shared" si="6"/>
        <v>3593927465.3573771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11"/>
      <c r="H53" s="10"/>
      <c r="I53" s="10">
        <f t="shared" si="8"/>
        <v>1917</v>
      </c>
      <c r="J53" s="10">
        <f t="shared" si="6"/>
        <v>3566111793.3690982</v>
      </c>
      <c r="K53" s="11">
        <f t="shared" si="7"/>
        <v>8.0000000000000071E-3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11"/>
      <c r="H54" s="10"/>
      <c r="I54" s="10">
        <f t="shared" si="8"/>
        <v>1917</v>
      </c>
      <c r="J54" s="10">
        <f t="shared" si="6"/>
        <v>3537809318.8185496</v>
      </c>
      <c r="K54" s="11">
        <f t="shared" si="7"/>
        <v>7.9000000000002402E-3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11"/>
      <c r="H55" s="10"/>
      <c r="I55" s="10">
        <f t="shared" si="8"/>
        <v>1917</v>
      </c>
      <c r="J55" s="10">
        <f t="shared" si="6"/>
        <v>3510079689.2732902</v>
      </c>
      <c r="K55" s="11">
        <f t="shared" si="7"/>
        <v>7.8000000000000291E-3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11"/>
      <c r="H56" s="10"/>
      <c r="I56" s="10">
        <f t="shared" si="8"/>
        <v>1917</v>
      </c>
      <c r="J56" s="10">
        <f t="shared" si="6"/>
        <v>3482912968.1219387</v>
      </c>
      <c r="K56" s="11">
        <f t="shared" si="7"/>
        <v>6.9999999999996732E-3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11"/>
      <c r="H57" s="10"/>
      <c r="I57" s="10">
        <f t="shared" si="8"/>
        <v>1917</v>
      </c>
      <c r="J57" s="10">
        <f t="shared" si="6"/>
        <v>3458702053.7457194</v>
      </c>
      <c r="K57" s="11">
        <f t="shared" si="7"/>
        <v>7.5000000000002842E-3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11"/>
      <c r="H58" s="10"/>
      <c r="I58" s="10">
        <f t="shared" si="8"/>
        <v>1917</v>
      </c>
      <c r="J58" s="10">
        <f t="shared" si="6"/>
        <v>3432954892.0553041</v>
      </c>
      <c r="K58" s="11">
        <f t="shared" si="7"/>
        <v>6.8999999999999062E-3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11"/>
      <c r="H59" s="10"/>
      <c r="I59" s="10">
        <f t="shared" si="8"/>
        <v>1917</v>
      </c>
      <c r="J59" s="10">
        <f t="shared" si="6"/>
        <v>3409429826.2541509</v>
      </c>
      <c r="K59" s="11">
        <f t="shared" si="7"/>
        <v>4.9000000000001265E-3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11"/>
      <c r="H60" s="10"/>
      <c r="I60" s="10">
        <f t="shared" si="8"/>
        <v>1917</v>
      </c>
      <c r="J60" s="10">
        <f t="shared" si="6"/>
        <v>3392805081.3555088</v>
      </c>
      <c r="K60" s="11">
        <f t="shared" si="7"/>
        <v>5.6000000000000494E-3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11"/>
      <c r="H61" s="10"/>
      <c r="I61" s="10">
        <f t="shared" si="8"/>
        <v>1917</v>
      </c>
      <c r="J61" s="10">
        <f t="shared" si="6"/>
        <v>3373911178.7544837</v>
      </c>
      <c r="K61" s="11">
        <f t="shared" si="7"/>
        <v>6.7999999999999172E-3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11"/>
      <c r="H62" s="10"/>
      <c r="I62" s="10">
        <f t="shared" si="8"/>
        <v>1917</v>
      </c>
      <c r="J62" s="10">
        <f t="shared" si="6"/>
        <v>3351123538.6913824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11"/>
      <c r="H63" s="10"/>
      <c r="I63" s="10">
        <f t="shared" si="8"/>
        <v>1917</v>
      </c>
      <c r="J63" s="10">
        <f t="shared" si="6"/>
        <v>3324527320.1303396</v>
      </c>
      <c r="K63" s="11">
        <f t="shared" si="7"/>
        <v>9.200000000000097E-3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11"/>
      <c r="H64" s="10"/>
      <c r="I64" s="10">
        <f t="shared" si="8"/>
        <v>1917</v>
      </c>
      <c r="J64" s="10">
        <f t="shared" si="6"/>
        <v>3294220491.6075501</v>
      </c>
      <c r="K64" s="11">
        <f t="shared" si="7"/>
        <v>7.9000000000000181E-3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11"/>
      <c r="H65" s="10"/>
      <c r="I65" s="10">
        <f t="shared" si="8"/>
        <v>1917</v>
      </c>
      <c r="J65" s="10">
        <f t="shared" si="6"/>
        <v>3268400130.5759997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11"/>
      <c r="H66" s="10"/>
      <c r="I66" s="10">
        <f t="shared" si="8"/>
        <v>1917</v>
      </c>
      <c r="J66" s="10">
        <f t="shared" ref="J66:J97" si="9">IF(I66="","",I66*C66)</f>
        <v>3245680368</v>
      </c>
      <c r="K66" s="11">
        <f t="shared" ref="K66:K97" si="10">IFERROR(J66/J67-1,"")</f>
        <v>7.8000000000000291E-3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1917</v>
      </c>
      <c r="J67" s="10">
        <f t="shared" si="9"/>
        <v>3220560000</v>
      </c>
      <c r="K67" s="11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5">
        <v>3146473</v>
      </c>
      <c r="G2" s="11"/>
      <c r="H2" s="10"/>
      <c r="I2" s="10">
        <f>IF(H2&lt;&gt;"",H2,6111)</f>
        <v>6111</v>
      </c>
      <c r="J2" s="10">
        <f t="shared" ref="J2:J33" si="3">IF(I2="","",I2*C2)</f>
        <v>19233783138.31039</v>
      </c>
      <c r="K2" s="11">
        <f t="shared" ref="K2:K33" si="4">IFERROR(J2/J3-1,"")</f>
        <v>1.3700000000000045E-2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11"/>
      <c r="H3" s="10"/>
      <c r="I3" s="10">
        <f t="shared" ref="I3:I34" si="5">IF(H3&lt;&gt;"",H3,I2/(1+IF(G2="",0,G2)))</f>
        <v>6111</v>
      </c>
      <c r="J3" s="10">
        <f t="shared" si="3"/>
        <v>18973841509.628479</v>
      </c>
      <c r="K3" s="11">
        <f t="shared" si="4"/>
        <v>1.3700000000000045E-2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11"/>
      <c r="H4" s="10"/>
      <c r="I4" s="10">
        <f t="shared" si="5"/>
        <v>6111</v>
      </c>
      <c r="J4" s="10">
        <f t="shared" si="3"/>
        <v>18717412952.183563</v>
      </c>
      <c r="K4" s="11">
        <f t="shared" si="4"/>
        <v>1.1600000000000055E-2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11"/>
      <c r="H5" s="10"/>
      <c r="I5" s="10">
        <f t="shared" si="5"/>
        <v>6111</v>
      </c>
      <c r="J5" s="10">
        <f t="shared" si="3"/>
        <v>18502780696.1087</v>
      </c>
      <c r="K5" s="11">
        <f t="shared" si="4"/>
        <v>1.0199999999999765E-2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11"/>
      <c r="H6" s="10"/>
      <c r="I6" s="10">
        <f t="shared" si="5"/>
        <v>6111</v>
      </c>
      <c r="J6" s="10">
        <f t="shared" si="3"/>
        <v>18315957925.270939</v>
      </c>
      <c r="K6" s="11">
        <f t="shared" si="4"/>
        <v>1.23000000000002E-2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11"/>
      <c r="H7" s="10"/>
      <c r="I7" s="10">
        <f t="shared" si="5"/>
        <v>6111</v>
      </c>
      <c r="J7" s="10">
        <f t="shared" si="3"/>
        <v>18093408994.636902</v>
      </c>
      <c r="K7" s="11">
        <f t="shared" si="4"/>
        <v>1.4100000000000001E-2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11"/>
      <c r="H8" s="10"/>
      <c r="I8" s="10">
        <f t="shared" si="5"/>
        <v>6111</v>
      </c>
      <c r="J8" s="10">
        <f t="shared" si="3"/>
        <v>17841839063.836803</v>
      </c>
      <c r="K8" s="11">
        <f t="shared" si="4"/>
        <v>1.4299999999999757E-2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11"/>
      <c r="H9" s="10"/>
      <c r="I9" s="10">
        <f t="shared" si="5"/>
        <v>6111</v>
      </c>
      <c r="J9" s="10">
        <f t="shared" si="3"/>
        <v>17590297805.22213</v>
      </c>
      <c r="K9" s="11">
        <f t="shared" si="4"/>
        <v>1.4599999999999946E-2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11"/>
      <c r="H10" s="10"/>
      <c r="I10" s="10">
        <f t="shared" si="5"/>
        <v>6111</v>
      </c>
      <c r="J10" s="10">
        <f t="shared" si="3"/>
        <v>17337175049.499439</v>
      </c>
      <c r="K10" s="11">
        <f t="shared" si="4"/>
        <v>1.4900000000000135E-2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11"/>
      <c r="H11" s="10"/>
      <c r="I11" s="10">
        <f t="shared" si="5"/>
        <v>6111</v>
      </c>
      <c r="J11" s="10">
        <f t="shared" si="3"/>
        <v>17082643658.980627</v>
      </c>
      <c r="K11" s="11">
        <f t="shared" si="4"/>
        <v>1.5200000000000102E-2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11"/>
      <c r="H12" s="10"/>
      <c r="I12" s="10">
        <f t="shared" si="5"/>
        <v>6111</v>
      </c>
      <c r="J12" s="10">
        <f t="shared" si="3"/>
        <v>16826875156.600302</v>
      </c>
      <c r="K12" s="11">
        <f t="shared" si="4"/>
        <v>1.5399999999999858E-2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11"/>
      <c r="H13" s="10"/>
      <c r="I13" s="10">
        <f t="shared" si="5"/>
        <v>6111</v>
      </c>
      <c r="J13" s="10">
        <f t="shared" si="3"/>
        <v>16571671416.781862</v>
      </c>
      <c r="K13" s="11">
        <f t="shared" si="4"/>
        <v>1.5700000000000047E-2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11"/>
      <c r="H14" s="10"/>
      <c r="I14" s="10">
        <f t="shared" si="5"/>
        <v>6111</v>
      </c>
      <c r="J14" s="10">
        <f t="shared" si="3"/>
        <v>16315517787.517832</v>
      </c>
      <c r="K14" s="11">
        <f t="shared" si="4"/>
        <v>1.6000000000000014E-2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11"/>
      <c r="H15" s="10"/>
      <c r="I15" s="10">
        <f t="shared" si="5"/>
        <v>6111</v>
      </c>
      <c r="J15" s="10">
        <f t="shared" si="3"/>
        <v>16058580499.525425</v>
      </c>
      <c r="K15" s="11">
        <f t="shared" si="4"/>
        <v>1.619999999999977E-2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11"/>
      <c r="H16" s="10"/>
      <c r="I16" s="10">
        <f t="shared" si="5"/>
        <v>6111</v>
      </c>
      <c r="J16" s="10">
        <f t="shared" si="3"/>
        <v>15802578724.193493</v>
      </c>
      <c r="K16" s="11">
        <f t="shared" si="4"/>
        <v>1.639999999999997E-2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11"/>
      <c r="H17" s="10"/>
      <c r="I17" s="10">
        <f t="shared" si="5"/>
        <v>6111</v>
      </c>
      <c r="J17" s="10">
        <f t="shared" si="3"/>
        <v>15547598115.105759</v>
      </c>
      <c r="K17" s="11">
        <f t="shared" si="4"/>
        <v>1.6699999999999937E-2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11"/>
      <c r="H18" s="10"/>
      <c r="I18" s="10">
        <f t="shared" si="5"/>
        <v>6111</v>
      </c>
      <c r="J18" s="10">
        <f t="shared" si="3"/>
        <v>15292218073.281952</v>
      </c>
      <c r="K18" s="11">
        <f t="shared" si="4"/>
        <v>1.6899999999999915E-2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11"/>
      <c r="H19" s="10"/>
      <c r="I19" s="10">
        <f t="shared" si="5"/>
        <v>6111</v>
      </c>
      <c r="J19" s="10">
        <f t="shared" si="3"/>
        <v>15038074612.333517</v>
      </c>
      <c r="K19" s="11">
        <f t="shared" si="4"/>
        <v>1.7099999999999893E-2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11"/>
      <c r="H20" s="10"/>
      <c r="I20" s="10">
        <f t="shared" si="5"/>
        <v>6111</v>
      </c>
      <c r="J20" s="10">
        <f t="shared" si="3"/>
        <v>14785246890.505869</v>
      </c>
      <c r="K20" s="11">
        <f t="shared" si="4"/>
        <v>1.6999999999999904E-2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11"/>
      <c r="H21" s="10"/>
      <c r="I21" s="10">
        <f t="shared" si="5"/>
        <v>6111</v>
      </c>
      <c r="J21" s="10">
        <f t="shared" si="3"/>
        <v>14538099204.037237</v>
      </c>
      <c r="K21" s="11">
        <f t="shared" si="4"/>
        <v>1.6900000000000137E-2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11"/>
      <c r="H22" s="10"/>
      <c r="I22" s="10">
        <f t="shared" si="5"/>
        <v>6111</v>
      </c>
      <c r="J22" s="10">
        <f t="shared" si="3"/>
        <v>14296488547.583082</v>
      </c>
      <c r="K22" s="11">
        <f t="shared" si="4"/>
        <v>1.6799999999999926E-2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11"/>
      <c r="H23" s="10"/>
      <c r="I23" s="10">
        <f t="shared" si="5"/>
        <v>6111</v>
      </c>
      <c r="J23" s="10">
        <f t="shared" si="3"/>
        <v>14060275912.257164</v>
      </c>
      <c r="K23" s="11">
        <f t="shared" si="4"/>
        <v>1.6799999999999926E-2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11"/>
      <c r="H24" s="10"/>
      <c r="I24" s="10">
        <f t="shared" si="5"/>
        <v>6111</v>
      </c>
      <c r="J24" s="10">
        <f t="shared" si="3"/>
        <v>13827966082.078251</v>
      </c>
      <c r="K24" s="11">
        <f t="shared" si="4"/>
        <v>1.6699999999999937E-2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11"/>
      <c r="H25" s="10"/>
      <c r="I25" s="10">
        <f t="shared" si="5"/>
        <v>6111</v>
      </c>
      <c r="J25" s="10">
        <f t="shared" si="3"/>
        <v>13600832184.595507</v>
      </c>
      <c r="K25" s="11">
        <f t="shared" si="4"/>
        <v>1.6900000000000137E-2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11"/>
      <c r="H26" s="10"/>
      <c r="I26" s="10">
        <f t="shared" si="5"/>
        <v>6111</v>
      </c>
      <c r="J26" s="10">
        <f t="shared" si="3"/>
        <v>13374798096.760258</v>
      </c>
      <c r="K26" s="11">
        <f t="shared" si="4"/>
        <v>1.7199999999999882E-2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11"/>
      <c r="H27" s="10"/>
      <c r="I27" s="10">
        <f t="shared" si="5"/>
        <v>6111</v>
      </c>
      <c r="J27" s="10">
        <f t="shared" si="3"/>
        <v>13148641463.586569</v>
      </c>
      <c r="K27" s="11">
        <f t="shared" si="4"/>
        <v>1.7500000000000071E-2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11"/>
      <c r="H28" s="10"/>
      <c r="I28" s="10">
        <f t="shared" si="5"/>
        <v>6111</v>
      </c>
      <c r="J28" s="10">
        <f t="shared" si="3"/>
        <v>12922497752.910633</v>
      </c>
      <c r="K28" s="11">
        <f t="shared" si="4"/>
        <v>1.7700000000000271E-2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11"/>
      <c r="H29" s="10"/>
      <c r="I29" s="10">
        <f t="shared" si="5"/>
        <v>6111</v>
      </c>
      <c r="J29" s="10">
        <f t="shared" si="3"/>
        <v>12697747620.035994</v>
      </c>
      <c r="K29" s="11">
        <f t="shared" si="4"/>
        <v>1.8100000000000005E-2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11"/>
      <c r="H30" s="10"/>
      <c r="I30" s="10">
        <f t="shared" si="5"/>
        <v>6111</v>
      </c>
      <c r="J30" s="10">
        <f t="shared" si="3"/>
        <v>12472004341.455647</v>
      </c>
      <c r="K30" s="11">
        <f t="shared" si="4"/>
        <v>1.8499999999999961E-2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11"/>
      <c r="H31" s="10"/>
      <c r="I31" s="10">
        <f t="shared" si="5"/>
        <v>6111</v>
      </c>
      <c r="J31" s="10">
        <f t="shared" si="3"/>
        <v>12245463270.943197</v>
      </c>
      <c r="K31" s="11">
        <f t="shared" si="4"/>
        <v>1.8899999999999695E-2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11"/>
      <c r="H32" s="10"/>
      <c r="I32" s="10">
        <f t="shared" si="5"/>
        <v>6111</v>
      </c>
      <c r="J32" s="10">
        <f t="shared" si="3"/>
        <v>12018317078.165865</v>
      </c>
      <c r="K32" s="11">
        <f t="shared" si="4"/>
        <v>1.9400000000000084E-2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11"/>
      <c r="H33" s="10"/>
      <c r="I33" s="10">
        <f t="shared" si="5"/>
        <v>6111</v>
      </c>
      <c r="J33" s="10">
        <f t="shared" si="3"/>
        <v>11789598860.276499</v>
      </c>
      <c r="K33" s="11">
        <f t="shared" si="4"/>
        <v>1.980000000000004E-2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11"/>
      <c r="H34" s="10"/>
      <c r="I34" s="10">
        <f t="shared" si="5"/>
        <v>6111</v>
      </c>
      <c r="J34" s="10">
        <f t="shared" ref="J34:J65" si="6">IF(I34="","",I34*C34)</f>
        <v>11560697058.517845</v>
      </c>
      <c r="K34" s="11">
        <f t="shared" ref="K34:K65" si="7">IFERROR(J34/J35-1,"")</f>
        <v>2.0399999999999974E-2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11"/>
      <c r="H35" s="10"/>
      <c r="I35" s="10">
        <f t="shared" ref="I35:I66" si="8">IF(H35&lt;&gt;"",H35,I34/(1+IF(G34="",0,G34)))</f>
        <v>6111</v>
      </c>
      <c r="J35" s="10">
        <f t="shared" si="6"/>
        <v>11329573753.937519</v>
      </c>
      <c r="K35" s="11">
        <f t="shared" si="7"/>
        <v>2.079999999999993E-2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11"/>
      <c r="H36" s="10"/>
      <c r="I36" s="10">
        <f t="shared" si="8"/>
        <v>6111</v>
      </c>
      <c r="J36" s="10">
        <f t="shared" si="6"/>
        <v>11098720370.236599</v>
      </c>
      <c r="K36" s="11">
        <f t="shared" si="7"/>
        <v>2.0999999999999908E-2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11"/>
      <c r="H37" s="10"/>
      <c r="I37" s="10">
        <f t="shared" si="8"/>
        <v>6111</v>
      </c>
      <c r="J37" s="10">
        <f t="shared" si="6"/>
        <v>10870441106.989815</v>
      </c>
      <c r="K37" s="11">
        <f t="shared" si="7"/>
        <v>2.1200000000000108E-2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11"/>
      <c r="H38" s="10"/>
      <c r="I38" s="10">
        <f t="shared" si="8"/>
        <v>6111</v>
      </c>
      <c r="J38" s="10">
        <f t="shared" si="6"/>
        <v>10644771941.823162</v>
      </c>
      <c r="K38" s="11">
        <f t="shared" si="7"/>
        <v>2.1200000000000108E-2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11"/>
      <c r="H39" s="10"/>
      <c r="I39" s="10">
        <f t="shared" si="8"/>
        <v>6111</v>
      </c>
      <c r="J39" s="10">
        <f t="shared" si="6"/>
        <v>10423787643.775127</v>
      </c>
      <c r="K39" s="11">
        <f t="shared" si="7"/>
        <v>2.1099999999999897E-2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11"/>
      <c r="H40" s="10"/>
      <c r="I40" s="10">
        <f t="shared" si="8"/>
        <v>6111</v>
      </c>
      <c r="J40" s="10">
        <f t="shared" si="6"/>
        <v>10208390602.071423</v>
      </c>
      <c r="K40" s="11">
        <f t="shared" si="7"/>
        <v>2.0999999999999908E-2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11"/>
      <c r="H41" s="10"/>
      <c r="I41" s="10">
        <f t="shared" si="8"/>
        <v>6111</v>
      </c>
      <c r="J41" s="10">
        <f t="shared" si="6"/>
        <v>9998423704.2815113</v>
      </c>
      <c r="K41" s="11">
        <f t="shared" si="7"/>
        <v>2.1199999999999886E-2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11"/>
      <c r="H42" s="10"/>
      <c r="I42" s="10">
        <f t="shared" si="8"/>
        <v>6111</v>
      </c>
      <c r="J42" s="10">
        <f t="shared" si="6"/>
        <v>9790857524.75667</v>
      </c>
      <c r="K42" s="11">
        <f t="shared" si="7"/>
        <v>2.1400000000000086E-2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11"/>
      <c r="H43" s="10"/>
      <c r="I43" s="10">
        <f t="shared" si="8"/>
        <v>6111</v>
      </c>
      <c r="J43" s="10">
        <f t="shared" si="6"/>
        <v>9585723051.4555206</v>
      </c>
      <c r="K43" s="11">
        <f t="shared" si="7"/>
        <v>2.1500000000000297E-2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11"/>
      <c r="H44" s="10"/>
      <c r="I44" s="10">
        <f t="shared" si="8"/>
        <v>6111</v>
      </c>
      <c r="J44" s="10">
        <f t="shared" si="6"/>
        <v>9383967744.9393234</v>
      </c>
      <c r="K44" s="11">
        <f t="shared" si="7"/>
        <v>2.1800000000000042E-2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11"/>
      <c r="H45" s="10"/>
      <c r="I45" s="10">
        <f t="shared" si="8"/>
        <v>6111</v>
      </c>
      <c r="J45" s="10">
        <f t="shared" si="6"/>
        <v>9183761739.0285015</v>
      </c>
      <c r="K45" s="11">
        <f t="shared" si="7"/>
        <v>2.2199999999999998E-2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11"/>
      <c r="H46" s="10"/>
      <c r="I46" s="10">
        <f t="shared" si="8"/>
        <v>6111</v>
      </c>
      <c r="J46" s="10">
        <f t="shared" si="6"/>
        <v>8984310055.7899647</v>
      </c>
      <c r="K46" s="11">
        <f t="shared" si="7"/>
        <v>2.2499999999999964E-2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11"/>
      <c r="H47" s="10"/>
      <c r="I47" s="10">
        <f t="shared" si="8"/>
        <v>6111</v>
      </c>
      <c r="J47" s="10">
        <f t="shared" si="6"/>
        <v>8786611301.5060787</v>
      </c>
      <c r="K47" s="11">
        <f t="shared" si="7"/>
        <v>2.2799999999999709E-2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11"/>
      <c r="H48" s="10"/>
      <c r="I48" s="10">
        <f t="shared" si="8"/>
        <v>6111</v>
      </c>
      <c r="J48" s="10">
        <f t="shared" si="6"/>
        <v>8590742375.3481426</v>
      </c>
      <c r="K48" s="11">
        <f t="shared" si="7"/>
        <v>2.2999999999999909E-2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11"/>
      <c r="H49" s="10"/>
      <c r="I49" s="10">
        <f t="shared" si="8"/>
        <v>6111</v>
      </c>
      <c r="J49" s="10">
        <f t="shared" si="6"/>
        <v>8397597629.8613319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11"/>
      <c r="H50" s="10"/>
      <c r="I50" s="10">
        <f t="shared" si="8"/>
        <v>6111</v>
      </c>
      <c r="J50" s="10">
        <f t="shared" si="6"/>
        <v>8207992991.7518644</v>
      </c>
      <c r="K50" s="11">
        <f t="shared" si="7"/>
        <v>2.289999999999992E-2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11"/>
      <c r="H51" s="10"/>
      <c r="I51" s="10">
        <f t="shared" si="8"/>
        <v>6111</v>
      </c>
      <c r="J51" s="10">
        <f t="shared" si="6"/>
        <v>8024237942.860363</v>
      </c>
      <c r="K51" s="11">
        <f t="shared" si="7"/>
        <v>2.2700000000000164E-2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11"/>
      <c r="H52" s="10"/>
      <c r="I52" s="10">
        <f t="shared" si="8"/>
        <v>6111</v>
      </c>
      <c r="J52" s="10">
        <f t="shared" si="6"/>
        <v>7846130774.2841129</v>
      </c>
      <c r="K52" s="11">
        <f t="shared" si="7"/>
        <v>2.2599999999999953E-2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11"/>
      <c r="H53" s="10"/>
      <c r="I53" s="10">
        <f t="shared" si="8"/>
        <v>6111</v>
      </c>
      <c r="J53" s="10">
        <f t="shared" si="6"/>
        <v>7672727140.8997784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11"/>
      <c r="H54" s="10"/>
      <c r="I54" s="10">
        <f t="shared" si="8"/>
        <v>6111</v>
      </c>
      <c r="J54" s="10">
        <f t="shared" si="6"/>
        <v>7503889624.351861</v>
      </c>
      <c r="K54" s="11">
        <f t="shared" si="7"/>
        <v>2.2499999999999964E-2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11"/>
      <c r="H55" s="10"/>
      <c r="I55" s="10">
        <f t="shared" si="8"/>
        <v>6111</v>
      </c>
      <c r="J55" s="10">
        <f t="shared" si="6"/>
        <v>7338767358.7793264</v>
      </c>
      <c r="K55" s="11">
        <f t="shared" si="7"/>
        <v>2.2499999999999742E-2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11"/>
      <c r="H56" s="10"/>
      <c r="I56" s="10">
        <f t="shared" si="8"/>
        <v>6111</v>
      </c>
      <c r="J56" s="10">
        <f t="shared" si="6"/>
        <v>7177278590.4932299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11"/>
      <c r="H57" s="10"/>
      <c r="I57" s="10">
        <f t="shared" si="8"/>
        <v>6111</v>
      </c>
      <c r="J57" s="10">
        <f t="shared" si="6"/>
        <v>7020029920.2789803</v>
      </c>
      <c r="K57" s="11">
        <f t="shared" si="7"/>
        <v>2.2399999999999975E-2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11"/>
      <c r="H58" s="10"/>
      <c r="I58" s="10">
        <f t="shared" si="8"/>
        <v>6111</v>
      </c>
      <c r="J58" s="10">
        <f t="shared" si="6"/>
        <v>6866226447.8472033</v>
      </c>
      <c r="K58" s="11">
        <f t="shared" si="7"/>
        <v>2.2199999999999998E-2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11"/>
      <c r="H59" s="10"/>
      <c r="I59" s="10">
        <f t="shared" si="8"/>
        <v>6111</v>
      </c>
      <c r="J59" s="10">
        <f t="shared" si="6"/>
        <v>6717106679.5609503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11"/>
      <c r="H60" s="10"/>
      <c r="I60" s="10">
        <f t="shared" si="8"/>
        <v>6111</v>
      </c>
      <c r="J60" s="10">
        <f t="shared" si="6"/>
        <v>6573154593.9533701</v>
      </c>
      <c r="K60" s="11">
        <f t="shared" si="7"/>
        <v>2.1599999999999842E-2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11"/>
      <c r="H61" s="10"/>
      <c r="I61" s="10">
        <f t="shared" si="8"/>
        <v>6111</v>
      </c>
      <c r="J61" s="10">
        <f t="shared" si="6"/>
        <v>6434176384.057724</v>
      </c>
      <c r="K61" s="11">
        <f t="shared" si="7"/>
        <v>2.1300000000000097E-2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11"/>
      <c r="H62" s="10"/>
      <c r="I62" s="10">
        <f t="shared" si="8"/>
        <v>6111</v>
      </c>
      <c r="J62" s="10">
        <f t="shared" si="6"/>
        <v>6299986668.0287113</v>
      </c>
      <c r="K62" s="11">
        <f t="shared" si="7"/>
        <v>2.1099999999999897E-2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11"/>
      <c r="H63" s="10"/>
      <c r="I63" s="10">
        <f t="shared" si="8"/>
        <v>6111</v>
      </c>
      <c r="J63" s="10">
        <f t="shared" si="6"/>
        <v>6169803807.6865263</v>
      </c>
      <c r="K63" s="11">
        <f t="shared" si="7"/>
        <v>2.0899999999999697E-2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11"/>
      <c r="H64" s="10"/>
      <c r="I64" s="10">
        <f t="shared" si="8"/>
        <v>6111</v>
      </c>
      <c r="J64" s="10">
        <f t="shared" si="6"/>
        <v>6043494767.0550766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11"/>
      <c r="H65" s="10"/>
      <c r="I65" s="10">
        <f t="shared" si="8"/>
        <v>6111</v>
      </c>
      <c r="J65" s="10">
        <f t="shared" si="6"/>
        <v>5921511627.5279999</v>
      </c>
      <c r="K65" s="11">
        <f t="shared" si="7"/>
        <v>2.0399999999999974E-2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11"/>
      <c r="H66" s="10"/>
      <c r="I66" s="10">
        <f t="shared" si="8"/>
        <v>6111</v>
      </c>
      <c r="J66" s="10">
        <f t="shared" ref="J66:J97" si="9">IF(I66="","",I66*C66)</f>
        <v>5803127820</v>
      </c>
      <c r="K66" s="11">
        <f t="shared" ref="K66:K97" si="10">IFERROR(J66/J67-1,"")</f>
        <v>2.0000000000000018E-2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6111</v>
      </c>
      <c r="J67" s="10">
        <f t="shared" si="9"/>
        <v>5689341000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5">
        <v>21768597</v>
      </c>
      <c r="G2" s="11"/>
      <c r="H2" s="10"/>
      <c r="I2" s="10">
        <f>IF(H2&lt;&gt;"",H2,10754)</f>
        <v>10754</v>
      </c>
      <c r="J2" s="10">
        <f t="shared" ref="J2:J33" si="3">IF(I2="","",I2*C2)</f>
        <v>234111277891.95761</v>
      </c>
      <c r="K2" s="11">
        <f t="shared" ref="K2:K33" si="4">IFERROR(J2/J3-1,"")</f>
        <v>1.089999999999991E-2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11"/>
      <c r="H3" s="10"/>
      <c r="I3" s="10">
        <f t="shared" ref="I3:I34" si="5">IF(H3&lt;&gt;"",H3,I2/(1+IF(G2="",0,G2)))</f>
        <v>10754</v>
      </c>
      <c r="J3" s="10">
        <f t="shared" si="3"/>
        <v>231586979812.00674</v>
      </c>
      <c r="K3" s="11">
        <f t="shared" si="4"/>
        <v>1.0999999999999899E-2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11"/>
      <c r="H4" s="10"/>
      <c r="I4" s="10">
        <f t="shared" si="5"/>
        <v>10754</v>
      </c>
      <c r="J4" s="10">
        <f t="shared" si="3"/>
        <v>229067240170.13528</v>
      </c>
      <c r="K4" s="11">
        <f t="shared" si="4"/>
        <v>9.6000000000000529E-3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11"/>
      <c r="H5" s="10"/>
      <c r="I5" s="10">
        <f t="shared" si="5"/>
        <v>10754</v>
      </c>
      <c r="J5" s="10">
        <f t="shared" si="3"/>
        <v>226889104764.39706</v>
      </c>
      <c r="K5" s="11">
        <f t="shared" si="4"/>
        <v>9.6000000000000529E-3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11"/>
      <c r="H6" s="10"/>
      <c r="I6" s="10">
        <f t="shared" si="5"/>
        <v>10754</v>
      </c>
      <c r="J6" s="10">
        <f t="shared" si="3"/>
        <v>224731680630.34573</v>
      </c>
      <c r="K6" s="11">
        <f t="shared" si="4"/>
        <v>1.1900000000000022E-2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11"/>
      <c r="H7" s="10"/>
      <c r="I7" s="10">
        <f t="shared" si="5"/>
        <v>10754</v>
      </c>
      <c r="J7" s="10">
        <f t="shared" si="3"/>
        <v>222088823629.15875</v>
      </c>
      <c r="K7" s="11">
        <f t="shared" si="4"/>
        <v>1.7100000000000115E-2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11"/>
      <c r="H8" s="10"/>
      <c r="I8" s="10">
        <f t="shared" si="5"/>
        <v>10754</v>
      </c>
      <c r="J8" s="10">
        <f t="shared" si="3"/>
        <v>218354953917.17505</v>
      </c>
      <c r="K8" s="11">
        <f t="shared" si="4"/>
        <v>1.8100000000000005E-2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11"/>
      <c r="H9" s="10"/>
      <c r="I9" s="10">
        <f t="shared" si="5"/>
        <v>10754</v>
      </c>
      <c r="J9" s="10">
        <f t="shared" si="3"/>
        <v>214472992748.4285</v>
      </c>
      <c r="K9" s="11">
        <f t="shared" si="4"/>
        <v>1.4699999999999935E-2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11"/>
      <c r="H10" s="10"/>
      <c r="I10" s="10">
        <f t="shared" si="5"/>
        <v>10754</v>
      </c>
      <c r="J10" s="10">
        <f t="shared" si="3"/>
        <v>211365913815.34299</v>
      </c>
      <c r="K10" s="11">
        <f t="shared" si="4"/>
        <v>1.3300000000000312E-2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11"/>
      <c r="H11" s="10"/>
      <c r="I11" s="10">
        <f t="shared" si="5"/>
        <v>10754</v>
      </c>
      <c r="J11" s="10">
        <f t="shared" si="3"/>
        <v>208591644937.67191</v>
      </c>
      <c r="K11" s="11">
        <f t="shared" si="4"/>
        <v>1.1300000000000088E-2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11"/>
      <c r="H12" s="10"/>
      <c r="I12" s="10">
        <f t="shared" si="5"/>
        <v>10754</v>
      </c>
      <c r="J12" s="10">
        <f t="shared" si="3"/>
        <v>206260896803.78906</v>
      </c>
      <c r="K12" s="11">
        <f t="shared" si="4"/>
        <v>9.9000000000000199E-3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11"/>
      <c r="H13" s="10"/>
      <c r="I13" s="10">
        <f t="shared" si="5"/>
        <v>10754</v>
      </c>
      <c r="J13" s="10">
        <f t="shared" si="3"/>
        <v>204238931383.09641</v>
      </c>
      <c r="K13" s="11">
        <f t="shared" si="4"/>
        <v>8.9999999999996749E-3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11"/>
      <c r="H14" s="10"/>
      <c r="I14" s="10">
        <f t="shared" si="5"/>
        <v>10754</v>
      </c>
      <c r="J14" s="10">
        <f t="shared" si="3"/>
        <v>202417176791.96875</v>
      </c>
      <c r="K14" s="11">
        <f t="shared" si="4"/>
        <v>8.3999999999999631E-3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11"/>
      <c r="H15" s="10"/>
      <c r="I15" s="10">
        <f t="shared" si="5"/>
        <v>10754</v>
      </c>
      <c r="J15" s="10">
        <f t="shared" si="3"/>
        <v>200731036088.82263</v>
      </c>
      <c r="K15" s="11">
        <f t="shared" si="4"/>
        <v>7.5000000000000622E-3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11"/>
      <c r="H16" s="10"/>
      <c r="I16" s="10">
        <f t="shared" si="5"/>
        <v>10754</v>
      </c>
      <c r="J16" s="10">
        <f t="shared" si="3"/>
        <v>199236760385.92816</v>
      </c>
      <c r="K16" s="11">
        <f t="shared" si="4"/>
        <v>6.4999999999999503E-3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11"/>
      <c r="H17" s="10"/>
      <c r="I17" s="10">
        <f t="shared" si="5"/>
        <v>10754</v>
      </c>
      <c r="J17" s="10">
        <f t="shared" si="3"/>
        <v>197950084834.50388</v>
      </c>
      <c r="K17" s="11">
        <f t="shared" si="4"/>
        <v>6.1999999999999833E-3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11"/>
      <c r="H18" s="10"/>
      <c r="I18" s="10">
        <f t="shared" si="5"/>
        <v>10754</v>
      </c>
      <c r="J18" s="10">
        <f t="shared" si="3"/>
        <v>196730356623.43857</v>
      </c>
      <c r="K18" s="11">
        <f t="shared" si="4"/>
        <v>6.5999999999999392E-3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11"/>
      <c r="H19" s="10"/>
      <c r="I19" s="10">
        <f t="shared" si="5"/>
        <v>10754</v>
      </c>
      <c r="J19" s="10">
        <f t="shared" si="3"/>
        <v>195440449655.71088</v>
      </c>
      <c r="K19" s="11">
        <f t="shared" si="4"/>
        <v>7.3000000000003062E-3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11"/>
      <c r="H20" s="10"/>
      <c r="I20" s="10">
        <f t="shared" si="5"/>
        <v>10754</v>
      </c>
      <c r="J20" s="10">
        <f t="shared" si="3"/>
        <v>194024073916.12314</v>
      </c>
      <c r="K20" s="11">
        <f t="shared" si="4"/>
        <v>7.9000000000000181E-3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11"/>
      <c r="H21" s="10"/>
      <c r="I21" s="10">
        <f t="shared" si="5"/>
        <v>10754</v>
      </c>
      <c r="J21" s="10">
        <f t="shared" si="3"/>
        <v>192503297863.0054</v>
      </c>
      <c r="K21" s="11">
        <f t="shared" si="4"/>
        <v>8.90000000000013E-3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11"/>
      <c r="H22" s="10"/>
      <c r="I22" s="10">
        <f t="shared" si="5"/>
        <v>10754</v>
      </c>
      <c r="J22" s="10">
        <f t="shared" si="3"/>
        <v>190805132186.54514</v>
      </c>
      <c r="K22" s="11">
        <f t="shared" si="4"/>
        <v>9.8000000000000309E-3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11"/>
      <c r="H23" s="10"/>
      <c r="I23" s="10">
        <f t="shared" si="5"/>
        <v>10754</v>
      </c>
      <c r="J23" s="10">
        <f t="shared" si="3"/>
        <v>188953388974.59412</v>
      </c>
      <c r="K23" s="11">
        <f t="shared" si="4"/>
        <v>1.069999999999971E-2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11"/>
      <c r="H24" s="10"/>
      <c r="I24" s="10">
        <f t="shared" si="5"/>
        <v>10754</v>
      </c>
      <c r="J24" s="10">
        <f t="shared" si="3"/>
        <v>186952991960.61557</v>
      </c>
      <c r="K24" s="11">
        <f t="shared" si="4"/>
        <v>1.1900000000000022E-2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11"/>
      <c r="H25" s="10"/>
      <c r="I25" s="10">
        <f t="shared" si="5"/>
        <v>10754</v>
      </c>
      <c r="J25" s="10">
        <f t="shared" si="3"/>
        <v>184754414428.9115</v>
      </c>
      <c r="K25" s="11">
        <f t="shared" si="4"/>
        <v>1.3700000000000045E-2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11"/>
      <c r="H26" s="10"/>
      <c r="I26" s="10">
        <f t="shared" si="5"/>
        <v>10754</v>
      </c>
      <c r="J26" s="10">
        <f t="shared" si="3"/>
        <v>182257486858.94397</v>
      </c>
      <c r="K26" s="11">
        <f t="shared" si="4"/>
        <v>1.560000000000028E-2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11"/>
      <c r="H27" s="10"/>
      <c r="I27" s="10">
        <f t="shared" si="5"/>
        <v>10754</v>
      </c>
      <c r="J27" s="10">
        <f t="shared" si="3"/>
        <v>179457942948.94046</v>
      </c>
      <c r="K27" s="11">
        <f t="shared" si="4"/>
        <v>1.7300000000000093E-2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11"/>
      <c r="H28" s="10"/>
      <c r="I28" s="10">
        <f t="shared" si="5"/>
        <v>10754</v>
      </c>
      <c r="J28" s="10">
        <f t="shared" si="3"/>
        <v>176406117122.71744</v>
      </c>
      <c r="K28" s="11">
        <f t="shared" si="4"/>
        <v>1.8199999999999994E-2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11"/>
      <c r="H29" s="10"/>
      <c r="I29" s="10">
        <f t="shared" si="5"/>
        <v>10754</v>
      </c>
      <c r="J29" s="10">
        <f t="shared" si="3"/>
        <v>173252914086.34595</v>
      </c>
      <c r="K29" s="11">
        <f t="shared" si="4"/>
        <v>1.8499999999999961E-2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11"/>
      <c r="H30" s="10"/>
      <c r="I30" s="10">
        <f t="shared" si="5"/>
        <v>10754</v>
      </c>
      <c r="J30" s="10">
        <f t="shared" si="3"/>
        <v>170105953938.48401</v>
      </c>
      <c r="K30" s="11">
        <f t="shared" si="4"/>
        <v>1.8799999999999928E-2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11"/>
      <c r="H31" s="10"/>
      <c r="I31" s="10">
        <f t="shared" si="5"/>
        <v>10754</v>
      </c>
      <c r="J31" s="10">
        <f t="shared" si="3"/>
        <v>166966974812.01807</v>
      </c>
      <c r="K31" s="11">
        <f t="shared" si="4"/>
        <v>1.9400000000000084E-2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11"/>
      <c r="H32" s="10"/>
      <c r="I32" s="10">
        <f t="shared" si="5"/>
        <v>10754</v>
      </c>
      <c r="J32" s="10">
        <f t="shared" si="3"/>
        <v>163789459301.56763</v>
      </c>
      <c r="K32" s="11">
        <f t="shared" si="4"/>
        <v>1.980000000000004E-2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11"/>
      <c r="H33" s="10"/>
      <c r="I33" s="10">
        <f t="shared" si="5"/>
        <v>10754</v>
      </c>
      <c r="J33" s="10">
        <f t="shared" si="3"/>
        <v>160609393313.95139</v>
      </c>
      <c r="K33" s="11">
        <f t="shared" si="4"/>
        <v>2.0199999999999996E-2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11"/>
      <c r="H34" s="10"/>
      <c r="I34" s="10">
        <f t="shared" si="5"/>
        <v>10754</v>
      </c>
      <c r="J34" s="10">
        <f t="shared" ref="J34:J65" si="6">IF(I34="","",I34*C34)</f>
        <v>157429321029.16232</v>
      </c>
      <c r="K34" s="11">
        <f t="shared" ref="K34:K65" si="7">IFERROR(J34/J35-1,"")</f>
        <v>2.0399999999999974E-2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11"/>
      <c r="H35" s="10"/>
      <c r="I35" s="10">
        <f t="shared" ref="I35:I66" si="8">IF(H35&lt;&gt;"",H35,I34/(1+IF(G34="",0,G34)))</f>
        <v>10754</v>
      </c>
      <c r="J35" s="10">
        <f t="shared" si="6"/>
        <v>154281968864.32999</v>
      </c>
      <c r="K35" s="11">
        <f t="shared" si="7"/>
        <v>2.1100000000000119E-2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11"/>
      <c r="H36" s="10"/>
      <c r="I36" s="10">
        <f t="shared" si="8"/>
        <v>10754</v>
      </c>
      <c r="J36" s="10">
        <f t="shared" si="6"/>
        <v>151093887831.0939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11"/>
      <c r="H37" s="10"/>
      <c r="I37" s="10">
        <f t="shared" si="8"/>
        <v>10754</v>
      </c>
      <c r="J37" s="10">
        <f t="shared" si="6"/>
        <v>147826913052.63077</v>
      </c>
      <c r="K37" s="11">
        <f t="shared" si="7"/>
        <v>2.2399999999999975E-2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11"/>
      <c r="H38" s="10"/>
      <c r="I38" s="10">
        <f t="shared" si="8"/>
        <v>10754</v>
      </c>
      <c r="J38" s="10">
        <f t="shared" si="6"/>
        <v>144588138744.74841</v>
      </c>
      <c r="K38" s="11">
        <f t="shared" si="7"/>
        <v>2.2699999999999942E-2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11"/>
      <c r="H39" s="10"/>
      <c r="I39" s="10">
        <f t="shared" si="8"/>
        <v>10754</v>
      </c>
      <c r="J39" s="10">
        <f t="shared" si="6"/>
        <v>141378839097.24106</v>
      </c>
      <c r="K39" s="11">
        <f t="shared" si="7"/>
        <v>2.289999999999992E-2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11"/>
      <c r="H40" s="10"/>
      <c r="I40" s="10">
        <f t="shared" si="8"/>
        <v>10754</v>
      </c>
      <c r="J40" s="10">
        <f t="shared" si="6"/>
        <v>138213744351.58966</v>
      </c>
      <c r="K40" s="11">
        <f t="shared" si="7"/>
        <v>2.3600000000000287E-2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11"/>
      <c r="H41" s="10"/>
      <c r="I41" s="10">
        <f t="shared" si="8"/>
        <v>10754</v>
      </c>
      <c r="J41" s="10">
        <f t="shared" si="6"/>
        <v>135027104681.11531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11"/>
      <c r="H42" s="10"/>
      <c r="I42" s="10">
        <f t="shared" si="8"/>
        <v>10754</v>
      </c>
      <c r="J42" s="10">
        <f t="shared" si="6"/>
        <v>131810918275.20042</v>
      </c>
      <c r="K42" s="11">
        <f t="shared" si="7"/>
        <v>2.4799999999999933E-2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11"/>
      <c r="H43" s="10"/>
      <c r="I43" s="10">
        <f t="shared" si="8"/>
        <v>10754</v>
      </c>
      <c r="J43" s="10">
        <f t="shared" si="6"/>
        <v>128621114632.31892</v>
      </c>
      <c r="K43" s="11">
        <f t="shared" si="7"/>
        <v>2.4899999999999922E-2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11"/>
      <c r="H44" s="10"/>
      <c r="I44" s="10">
        <f t="shared" si="8"/>
        <v>10754</v>
      </c>
      <c r="J44" s="10">
        <f t="shared" si="6"/>
        <v>125496257812.7807</v>
      </c>
      <c r="K44" s="11">
        <f t="shared" si="7"/>
        <v>2.4799999999999933E-2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11"/>
      <c r="H45" s="10"/>
      <c r="I45" s="10">
        <f t="shared" si="8"/>
        <v>10754</v>
      </c>
      <c r="J45" s="10">
        <f t="shared" si="6"/>
        <v>122459267967.19429</v>
      </c>
      <c r="K45" s="11">
        <f t="shared" si="7"/>
        <v>2.4899999999999922E-2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11"/>
      <c r="H46" s="10"/>
      <c r="I46" s="10">
        <f t="shared" si="8"/>
        <v>10754</v>
      </c>
      <c r="J46" s="10">
        <f t="shared" si="6"/>
        <v>119484113540.04712</v>
      </c>
      <c r="K46" s="11">
        <f t="shared" si="7"/>
        <v>2.4999999999999911E-2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11"/>
      <c r="H47" s="10"/>
      <c r="I47" s="10">
        <f t="shared" si="8"/>
        <v>10754</v>
      </c>
      <c r="J47" s="10">
        <f t="shared" si="6"/>
        <v>116569866868.33867</v>
      </c>
      <c r="K47" s="11">
        <f t="shared" si="7"/>
        <v>2.4899999999999922E-2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11"/>
      <c r="H48" s="10"/>
      <c r="I48" s="10">
        <f t="shared" si="8"/>
        <v>10754</v>
      </c>
      <c r="J48" s="10">
        <f t="shared" si="6"/>
        <v>113737795754.06252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11"/>
      <c r="H49" s="10"/>
      <c r="I49" s="10">
        <f t="shared" si="8"/>
        <v>10754</v>
      </c>
      <c r="J49" s="10">
        <f t="shared" si="6"/>
        <v>110974529958.10568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11"/>
      <c r="H50" s="10"/>
      <c r="I50" s="10">
        <f t="shared" si="8"/>
        <v>10754</v>
      </c>
      <c r="J50" s="10">
        <f t="shared" si="6"/>
        <v>108299531529.33121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11"/>
      <c r="H51" s="10"/>
      <c r="I51" s="10">
        <f t="shared" si="8"/>
        <v>10754</v>
      </c>
      <c r="J51" s="10">
        <f t="shared" si="6"/>
        <v>105689012910.44327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11"/>
      <c r="H52" s="10"/>
      <c r="I52" s="10">
        <f t="shared" si="8"/>
        <v>10754</v>
      </c>
      <c r="J52" s="10">
        <f t="shared" si="6"/>
        <v>103121292721.6736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11"/>
      <c r="H53" s="10"/>
      <c r="I53" s="10">
        <f t="shared" si="8"/>
        <v>10754</v>
      </c>
      <c r="J53" s="10">
        <f t="shared" si="6"/>
        <v>100576702157.09898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11"/>
      <c r="H54" s="10"/>
      <c r="I54" s="10">
        <f t="shared" si="8"/>
        <v>10754</v>
      </c>
      <c r="J54" s="10">
        <f t="shared" si="6"/>
        <v>98037530126.814484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11"/>
      <c r="H55" s="10"/>
      <c r="I55" s="10">
        <f t="shared" si="8"/>
        <v>10754</v>
      </c>
      <c r="J55" s="10">
        <f t="shared" si="6"/>
        <v>95506605091.879684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11"/>
      <c r="H56" s="10"/>
      <c r="I56" s="10">
        <f t="shared" si="8"/>
        <v>10754</v>
      </c>
      <c r="J56" s="10">
        <f t="shared" si="6"/>
        <v>93213551719.578079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11"/>
      <c r="H57" s="10"/>
      <c r="I57" s="10">
        <f t="shared" si="8"/>
        <v>10754</v>
      </c>
      <c r="J57" s="10">
        <f t="shared" si="6"/>
        <v>90931179123.576324</v>
      </c>
      <c r="K57" s="11">
        <f t="shared" si="7"/>
        <v>2.7900000000000258E-2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11"/>
      <c r="H58" s="10"/>
      <c r="I58" s="10">
        <f t="shared" si="8"/>
        <v>10754</v>
      </c>
      <c r="J58" s="10">
        <f t="shared" si="6"/>
        <v>88463059756.373489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11"/>
      <c r="H59" s="10"/>
      <c r="I59" s="10">
        <f t="shared" si="8"/>
        <v>10754</v>
      </c>
      <c r="J59" s="10">
        <f t="shared" si="6"/>
        <v>86045189919.631836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11"/>
      <c r="H60" s="10"/>
      <c r="I60" s="10">
        <f t="shared" si="8"/>
        <v>10754</v>
      </c>
      <c r="J60" s="10">
        <f t="shared" si="6"/>
        <v>83677127219.324936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11"/>
      <c r="H61" s="10"/>
      <c r="I61" s="10">
        <f t="shared" si="8"/>
        <v>10754</v>
      </c>
      <c r="J61" s="10">
        <f t="shared" si="6"/>
        <v>81358412464.098145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11"/>
      <c r="H62" s="10"/>
      <c r="I62" s="10">
        <f t="shared" si="8"/>
        <v>10754</v>
      </c>
      <c r="J62" s="10">
        <f t="shared" si="6"/>
        <v>79088570491.006271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11"/>
      <c r="H63" s="10"/>
      <c r="I63" s="10">
        <f t="shared" si="8"/>
        <v>10754</v>
      </c>
      <c r="J63" s="10">
        <f t="shared" si="6"/>
        <v>76867110983.580795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11"/>
      <c r="H64" s="10"/>
      <c r="I64" s="10">
        <f t="shared" si="8"/>
        <v>10754</v>
      </c>
      <c r="J64" s="10">
        <f t="shared" si="6"/>
        <v>74700788127.872498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11"/>
      <c r="H65" s="10"/>
      <c r="I65" s="10">
        <f t="shared" si="8"/>
        <v>10754</v>
      </c>
      <c r="J65" s="10">
        <f t="shared" si="6"/>
        <v>72588463830.407639</v>
      </c>
      <c r="K65" s="11">
        <f t="shared" si="7"/>
        <v>2.9200000000000115E-2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11"/>
      <c r="H66" s="10"/>
      <c r="I66" s="10">
        <f t="shared" si="8"/>
        <v>10754</v>
      </c>
      <c r="J66" s="10">
        <f t="shared" ref="J66:J97" si="9">IF(I66="","",I66*C66)</f>
        <v>70529016547.228561</v>
      </c>
      <c r="K66" s="11">
        <f t="shared" ref="K66:K97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10754</v>
      </c>
      <c r="J67" s="10">
        <f t="shared" si="9"/>
        <v>68513734000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5">
        <v>376609</v>
      </c>
      <c r="G2" s="11"/>
      <c r="H2" s="10"/>
      <c r="I2" s="10">
        <f>IF(H2&lt;&gt;"",H2,18968)</f>
        <v>18968</v>
      </c>
      <c r="J2" s="10">
        <f t="shared" ref="J2:J33" si="3">IF(I2="","",I2*C2)</f>
        <v>7137274632.3579607</v>
      </c>
      <c r="K2" s="11">
        <f t="shared" ref="K2:K33" si="4">IFERROR(J2/J3-1,"")</f>
        <v>8.799999999999919E-3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11"/>
      <c r="H3" s="10"/>
      <c r="I3" s="10">
        <f t="shared" ref="I3:I34" si="5">IF(H3&lt;&gt;"",H3,I2/(1+IF(G2="",0,G2)))</f>
        <v>18968</v>
      </c>
      <c r="J3" s="10">
        <f t="shared" si="3"/>
        <v>7075014504.7164564</v>
      </c>
      <c r="K3" s="11">
        <f t="shared" si="4"/>
        <v>9.099999999999886E-3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11"/>
      <c r="H4" s="10"/>
      <c r="I4" s="10">
        <f t="shared" si="5"/>
        <v>18968</v>
      </c>
      <c r="J4" s="10">
        <f t="shared" si="3"/>
        <v>7011212471.2282791</v>
      </c>
      <c r="K4" s="11">
        <f t="shared" si="4"/>
        <v>8.5000000000001741E-3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11"/>
      <c r="H5" s="10"/>
      <c r="I5" s="10">
        <f t="shared" si="5"/>
        <v>18968</v>
      </c>
      <c r="J5" s="10">
        <f t="shared" si="3"/>
        <v>6952119455.8535233</v>
      </c>
      <c r="K5" s="11">
        <f t="shared" si="4"/>
        <v>9.100000000000108E-3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11"/>
      <c r="H6" s="10"/>
      <c r="I6" s="10">
        <f t="shared" si="5"/>
        <v>18968</v>
      </c>
      <c r="J6" s="10">
        <f t="shared" si="3"/>
        <v>6889425682.1459942</v>
      </c>
      <c r="K6" s="11">
        <f t="shared" si="4"/>
        <v>1.0799999999999921E-2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11"/>
      <c r="H7" s="10"/>
      <c r="I7" s="10">
        <f t="shared" si="5"/>
        <v>18968</v>
      </c>
      <c r="J7" s="10">
        <f t="shared" si="3"/>
        <v>6815814881.4265881</v>
      </c>
      <c r="K7" s="11">
        <f t="shared" si="4"/>
        <v>1.0399999999999965E-2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11"/>
      <c r="H8" s="10"/>
      <c r="I8" s="10">
        <f t="shared" si="5"/>
        <v>18968</v>
      </c>
      <c r="J8" s="10">
        <f t="shared" si="3"/>
        <v>6745660017.2472172</v>
      </c>
      <c r="K8" s="11">
        <f t="shared" si="4"/>
        <v>9.7000000000000419E-3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11"/>
      <c r="H9" s="10"/>
      <c r="I9" s="10">
        <f t="shared" si="5"/>
        <v>18968</v>
      </c>
      <c r="J9" s="10">
        <f t="shared" si="3"/>
        <v>6680855716.7943115</v>
      </c>
      <c r="K9" s="11">
        <f t="shared" si="4"/>
        <v>1.0099999999999998E-2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11"/>
      <c r="H10" s="10"/>
      <c r="I10" s="10">
        <f t="shared" si="5"/>
        <v>18968</v>
      </c>
      <c r="J10" s="10">
        <f t="shared" si="3"/>
        <v>6614053773.6801424</v>
      </c>
      <c r="K10" s="11">
        <f t="shared" si="4"/>
        <v>1.0499999999999954E-2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11"/>
      <c r="H11" s="10"/>
      <c r="I11" s="10">
        <f t="shared" si="5"/>
        <v>18968</v>
      </c>
      <c r="J11" s="10">
        <f t="shared" si="3"/>
        <v>6545327831.4499187</v>
      </c>
      <c r="K11" s="11">
        <f t="shared" si="4"/>
        <v>1.0799999999999699E-2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11"/>
      <c r="H12" s="10"/>
      <c r="I12" s="10">
        <f t="shared" si="5"/>
        <v>18968</v>
      </c>
      <c r="J12" s="10">
        <f t="shared" si="3"/>
        <v>6475393580.777523</v>
      </c>
      <c r="K12" s="11">
        <f t="shared" si="4"/>
        <v>1.110000000000011E-2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11"/>
      <c r="H13" s="10"/>
      <c r="I13" s="10">
        <f t="shared" si="5"/>
        <v>18968</v>
      </c>
      <c r="J13" s="10">
        <f t="shared" si="3"/>
        <v>6404305786.5468521</v>
      </c>
      <c r="K13" s="11">
        <f t="shared" si="4"/>
        <v>1.130000000000031E-2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11"/>
      <c r="H14" s="10"/>
      <c r="I14" s="10">
        <f t="shared" si="5"/>
        <v>18968</v>
      </c>
      <c r="J14" s="10">
        <f t="shared" si="3"/>
        <v>6332745759.4648972</v>
      </c>
      <c r="K14" s="11">
        <f t="shared" si="4"/>
        <v>1.1400000000000077E-2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11"/>
      <c r="H15" s="10"/>
      <c r="I15" s="10">
        <f t="shared" si="5"/>
        <v>18968</v>
      </c>
      <c r="J15" s="10">
        <f t="shared" si="3"/>
        <v>6261366184.9563942</v>
      </c>
      <c r="K15" s="11">
        <f t="shared" si="4"/>
        <v>1.1500000000000066E-2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11"/>
      <c r="H16" s="10"/>
      <c r="I16" s="10">
        <f t="shared" si="5"/>
        <v>18968</v>
      </c>
      <c r="J16" s="10">
        <f t="shared" si="3"/>
        <v>6190179125.0186787</v>
      </c>
      <c r="K16" s="11">
        <f t="shared" si="4"/>
        <v>1.1600000000000055E-2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11"/>
      <c r="H17" s="10"/>
      <c r="I17" s="10">
        <f t="shared" si="5"/>
        <v>18968</v>
      </c>
      <c r="J17" s="10">
        <f t="shared" si="3"/>
        <v>6119196446.2422686</v>
      </c>
      <c r="K17" s="11">
        <f t="shared" si="4"/>
        <v>1.1700000000000044E-2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11"/>
      <c r="H18" s="10"/>
      <c r="I18" s="10">
        <f t="shared" si="5"/>
        <v>18968</v>
      </c>
      <c r="J18" s="10">
        <f t="shared" si="3"/>
        <v>6048429817.3789349</v>
      </c>
      <c r="K18" s="11">
        <f t="shared" si="4"/>
        <v>1.1700000000000044E-2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11"/>
      <c r="H19" s="10"/>
      <c r="I19" s="10">
        <f t="shared" si="5"/>
        <v>18968</v>
      </c>
      <c r="J19" s="10">
        <f t="shared" si="3"/>
        <v>5978481582.859479</v>
      </c>
      <c r="K19" s="11">
        <f t="shared" si="4"/>
        <v>1.1400000000000077E-2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11"/>
      <c r="H20" s="10"/>
      <c r="I20" s="10">
        <f t="shared" si="5"/>
        <v>18968</v>
      </c>
      <c r="J20" s="10">
        <f t="shared" si="3"/>
        <v>5911095098.7339115</v>
      </c>
      <c r="K20" s="11">
        <f t="shared" si="4"/>
        <v>1.089999999999991E-2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11"/>
      <c r="H21" s="10"/>
      <c r="I21" s="10">
        <f t="shared" si="5"/>
        <v>18968</v>
      </c>
      <c r="J21" s="10">
        <f t="shared" si="3"/>
        <v>5847358886.8670616</v>
      </c>
      <c r="K21" s="11">
        <f t="shared" si="4"/>
        <v>1.0399999999999965E-2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11"/>
      <c r="H22" s="10"/>
      <c r="I22" s="10">
        <f t="shared" si="5"/>
        <v>18968</v>
      </c>
      <c r="J22" s="10">
        <f t="shared" si="3"/>
        <v>5787172294.9990711</v>
      </c>
      <c r="K22" s="11">
        <f t="shared" si="4"/>
        <v>1.4699999999999935E-2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11"/>
      <c r="H23" s="10"/>
      <c r="I23" s="10">
        <f t="shared" si="5"/>
        <v>18968</v>
      </c>
      <c r="J23" s="10">
        <f t="shared" si="3"/>
        <v>5703333295.5544214</v>
      </c>
      <c r="K23" s="11">
        <f t="shared" si="4"/>
        <v>1.9700000000000051E-2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11"/>
      <c r="H24" s="10"/>
      <c r="I24" s="10">
        <f t="shared" si="5"/>
        <v>18968</v>
      </c>
      <c r="J24" s="10">
        <f t="shared" si="3"/>
        <v>5593148274.5458679</v>
      </c>
      <c r="K24" s="11">
        <f t="shared" si="4"/>
        <v>2.0299999999999985E-2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11"/>
      <c r="H25" s="10"/>
      <c r="I25" s="10">
        <f t="shared" si="5"/>
        <v>18968</v>
      </c>
      <c r="J25" s="10">
        <f t="shared" si="3"/>
        <v>5481866386.8919611</v>
      </c>
      <c r="K25" s="11">
        <f t="shared" si="4"/>
        <v>2.0599999999999952E-2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11"/>
      <c r="H26" s="10"/>
      <c r="I26" s="10">
        <f t="shared" si="5"/>
        <v>18968</v>
      </c>
      <c r="J26" s="10">
        <f t="shared" si="3"/>
        <v>5371219269.9313745</v>
      </c>
      <c r="K26" s="11">
        <f t="shared" si="4"/>
        <v>2.0599999999999952E-2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11"/>
      <c r="H27" s="10"/>
      <c r="I27" s="10">
        <f t="shared" si="5"/>
        <v>18968</v>
      </c>
      <c r="J27" s="10">
        <f t="shared" si="3"/>
        <v>5262805477.1030521</v>
      </c>
      <c r="K27" s="11">
        <f t="shared" si="4"/>
        <v>2.0599999999999952E-2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11"/>
      <c r="H28" s="10"/>
      <c r="I28" s="10">
        <f t="shared" si="5"/>
        <v>18968</v>
      </c>
      <c r="J28" s="10">
        <f t="shared" si="3"/>
        <v>5156579930.5340509</v>
      </c>
      <c r="K28" s="11">
        <f t="shared" si="4"/>
        <v>2.059999999999973E-2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11"/>
      <c r="H29" s="10"/>
      <c r="I29" s="10">
        <f t="shared" si="5"/>
        <v>18968</v>
      </c>
      <c r="J29" s="10">
        <f t="shared" si="3"/>
        <v>5052498462.2124748</v>
      </c>
      <c r="K29" s="11">
        <f t="shared" si="4"/>
        <v>2.0799999999999708E-2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11"/>
      <c r="H30" s="10"/>
      <c r="I30" s="10">
        <f t="shared" si="5"/>
        <v>18968</v>
      </c>
      <c r="J30" s="10">
        <f t="shared" si="3"/>
        <v>4949547866.5874567</v>
      </c>
      <c r="K30" s="11">
        <f t="shared" si="4"/>
        <v>2.1200000000000108E-2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11"/>
      <c r="H31" s="10"/>
      <c r="I31" s="10">
        <f t="shared" si="5"/>
        <v>18968</v>
      </c>
      <c r="J31" s="10">
        <f t="shared" si="3"/>
        <v>4846795795.7182293</v>
      </c>
      <c r="K31" s="11">
        <f t="shared" si="4"/>
        <v>1.6999999999999904E-2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11"/>
      <c r="H32" s="10"/>
      <c r="I32" s="10">
        <f t="shared" si="5"/>
        <v>18968</v>
      </c>
      <c r="J32" s="10">
        <f t="shared" si="3"/>
        <v>4765777576.9107475</v>
      </c>
      <c r="K32" s="11">
        <f t="shared" si="4"/>
        <v>7.2000000000000952E-3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11"/>
      <c r="H33" s="10"/>
      <c r="I33" s="10">
        <f t="shared" si="5"/>
        <v>18968</v>
      </c>
      <c r="J33" s="10">
        <f t="shared" si="3"/>
        <v>4731709270.165555</v>
      </c>
      <c r="K33" s="11">
        <f t="shared" si="4"/>
        <v>4.1999999999999815E-3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11"/>
      <c r="H34" s="10"/>
      <c r="I34" s="10">
        <f t="shared" si="5"/>
        <v>18968</v>
      </c>
      <c r="J34" s="10">
        <f t="shared" ref="J34:J65" si="6">IF(I34="","",I34*C34)</f>
        <v>4711919209.4857149</v>
      </c>
      <c r="K34" s="11">
        <f t="shared" ref="K34:K65" si="7">IFERROR(J34/J35-1,"")</f>
        <v>6.1999999999999833E-3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11"/>
      <c r="H35" s="10"/>
      <c r="I35" s="10">
        <f t="shared" ref="I35:I66" si="8">IF(H35&lt;&gt;"",H35,I34/(1+IF(G34="",0,G34)))</f>
        <v>18968</v>
      </c>
      <c r="J35" s="10">
        <f t="shared" si="6"/>
        <v>4682885320.4986238</v>
      </c>
      <c r="K35" s="11">
        <f t="shared" si="7"/>
        <v>6.0999999999999943E-3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11"/>
      <c r="H36" s="10"/>
      <c r="I36" s="10">
        <f t="shared" si="8"/>
        <v>18968</v>
      </c>
      <c r="J36" s="10">
        <f t="shared" si="6"/>
        <v>4654492913.7249022</v>
      </c>
      <c r="K36" s="11">
        <f t="shared" si="7"/>
        <v>1.0000000000000231E-2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11"/>
      <c r="H37" s="10"/>
      <c r="I37" s="10">
        <f t="shared" si="8"/>
        <v>18968</v>
      </c>
      <c r="J37" s="10">
        <f t="shared" si="6"/>
        <v>4608408825.4701996</v>
      </c>
      <c r="K37" s="11">
        <f t="shared" si="7"/>
        <v>1.5299999999999869E-2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11"/>
      <c r="H38" s="10"/>
      <c r="I38" s="10">
        <f t="shared" si="8"/>
        <v>18968</v>
      </c>
      <c r="J38" s="10">
        <f t="shared" si="6"/>
        <v>4538962696.2180634</v>
      </c>
      <c r="K38" s="11">
        <f t="shared" si="7"/>
        <v>1.3300000000000312E-2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11"/>
      <c r="H39" s="10"/>
      <c r="I39" s="10">
        <f t="shared" si="8"/>
        <v>18968</v>
      </c>
      <c r="J39" s="10">
        <f t="shared" si="6"/>
        <v>4479386851.0984526</v>
      </c>
      <c r="K39" s="11">
        <f t="shared" si="7"/>
        <v>1.1599999999999833E-2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11"/>
      <c r="H40" s="10"/>
      <c r="I40" s="10">
        <f t="shared" si="8"/>
        <v>18968</v>
      </c>
      <c r="J40" s="10">
        <f t="shared" si="6"/>
        <v>4428021798.2388821</v>
      </c>
      <c r="K40" s="11">
        <f t="shared" si="7"/>
        <v>1.3800000000000257E-2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11"/>
      <c r="H41" s="10"/>
      <c r="I41" s="10">
        <f t="shared" si="8"/>
        <v>18968</v>
      </c>
      <c r="J41" s="10">
        <f t="shared" si="6"/>
        <v>4367746891.1411333</v>
      </c>
      <c r="K41" s="11">
        <f t="shared" si="7"/>
        <v>1.2399999999999967E-2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11"/>
      <c r="H42" s="10"/>
      <c r="I42" s="10">
        <f t="shared" si="8"/>
        <v>18968</v>
      </c>
      <c r="J42" s="10">
        <f t="shared" si="6"/>
        <v>4314250188.8000135</v>
      </c>
      <c r="K42" s="11">
        <f t="shared" si="7"/>
        <v>9.100000000000108E-3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11"/>
      <c r="H43" s="10"/>
      <c r="I43" s="10">
        <f t="shared" si="8"/>
        <v>18968</v>
      </c>
      <c r="J43" s="10">
        <f t="shared" si="6"/>
        <v>4275344553.3643975</v>
      </c>
      <c r="K43" s="11">
        <f t="shared" si="7"/>
        <v>5.8000000000000274E-3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11"/>
      <c r="H44" s="10"/>
      <c r="I44" s="10">
        <f t="shared" si="8"/>
        <v>18968</v>
      </c>
      <c r="J44" s="10">
        <f t="shared" si="6"/>
        <v>4250690548.1849246</v>
      </c>
      <c r="K44" s="11">
        <f t="shared" si="7"/>
        <v>2.8999999999999027E-3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11"/>
      <c r="H45" s="10"/>
      <c r="I45" s="10">
        <f t="shared" si="8"/>
        <v>18968</v>
      </c>
      <c r="J45" s="10">
        <f t="shared" si="6"/>
        <v>4238399190.5323811</v>
      </c>
      <c r="K45" s="11">
        <f t="shared" si="7"/>
        <v>1.9999999999975593E-4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11"/>
      <c r="H46" s="10"/>
      <c r="I46" s="10">
        <f t="shared" si="8"/>
        <v>18968</v>
      </c>
      <c r="J46" s="10">
        <f t="shared" si="6"/>
        <v>4237551680.1963425</v>
      </c>
      <c r="K46" s="11">
        <f t="shared" si="7"/>
        <v>-5.9000000000000163E-3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11"/>
      <c r="H47" s="10"/>
      <c r="I47" s="10">
        <f t="shared" si="8"/>
        <v>18968</v>
      </c>
      <c r="J47" s="10">
        <f t="shared" si="6"/>
        <v>4262701619.7528844</v>
      </c>
      <c r="K47" s="11">
        <f t="shared" si="7"/>
        <v>-1.0300000000000087E-2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11"/>
      <c r="H48" s="10"/>
      <c r="I48" s="10">
        <f t="shared" si="8"/>
        <v>18968</v>
      </c>
      <c r="J48" s="10">
        <f t="shared" si="6"/>
        <v>4307064382.8967209</v>
      </c>
      <c r="K48" s="11">
        <f t="shared" si="7"/>
        <v>-9.299999999999975E-3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11"/>
      <c r="H49" s="10"/>
      <c r="I49" s="10">
        <f t="shared" si="8"/>
        <v>18968</v>
      </c>
      <c r="J49" s="10">
        <f t="shared" si="6"/>
        <v>4347496096.5950546</v>
      </c>
      <c r="K49" s="11">
        <f t="shared" si="7"/>
        <v>-8.2999999999999741E-3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11"/>
      <c r="H50" s="10"/>
      <c r="I50" s="10">
        <f t="shared" si="8"/>
        <v>18968</v>
      </c>
      <c r="J50" s="10">
        <f t="shared" si="6"/>
        <v>4383882319.8498077</v>
      </c>
      <c r="K50" s="11">
        <f t="shared" si="7"/>
        <v>-7.3999999999999622E-3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11"/>
      <c r="H51" s="10"/>
      <c r="I51" s="10">
        <f t="shared" si="8"/>
        <v>18968</v>
      </c>
      <c r="J51" s="10">
        <f t="shared" si="6"/>
        <v>4416564900.1106262</v>
      </c>
      <c r="K51" s="11">
        <f t="shared" si="7"/>
        <v>-6.3999999999999613E-3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11"/>
      <c r="H52" s="10"/>
      <c r="I52" s="10">
        <f t="shared" si="8"/>
        <v>18968</v>
      </c>
      <c r="J52" s="10">
        <f t="shared" si="6"/>
        <v>4445012983.203126</v>
      </c>
      <c r="K52" s="11">
        <f t="shared" si="7"/>
        <v>-5.2999999999999714E-3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11"/>
      <c r="H53" s="10"/>
      <c r="I53" s="10">
        <f t="shared" si="8"/>
        <v>18968</v>
      </c>
      <c r="J53" s="10">
        <f t="shared" si="6"/>
        <v>4468697077.7150154</v>
      </c>
      <c r="K53" s="11">
        <f t="shared" si="7"/>
        <v>-4.0999999999999925E-3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11"/>
      <c r="H54" s="10"/>
      <c r="I54" s="10">
        <f t="shared" si="8"/>
        <v>18968</v>
      </c>
      <c r="J54" s="10">
        <f t="shared" si="6"/>
        <v>4487094163.78654</v>
      </c>
      <c r="K54" s="11">
        <f t="shared" si="7"/>
        <v>1.3900000000000023E-2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11"/>
      <c r="H55" s="10"/>
      <c r="I55" s="10">
        <f t="shared" si="8"/>
        <v>18968</v>
      </c>
      <c r="J55" s="10">
        <f t="shared" si="6"/>
        <v>4425578620.9552622</v>
      </c>
      <c r="K55" s="11">
        <f t="shared" si="7"/>
        <v>3.2399999999999984E-2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11"/>
      <c r="H56" s="10"/>
      <c r="I56" s="10">
        <f t="shared" si="8"/>
        <v>18968</v>
      </c>
      <c r="J56" s="10">
        <f t="shared" si="6"/>
        <v>4286689869.1933961</v>
      </c>
      <c r="K56" s="11">
        <f t="shared" si="7"/>
        <v>3.3600000000000074E-2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11"/>
      <c r="H57" s="10"/>
      <c r="I57" s="10">
        <f t="shared" si="8"/>
        <v>18968</v>
      </c>
      <c r="J57" s="10">
        <f t="shared" si="6"/>
        <v>4147339269.730453</v>
      </c>
      <c r="K57" s="11">
        <f t="shared" si="7"/>
        <v>3.4100000000000019E-2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11"/>
      <c r="H58" s="10"/>
      <c r="I58" s="10">
        <f t="shared" si="8"/>
        <v>18968</v>
      </c>
      <c r="J58" s="10">
        <f t="shared" si="6"/>
        <v>4010578541.4664469</v>
      </c>
      <c r="K58" s="11">
        <f t="shared" si="7"/>
        <v>3.4200000000000008E-2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11"/>
      <c r="H59" s="10"/>
      <c r="I59" s="10">
        <f t="shared" si="8"/>
        <v>18968</v>
      </c>
      <c r="J59" s="10">
        <f t="shared" si="6"/>
        <v>3877952563.7849998</v>
      </c>
      <c r="K59" s="11">
        <f t="shared" si="7"/>
        <v>3.4299999999999997E-2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11"/>
      <c r="H60" s="10"/>
      <c r="I60" s="10">
        <f t="shared" si="8"/>
        <v>18968</v>
      </c>
      <c r="J60" s="10">
        <f t="shared" si="6"/>
        <v>3749349863.4680457</v>
      </c>
      <c r="K60" s="11">
        <f t="shared" si="7"/>
        <v>3.4200000000000008E-2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11"/>
      <c r="H61" s="10"/>
      <c r="I61" s="10">
        <f t="shared" si="8"/>
        <v>18968</v>
      </c>
      <c r="J61" s="10">
        <f t="shared" si="6"/>
        <v>3625362467.0934501</v>
      </c>
      <c r="K61" s="11">
        <f t="shared" si="7"/>
        <v>3.4799999999999942E-2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11"/>
      <c r="H62" s="10"/>
      <c r="I62" s="10">
        <f t="shared" si="8"/>
        <v>18968</v>
      </c>
      <c r="J62" s="10">
        <f t="shared" si="6"/>
        <v>3503442662.4405198</v>
      </c>
      <c r="K62" s="11">
        <f t="shared" si="7"/>
        <v>3.960000000000008E-2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11"/>
      <c r="H63" s="10"/>
      <c r="I63" s="10">
        <f t="shared" si="8"/>
        <v>18968</v>
      </c>
      <c r="J63" s="10">
        <f t="shared" si="6"/>
        <v>3369991018.1228547</v>
      </c>
      <c r="K63" s="11">
        <f t="shared" si="7"/>
        <v>4.5199999999999907E-2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11"/>
      <c r="H64" s="10"/>
      <c r="I64" s="10">
        <f t="shared" si="8"/>
        <v>18968</v>
      </c>
      <c r="J64" s="10">
        <f t="shared" si="6"/>
        <v>3224254705.437098</v>
      </c>
      <c r="K64" s="11">
        <f t="shared" si="7"/>
        <v>4.0000000000000036E-2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11"/>
      <c r="H65" s="10"/>
      <c r="I65" s="10">
        <f t="shared" si="8"/>
        <v>18968</v>
      </c>
      <c r="J65" s="10">
        <f t="shared" si="6"/>
        <v>3100244909.0741329</v>
      </c>
      <c r="K65" s="11">
        <f t="shared" si="7"/>
        <v>3.3099999999999907E-2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11"/>
      <c r="H66" s="10"/>
      <c r="I66" s="10">
        <f t="shared" si="8"/>
        <v>18968</v>
      </c>
      <c r="J66" s="10">
        <f t="shared" ref="J66:J97" si="9">IF(I66="","",I66*C66)</f>
        <v>3000914634.6666665</v>
      </c>
      <c r="K66" s="11">
        <f t="shared" ref="K66:K97" si="10">IFERROR(J66/J67-1,"")</f>
        <v>2.733333333333321E-2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18968</v>
      </c>
      <c r="J67" s="10">
        <f t="shared" si="9"/>
        <v>2921072000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5">
        <v>6585930</v>
      </c>
      <c r="G2" s="11"/>
      <c r="H2" s="10"/>
      <c r="I2" s="10">
        <f>IF(H2&lt;&gt;"",H2,14603)</f>
        <v>14603</v>
      </c>
      <c r="J2" s="10">
        <f t="shared" ref="J2:J33" si="3">IF(I2="","",I2*C2)</f>
        <v>96173857502.393646</v>
      </c>
      <c r="K2" s="11">
        <f t="shared" ref="K2:K33" si="4">IFERROR(J2/J3-1,"")</f>
        <v>-4.0000000000006697E-4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11"/>
      <c r="H3" s="10"/>
      <c r="I3" s="10">
        <f t="shared" ref="I3:I34" si="5">IF(H3&lt;&gt;"",H3,I2/(1+IF(G2="",0,G2)))</f>
        <v>14603</v>
      </c>
      <c r="J3" s="10">
        <f t="shared" si="3"/>
        <v>96212342439.3694</v>
      </c>
      <c r="K3" s="11">
        <f t="shared" si="4"/>
        <v>9.0000000000012292E-4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11"/>
      <c r="H4" s="10"/>
      <c r="I4" s="10">
        <f t="shared" si="5"/>
        <v>14603</v>
      </c>
      <c r="J4" s="10">
        <f t="shared" si="3"/>
        <v>96125829193.095612</v>
      </c>
      <c r="K4" s="11">
        <f t="shared" si="4"/>
        <v>9.9999999999988987E-5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11"/>
      <c r="H5" s="10"/>
      <c r="I5" s="10">
        <f t="shared" si="5"/>
        <v>14603</v>
      </c>
      <c r="J5" s="10">
        <f t="shared" si="3"/>
        <v>96116217571.338486</v>
      </c>
      <c r="K5" s="11">
        <f t="shared" si="4"/>
        <v>2.2999999999999687E-3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11"/>
      <c r="H6" s="10"/>
      <c r="I6" s="10">
        <f t="shared" si="5"/>
        <v>14603</v>
      </c>
      <c r="J6" s="10">
        <f t="shared" si="3"/>
        <v>95895657558.952896</v>
      </c>
      <c r="K6" s="11">
        <f t="shared" si="4"/>
        <v>4.4999999999999485E-3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11"/>
      <c r="H7" s="10"/>
      <c r="I7" s="10">
        <f t="shared" si="5"/>
        <v>14603</v>
      </c>
      <c r="J7" s="10">
        <f t="shared" si="3"/>
        <v>95466060287.658447</v>
      </c>
      <c r="K7" s="11">
        <f t="shared" si="4"/>
        <v>3.7000000000000366E-3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11"/>
      <c r="H8" s="10"/>
      <c r="I8" s="10">
        <f t="shared" si="5"/>
        <v>14603</v>
      </c>
      <c r="J8" s="10">
        <f t="shared" si="3"/>
        <v>95114137977.143021</v>
      </c>
      <c r="K8" s="11">
        <f t="shared" si="4"/>
        <v>4.3000000000001926E-3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11"/>
      <c r="H9" s="10"/>
      <c r="I9" s="10">
        <f t="shared" si="5"/>
        <v>14603</v>
      </c>
      <c r="J9" s="10">
        <f t="shared" si="3"/>
        <v>94706898314.391129</v>
      </c>
      <c r="K9" s="11">
        <f t="shared" si="4"/>
        <v>6.4999999999999503E-3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11"/>
      <c r="H10" s="10"/>
      <c r="I10" s="10">
        <f t="shared" si="5"/>
        <v>14603</v>
      </c>
      <c r="J10" s="10">
        <f t="shared" si="3"/>
        <v>94095279000.885376</v>
      </c>
      <c r="K10" s="11">
        <f t="shared" si="4"/>
        <v>6.8999999999999062E-3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11"/>
      <c r="H11" s="10"/>
      <c r="I11" s="10">
        <f t="shared" si="5"/>
        <v>14603</v>
      </c>
      <c r="J11" s="10">
        <f t="shared" si="3"/>
        <v>93450470752.691818</v>
      </c>
      <c r="K11" s="11">
        <f t="shared" si="4"/>
        <v>5.5000000000000604E-3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11"/>
      <c r="H12" s="10"/>
      <c r="I12" s="10">
        <f t="shared" si="5"/>
        <v>14603</v>
      </c>
      <c r="J12" s="10">
        <f t="shared" si="3"/>
        <v>92939304577.515472</v>
      </c>
      <c r="K12" s="11">
        <f t="shared" si="4"/>
        <v>4.0000000000000036E-3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11"/>
      <c r="H13" s="10"/>
      <c r="I13" s="10">
        <f t="shared" si="5"/>
        <v>14603</v>
      </c>
      <c r="J13" s="10">
        <f t="shared" si="3"/>
        <v>92569028463.660828</v>
      </c>
      <c r="K13" s="11">
        <f t="shared" si="4"/>
        <v>6.6999999999999282E-3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11"/>
      <c r="H14" s="10"/>
      <c r="I14" s="10">
        <f t="shared" si="5"/>
        <v>14603</v>
      </c>
      <c r="J14" s="10">
        <f t="shared" si="3"/>
        <v>91952943740.598831</v>
      </c>
      <c r="K14" s="11">
        <f t="shared" si="4"/>
        <v>5.1000000000001044E-3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11"/>
      <c r="H15" s="10"/>
      <c r="I15" s="10">
        <f t="shared" si="5"/>
        <v>14603</v>
      </c>
      <c r="J15" s="10">
        <f t="shared" si="3"/>
        <v>91486363287.830887</v>
      </c>
      <c r="K15" s="11">
        <f t="shared" si="4"/>
        <v>4.3999999999999595E-3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11"/>
      <c r="H16" s="10"/>
      <c r="I16" s="10">
        <f t="shared" si="5"/>
        <v>14603</v>
      </c>
      <c r="J16" s="10">
        <f t="shared" si="3"/>
        <v>91085586706.323074</v>
      </c>
      <c r="K16" s="11">
        <f t="shared" si="4"/>
        <v>1.1000000000001009E-3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11"/>
      <c r="H17" s="10"/>
      <c r="I17" s="10">
        <f t="shared" si="5"/>
        <v>14603</v>
      </c>
      <c r="J17" s="10">
        <f t="shared" si="3"/>
        <v>90985502653.404327</v>
      </c>
      <c r="K17" s="11">
        <f t="shared" si="4"/>
        <v>2.1999999999999797E-3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11"/>
      <c r="H18" s="10"/>
      <c r="I18" s="10">
        <f t="shared" si="5"/>
        <v>14603</v>
      </c>
      <c r="J18" s="10">
        <f t="shared" si="3"/>
        <v>90785773950.712753</v>
      </c>
      <c r="K18" s="11">
        <f t="shared" si="4"/>
        <v>3.9999999999995595E-4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11"/>
      <c r="H19" s="10"/>
      <c r="I19" s="10">
        <f t="shared" si="5"/>
        <v>14603</v>
      </c>
      <c r="J19" s="10">
        <f t="shared" si="3"/>
        <v>90749474161.04834</v>
      </c>
      <c r="K19" s="11">
        <f t="shared" si="4"/>
        <v>1.6000000000000458E-3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11"/>
      <c r="H20" s="10"/>
      <c r="I20" s="10">
        <f t="shared" si="5"/>
        <v>14603</v>
      </c>
      <c r="J20" s="10">
        <f t="shared" si="3"/>
        <v>90604506949.928452</v>
      </c>
      <c r="K20" s="11">
        <f t="shared" si="4"/>
        <v>1.2000000000000899E-3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11"/>
      <c r="H21" s="10"/>
      <c r="I21" s="10">
        <f t="shared" si="5"/>
        <v>14603</v>
      </c>
      <c r="J21" s="10">
        <f t="shared" si="3"/>
        <v>90495911855.701599</v>
      </c>
      <c r="K21" s="11">
        <f t="shared" si="4"/>
        <v>9.9999999999988987E-4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11"/>
      <c r="H22" s="10"/>
      <c r="I22" s="10">
        <f t="shared" si="5"/>
        <v>14603</v>
      </c>
      <c r="J22" s="10">
        <f t="shared" si="3"/>
        <v>90405506349.352249</v>
      </c>
      <c r="K22" s="11">
        <f t="shared" si="4"/>
        <v>3.9999999999995595E-4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11"/>
      <c r="H23" s="10"/>
      <c r="I23" s="10">
        <f t="shared" si="5"/>
        <v>14603</v>
      </c>
      <c r="J23" s="10">
        <f t="shared" si="3"/>
        <v>90369358605.909882</v>
      </c>
      <c r="K23" s="11">
        <f t="shared" si="4"/>
        <v>1.3000000000000789E-3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11"/>
      <c r="H24" s="10"/>
      <c r="I24" s="10">
        <f t="shared" si="5"/>
        <v>14603</v>
      </c>
      <c r="J24" s="10">
        <f t="shared" si="3"/>
        <v>90252030965.654526</v>
      </c>
      <c r="K24" s="11">
        <f t="shared" si="4"/>
        <v>2.0999999999999908E-3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11"/>
      <c r="H25" s="10"/>
      <c r="I25" s="10">
        <f t="shared" si="5"/>
        <v>14603</v>
      </c>
      <c r="J25" s="10">
        <f t="shared" si="3"/>
        <v>90062898878.010696</v>
      </c>
      <c r="K25" s="11">
        <f t="shared" si="4"/>
        <v>1.6000000000002679E-3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11"/>
      <c r="H26" s="10"/>
      <c r="I26" s="10">
        <f t="shared" si="5"/>
        <v>14603</v>
      </c>
      <c r="J26" s="10">
        <f t="shared" si="3"/>
        <v>89919028432.518646</v>
      </c>
      <c r="K26" s="11">
        <f t="shared" si="4"/>
        <v>4.0000000000000036E-3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11"/>
      <c r="H27" s="10"/>
      <c r="I27" s="10">
        <f t="shared" si="5"/>
        <v>14603</v>
      </c>
      <c r="J27" s="10">
        <f t="shared" si="3"/>
        <v>89560785291.353241</v>
      </c>
      <c r="K27" s="11">
        <f t="shared" si="4"/>
        <v>2.1999999999999797E-3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11"/>
      <c r="H28" s="10"/>
      <c r="I28" s="10">
        <f t="shared" si="5"/>
        <v>14603</v>
      </c>
      <c r="J28" s="10">
        <f t="shared" si="3"/>
        <v>89364184086.363251</v>
      </c>
      <c r="K28" s="11">
        <f t="shared" si="4"/>
        <v>4.8999999999999044E-3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11"/>
      <c r="H29" s="10"/>
      <c r="I29" s="10">
        <f t="shared" si="5"/>
        <v>14603</v>
      </c>
      <c r="J29" s="10">
        <f t="shared" si="3"/>
        <v>88928434756.058578</v>
      </c>
      <c r="K29" s="11">
        <f t="shared" si="4"/>
        <v>6.5999999999999392E-3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11"/>
      <c r="H30" s="10"/>
      <c r="I30" s="10">
        <f t="shared" si="5"/>
        <v>14603</v>
      </c>
      <c r="J30" s="10">
        <f t="shared" si="3"/>
        <v>88345355410.350266</v>
      </c>
      <c r="K30" s="11">
        <f t="shared" si="4"/>
        <v>4.1999999999997595E-3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11"/>
      <c r="H31" s="10"/>
      <c r="I31" s="10">
        <f t="shared" si="5"/>
        <v>14603</v>
      </c>
      <c r="J31" s="10">
        <f t="shared" si="3"/>
        <v>87975856811.740967</v>
      </c>
      <c r="K31" s="11">
        <f t="shared" si="4"/>
        <v>2.6999999999999247E-3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11"/>
      <c r="H32" s="10"/>
      <c r="I32" s="10">
        <f t="shared" si="5"/>
        <v>14603</v>
      </c>
      <c r="J32" s="10">
        <f t="shared" si="3"/>
        <v>87738961615.37944</v>
      </c>
      <c r="K32" s="11">
        <f t="shared" si="4"/>
        <v>9.9999999999988987E-4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11"/>
      <c r="H33" s="10"/>
      <c r="I33" s="10">
        <f t="shared" si="5"/>
        <v>14603</v>
      </c>
      <c r="J33" s="10">
        <f t="shared" si="3"/>
        <v>87651310305.074371</v>
      </c>
      <c r="K33" s="11">
        <f t="shared" si="4"/>
        <v>-9.0000000000012292E-4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11"/>
      <c r="H34" s="10"/>
      <c r="I34" s="10">
        <f t="shared" si="5"/>
        <v>14603</v>
      </c>
      <c r="J34" s="10">
        <f t="shared" ref="J34:J65" si="6">IF(I34="","",I34*C34)</f>
        <v>87730267545.865662</v>
      </c>
      <c r="K34" s="11">
        <f t="shared" ref="K34:K65" si="7">IFERROR(J34/J35-1,"")</f>
        <v>-3.9999999999995595E-4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11"/>
      <c r="H35" s="10"/>
      <c r="I35" s="10">
        <f t="shared" ref="I35:I66" si="8">IF(H35&lt;&gt;"",H35,I34/(1+IF(G34="",0,G34)))</f>
        <v>14603</v>
      </c>
      <c r="J35" s="10">
        <f t="shared" si="6"/>
        <v>87765373695.343796</v>
      </c>
      <c r="K35" s="11">
        <f t="shared" si="7"/>
        <v>-3.2999999999999696E-3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11"/>
      <c r="H36" s="10"/>
      <c r="I36" s="10">
        <f t="shared" si="8"/>
        <v>14603</v>
      </c>
      <c r="J36" s="10">
        <f t="shared" si="6"/>
        <v>88055958357.924942</v>
      </c>
      <c r="K36" s="11">
        <f t="shared" si="7"/>
        <v>-8.0000000000002292E-4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11"/>
      <c r="H37" s="10"/>
      <c r="I37" s="10">
        <f t="shared" si="8"/>
        <v>14603</v>
      </c>
      <c r="J37" s="10">
        <f t="shared" si="6"/>
        <v>88126459525.54538</v>
      </c>
      <c r="K37" s="11">
        <f t="shared" si="7"/>
        <v>1.9999999999997797E-3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11"/>
      <c r="H38" s="10"/>
      <c r="I38" s="10">
        <f t="shared" si="8"/>
        <v>14603</v>
      </c>
      <c r="J38" s="10">
        <f t="shared" si="6"/>
        <v>87950558408.727936</v>
      </c>
      <c r="K38" s="11">
        <f t="shared" si="7"/>
        <v>2.0999999999999908E-3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11"/>
      <c r="H39" s="10"/>
      <c r="I39" s="10">
        <f t="shared" si="8"/>
        <v>14603</v>
      </c>
      <c r="J39" s="10">
        <f t="shared" si="6"/>
        <v>87766249285.228958</v>
      </c>
      <c r="K39" s="11">
        <f t="shared" si="7"/>
        <v>1.3000000000000789E-3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11"/>
      <c r="H40" s="10"/>
      <c r="I40" s="10">
        <f t="shared" si="8"/>
        <v>14603</v>
      </c>
      <c r="J40" s="10">
        <f t="shared" si="6"/>
        <v>87652301293.547333</v>
      </c>
      <c r="K40" s="11">
        <f t="shared" si="7"/>
        <v>4.9999999999994493E-4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11"/>
      <c r="H41" s="10"/>
      <c r="I41" s="10">
        <f t="shared" si="8"/>
        <v>14603</v>
      </c>
      <c r="J41" s="10">
        <f t="shared" si="6"/>
        <v>87608497045.024826</v>
      </c>
      <c r="K41" s="11">
        <f t="shared" si="7"/>
        <v>1.4000000000000679E-3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11"/>
      <c r="H42" s="10"/>
      <c r="I42" s="10">
        <f t="shared" si="8"/>
        <v>14603</v>
      </c>
      <c r="J42" s="10">
        <f t="shared" si="6"/>
        <v>87486016621.754364</v>
      </c>
      <c r="K42" s="11">
        <f t="shared" si="7"/>
        <v>3.7000000000000366E-3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11"/>
      <c r="H43" s="10"/>
      <c r="I43" s="10">
        <f t="shared" si="8"/>
        <v>14603</v>
      </c>
      <c r="J43" s="10">
        <f t="shared" si="6"/>
        <v>87163511628.728073</v>
      </c>
      <c r="K43" s="11">
        <f t="shared" si="7"/>
        <v>4.5000000000001705E-3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11"/>
      <c r="H44" s="10"/>
      <c r="I44" s="10">
        <f t="shared" si="8"/>
        <v>14603</v>
      </c>
      <c r="J44" s="10">
        <f t="shared" si="6"/>
        <v>86773032980.316635</v>
      </c>
      <c r="K44" s="11">
        <f t="shared" si="7"/>
        <v>6.3999999999997392E-3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11"/>
      <c r="H45" s="10"/>
      <c r="I45" s="10">
        <f t="shared" si="8"/>
        <v>14603</v>
      </c>
      <c r="J45" s="10">
        <f t="shared" si="6"/>
        <v>86221217190.298737</v>
      </c>
      <c r="K45" s="11">
        <f t="shared" si="7"/>
        <v>5.4000000000000714E-3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11"/>
      <c r="H46" s="10"/>
      <c r="I46" s="10">
        <f t="shared" si="8"/>
        <v>14603</v>
      </c>
      <c r="J46" s="10">
        <f t="shared" si="6"/>
        <v>85758123324.34726</v>
      </c>
      <c r="K46" s="11">
        <f t="shared" si="7"/>
        <v>2.9999999999998916E-3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11"/>
      <c r="H47" s="10"/>
      <c r="I47" s="10">
        <f t="shared" si="8"/>
        <v>14603</v>
      </c>
      <c r="J47" s="10">
        <f t="shared" si="6"/>
        <v>85501618468.940445</v>
      </c>
      <c r="K47" s="11">
        <f t="shared" si="7"/>
        <v>3.0000000000001137E-3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11"/>
      <c r="H48" s="10"/>
      <c r="I48" s="10">
        <f t="shared" si="8"/>
        <v>14603</v>
      </c>
      <c r="J48" s="10">
        <f t="shared" si="6"/>
        <v>85245880826.46106</v>
      </c>
      <c r="K48" s="11">
        <f t="shared" si="7"/>
        <v>2.9999999999998916E-3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11"/>
      <c r="H49" s="10"/>
      <c r="I49" s="10">
        <f t="shared" si="8"/>
        <v>14603</v>
      </c>
      <c r="J49" s="10">
        <f t="shared" si="6"/>
        <v>84990908102.154602</v>
      </c>
      <c r="K49" s="11">
        <f t="shared" si="7"/>
        <v>3.9999999999997815E-3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11"/>
      <c r="H50" s="10"/>
      <c r="I50" s="10">
        <f t="shared" si="8"/>
        <v>14603</v>
      </c>
      <c r="J50" s="10">
        <f t="shared" si="6"/>
        <v>84652298906.528503</v>
      </c>
      <c r="K50" s="11">
        <f t="shared" si="7"/>
        <v>4.0000000000002256E-3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11"/>
      <c r="H51" s="10"/>
      <c r="I51" s="10">
        <f t="shared" si="8"/>
        <v>14603</v>
      </c>
      <c r="J51" s="10">
        <f t="shared" si="6"/>
        <v>84315038751.5224</v>
      </c>
      <c r="K51" s="11">
        <f t="shared" si="7"/>
        <v>3.9999999999997815E-3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11"/>
      <c r="H52" s="10"/>
      <c r="I52" s="10">
        <f t="shared" si="8"/>
        <v>14603</v>
      </c>
      <c r="J52" s="10">
        <f t="shared" si="6"/>
        <v>83979122262.472519</v>
      </c>
      <c r="K52" s="11">
        <f t="shared" si="7"/>
        <v>4.0000000000000036E-3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11"/>
      <c r="H53" s="10"/>
      <c r="I53" s="10">
        <f t="shared" si="8"/>
        <v>14603</v>
      </c>
      <c r="J53" s="10">
        <f t="shared" si="6"/>
        <v>83644544086.128006</v>
      </c>
      <c r="K53" s="11">
        <f t="shared" si="7"/>
        <v>4.0000000000000036E-3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11"/>
      <c r="H54" s="10"/>
      <c r="I54" s="10">
        <f t="shared" si="8"/>
        <v>14603</v>
      </c>
      <c r="J54" s="10">
        <f t="shared" si="6"/>
        <v>83311298890.565735</v>
      </c>
      <c r="K54" s="11">
        <f t="shared" si="7"/>
        <v>3.4999999999998366E-3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11"/>
      <c r="H55" s="10"/>
      <c r="I55" s="10">
        <f t="shared" si="8"/>
        <v>14603</v>
      </c>
      <c r="J55" s="10">
        <f t="shared" si="6"/>
        <v>83020726348.346527</v>
      </c>
      <c r="K55" s="11">
        <f t="shared" si="7"/>
        <v>2.9999999999998916E-3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11"/>
      <c r="H56" s="10"/>
      <c r="I56" s="10">
        <f t="shared" si="8"/>
        <v>14603</v>
      </c>
      <c r="J56" s="10">
        <f t="shared" si="6"/>
        <v>82772409120.983582</v>
      </c>
      <c r="K56" s="11">
        <f t="shared" si="7"/>
        <v>1.9999999999997797E-3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11"/>
      <c r="H57" s="10"/>
      <c r="I57" s="10">
        <f t="shared" si="8"/>
        <v>14603</v>
      </c>
      <c r="J57" s="10">
        <f t="shared" si="6"/>
        <v>82607194731.520554</v>
      </c>
      <c r="K57" s="11">
        <f t="shared" si="7"/>
        <v>1.0000000000001119E-3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11"/>
      <c r="H58" s="10"/>
      <c r="I58" s="10">
        <f t="shared" si="8"/>
        <v>14603</v>
      </c>
      <c r="J58" s="10">
        <f t="shared" si="6"/>
        <v>82524670061.459091</v>
      </c>
      <c r="K58" s="11">
        <f t="shared" si="7"/>
        <v>9.9999999999988987E-4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11"/>
      <c r="H59" s="10"/>
      <c r="I59" s="10">
        <f t="shared" si="8"/>
        <v>14603</v>
      </c>
      <c r="J59" s="10">
        <f t="shared" si="6"/>
        <v>82442227833.625473</v>
      </c>
      <c r="K59" s="11">
        <f t="shared" si="7"/>
        <v>1.5000000000000568E-3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11"/>
      <c r="H60" s="10"/>
      <c r="I60" s="10">
        <f t="shared" si="8"/>
        <v>14603</v>
      </c>
      <c r="J60" s="10">
        <f t="shared" si="6"/>
        <v>82318749709.061874</v>
      </c>
      <c r="K60" s="11">
        <f t="shared" si="7"/>
        <v>1.8000000000000238E-3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11"/>
      <c r="H61" s="10"/>
      <c r="I61" s="10">
        <f t="shared" si="8"/>
        <v>14603</v>
      </c>
      <c r="J61" s="10">
        <f t="shared" si="6"/>
        <v>82170842193.114273</v>
      </c>
      <c r="K61" s="11">
        <f t="shared" si="7"/>
        <v>2.0000000000002238E-3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11"/>
      <c r="H62" s="10"/>
      <c r="I62" s="10">
        <f t="shared" si="8"/>
        <v>14603</v>
      </c>
      <c r="J62" s="10">
        <f t="shared" si="6"/>
        <v>82006828536.042175</v>
      </c>
      <c r="K62" s="11">
        <f t="shared" si="7"/>
        <v>2.0000000000000018E-3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11"/>
      <c r="H63" s="10"/>
      <c r="I63" s="10">
        <f t="shared" si="8"/>
        <v>14603</v>
      </c>
      <c r="J63" s="10">
        <f t="shared" si="6"/>
        <v>81843142251.539093</v>
      </c>
      <c r="K63" s="11">
        <f t="shared" si="7"/>
        <v>2.0000000000002238E-3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11"/>
      <c r="H64" s="10"/>
      <c r="I64" s="10">
        <f t="shared" si="8"/>
        <v>14603</v>
      </c>
      <c r="J64" s="10">
        <f t="shared" si="6"/>
        <v>81679782686.166748</v>
      </c>
      <c r="K64" s="11">
        <f t="shared" si="7"/>
        <v>2.0000000000000018E-3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11"/>
      <c r="H65" s="10"/>
      <c r="I65" s="10">
        <f t="shared" si="8"/>
        <v>14603</v>
      </c>
      <c r="J65" s="10">
        <f t="shared" si="6"/>
        <v>81516749187.791168</v>
      </c>
      <c r="K65" s="11">
        <f t="shared" si="7"/>
        <v>2.0000000000000018E-3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5"/>
      <c r="G66" s="11"/>
      <c r="H66" s="10"/>
      <c r="I66" s="10">
        <f t="shared" si="8"/>
        <v>14603</v>
      </c>
      <c r="J66" s="10">
        <f t="shared" ref="J66:J97" si="9">IF(I66="","",I66*C66)</f>
        <v>81354041105.580002</v>
      </c>
      <c r="K66" s="11">
        <f t="shared" ref="K66:K97" si="10">IFERROR(J66/J67-1,"")</f>
        <v>2.0000000000000018E-3</v>
      </c>
    </row>
    <row r="67" spans="1:11" ht="22.5" customHeight="1">
      <c r="A67" s="3">
        <f t="shared" si="0"/>
        <v>1950</v>
      </c>
      <c r="B67" s="3">
        <v>1700</v>
      </c>
      <c r="C67" s="15">
        <v>5559930</v>
      </c>
      <c r="D67" s="11">
        <v>1.5E-3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14603</v>
      </c>
      <c r="J67" s="10">
        <f t="shared" si="9"/>
        <v>81191657790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5">
        <v>579087437</v>
      </c>
      <c r="G2" s="11"/>
      <c r="H2" s="10"/>
      <c r="I2" s="10">
        <f>IF(H2&lt;&gt;"",H2,7937)</f>
        <v>7937</v>
      </c>
      <c r="J2" s="10">
        <f t="shared" ref="J2:J33" si="3">IF(I2="","",I2*C2)</f>
        <v>4596139701022.2246</v>
      </c>
      <c r="K2" s="11">
        <f t="shared" ref="K2:K33" si="4">IFERROR(J2/J3-1,"")</f>
        <v>2.5999999999997137E-3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11"/>
      <c r="H3" s="10"/>
      <c r="I3" s="10">
        <f t="shared" ref="I3:I34" si="5">IF(H3&lt;&gt;"",H3,I2/(1+IF(G2="",0,G2)))</f>
        <v>7937</v>
      </c>
      <c r="J3" s="10">
        <f t="shared" si="3"/>
        <v>4584220727131.6836</v>
      </c>
      <c r="K3" s="11">
        <f t="shared" si="4"/>
        <v>2.7999999999999137E-3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11"/>
      <c r="H4" s="10"/>
      <c r="I4" s="10">
        <f t="shared" si="5"/>
        <v>7937</v>
      </c>
      <c r="J4" s="10">
        <f t="shared" si="3"/>
        <v>4571420749034.3877</v>
      </c>
      <c r="K4" s="11">
        <f t="shared" si="4"/>
        <v>1.6000000000000458E-3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11"/>
      <c r="H5" s="10"/>
      <c r="I5" s="10">
        <f t="shared" si="5"/>
        <v>7937</v>
      </c>
      <c r="J5" s="10">
        <f t="shared" si="3"/>
        <v>4564118159978.4219</v>
      </c>
      <c r="K5" s="11">
        <f t="shared" si="4"/>
        <v>6.9999999999992291E-4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11"/>
      <c r="H6" s="10"/>
      <c r="I6" s="10">
        <f t="shared" si="5"/>
        <v>7937</v>
      </c>
      <c r="J6" s="10">
        <f t="shared" si="3"/>
        <v>4560925512119.9385</v>
      </c>
      <c r="K6" s="11">
        <f t="shared" si="4"/>
        <v>2.1999999999999797E-3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11"/>
      <c r="H7" s="10"/>
      <c r="I7" s="10">
        <f t="shared" si="5"/>
        <v>7937</v>
      </c>
      <c r="J7" s="10">
        <f t="shared" si="3"/>
        <v>4550913502414.626</v>
      </c>
      <c r="K7" s="11">
        <f t="shared" si="4"/>
        <v>3.5000000000000586E-3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11"/>
      <c r="H8" s="10"/>
      <c r="I8" s="10">
        <f t="shared" si="5"/>
        <v>7937</v>
      </c>
      <c r="J8" s="10">
        <f t="shared" si="3"/>
        <v>4535040859406.7021</v>
      </c>
      <c r="K8" s="11">
        <f t="shared" si="4"/>
        <v>3.5000000000002807E-3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11"/>
      <c r="H9" s="10"/>
      <c r="I9" s="10">
        <f t="shared" si="5"/>
        <v>7937</v>
      </c>
      <c r="J9" s="10">
        <f t="shared" si="3"/>
        <v>4519223576887.5947</v>
      </c>
      <c r="K9" s="11">
        <f t="shared" si="4"/>
        <v>9.5000000000000639E-3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11"/>
      <c r="H10" s="10"/>
      <c r="I10" s="10">
        <f t="shared" si="5"/>
        <v>7937</v>
      </c>
      <c r="J10" s="10">
        <f t="shared" si="3"/>
        <v>4476694974628.6221</v>
      </c>
      <c r="K10" s="11">
        <f t="shared" si="4"/>
        <v>5.4000000000000714E-3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11"/>
      <c r="H11" s="10"/>
      <c r="I11" s="10">
        <f t="shared" si="5"/>
        <v>7937</v>
      </c>
      <c r="J11" s="10">
        <f t="shared" si="3"/>
        <v>4452650661058.9033</v>
      </c>
      <c r="K11" s="11">
        <f t="shared" si="4"/>
        <v>6.8999999999999062E-3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11"/>
      <c r="H12" s="10"/>
      <c r="I12" s="10">
        <f t="shared" si="5"/>
        <v>7937</v>
      </c>
      <c r="J12" s="10">
        <f t="shared" si="3"/>
        <v>4422137909483.4678</v>
      </c>
      <c r="K12" s="11">
        <f t="shared" si="4"/>
        <v>6.8999999999999062E-3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11"/>
      <c r="H13" s="10"/>
      <c r="I13" s="10">
        <f t="shared" si="5"/>
        <v>7937</v>
      </c>
      <c r="J13" s="10">
        <f t="shared" si="3"/>
        <v>4391834253136.8237</v>
      </c>
      <c r="K13" s="11">
        <f t="shared" si="4"/>
        <v>7.2000000000000952E-3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11"/>
      <c r="H14" s="10"/>
      <c r="I14" s="10">
        <f t="shared" si="5"/>
        <v>7937</v>
      </c>
      <c r="J14" s="10">
        <f t="shared" si="3"/>
        <v>4360439091676.7505</v>
      </c>
      <c r="K14" s="11">
        <f t="shared" si="4"/>
        <v>7.6000000000000512E-3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11"/>
      <c r="H15" s="10"/>
      <c r="I15" s="10">
        <f t="shared" si="5"/>
        <v>7937</v>
      </c>
      <c r="J15" s="10">
        <f t="shared" si="3"/>
        <v>4327549713851.479</v>
      </c>
      <c r="K15" s="11">
        <f t="shared" si="4"/>
        <v>8.0000000000000071E-3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11"/>
      <c r="H16" s="10"/>
      <c r="I16" s="10">
        <f t="shared" si="5"/>
        <v>7937</v>
      </c>
      <c r="J16" s="10">
        <f t="shared" si="3"/>
        <v>4293204081201.8638</v>
      </c>
      <c r="K16" s="11">
        <f t="shared" si="4"/>
        <v>8.499999999999952E-3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11"/>
      <c r="H17" s="10"/>
      <c r="I17" s="10">
        <f t="shared" si="5"/>
        <v>7937</v>
      </c>
      <c r="J17" s="10">
        <f t="shared" si="3"/>
        <v>4257019416164.4663</v>
      </c>
      <c r="K17" s="11">
        <f t="shared" si="4"/>
        <v>8.899999999999908E-3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11"/>
      <c r="H18" s="10"/>
      <c r="I18" s="10">
        <f t="shared" si="5"/>
        <v>7937</v>
      </c>
      <c r="J18" s="10">
        <f t="shared" si="3"/>
        <v>4219466167275.7129</v>
      </c>
      <c r="K18" s="11">
        <f t="shared" si="4"/>
        <v>9.100000000000108E-3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11"/>
      <c r="H19" s="10"/>
      <c r="I19" s="10">
        <f t="shared" si="5"/>
        <v>7937</v>
      </c>
      <c r="J19" s="10">
        <f t="shared" si="3"/>
        <v>4181415288153.5156</v>
      </c>
      <c r="K19" s="11">
        <f t="shared" si="4"/>
        <v>8.999999999999897E-3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11"/>
      <c r="H20" s="10"/>
      <c r="I20" s="10">
        <f t="shared" si="5"/>
        <v>7937</v>
      </c>
      <c r="J20" s="10">
        <f t="shared" si="3"/>
        <v>4144118224136.2896</v>
      </c>
      <c r="K20" s="11">
        <f t="shared" si="4"/>
        <v>8.69999999999993E-3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11"/>
      <c r="H21" s="10"/>
      <c r="I21" s="10">
        <f t="shared" si="5"/>
        <v>7937</v>
      </c>
      <c r="J21" s="10">
        <f t="shared" si="3"/>
        <v>4108375358517.1904</v>
      </c>
      <c r="K21" s="11">
        <f t="shared" si="4"/>
        <v>8.2999999999999741E-3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11"/>
      <c r="H22" s="10"/>
      <c r="I22" s="10">
        <f t="shared" si="5"/>
        <v>7937</v>
      </c>
      <c r="J22" s="10">
        <f t="shared" si="3"/>
        <v>4074556539241.4858</v>
      </c>
      <c r="K22" s="11">
        <f t="shared" si="4"/>
        <v>7.9000000000000181E-3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11"/>
      <c r="H23" s="10"/>
      <c r="I23" s="10">
        <f t="shared" si="5"/>
        <v>7937</v>
      </c>
      <c r="J23" s="10">
        <f t="shared" si="3"/>
        <v>4042619842485.8477</v>
      </c>
      <c r="K23" s="11">
        <f t="shared" si="4"/>
        <v>7.7000000000000401E-3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11"/>
      <c r="H24" s="10"/>
      <c r="I24" s="10">
        <f t="shared" si="5"/>
        <v>7937</v>
      </c>
      <c r="J24" s="10">
        <f t="shared" si="3"/>
        <v>4011729525142.2524</v>
      </c>
      <c r="K24" s="11">
        <f t="shared" si="4"/>
        <v>7.8000000000000291E-3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11"/>
      <c r="H25" s="10"/>
      <c r="I25" s="10">
        <f t="shared" si="5"/>
        <v>7937</v>
      </c>
      <c r="J25" s="10">
        <f t="shared" si="3"/>
        <v>3980680219430.6929</v>
      </c>
      <c r="K25" s="11">
        <f t="shared" si="4"/>
        <v>8.0999999999999961E-3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11"/>
      <c r="H26" s="10"/>
      <c r="I26" s="10">
        <f t="shared" si="5"/>
        <v>7937</v>
      </c>
      <c r="J26" s="10">
        <f t="shared" si="3"/>
        <v>3948695783583.665</v>
      </c>
      <c r="K26" s="11">
        <f t="shared" si="4"/>
        <v>8.499999999999952E-3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11"/>
      <c r="H27" s="10"/>
      <c r="I27" s="10">
        <f t="shared" si="5"/>
        <v>7937</v>
      </c>
      <c r="J27" s="10">
        <f t="shared" si="3"/>
        <v>3915414758139.48</v>
      </c>
      <c r="K27" s="11">
        <f t="shared" si="4"/>
        <v>8.899999999999908E-3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11"/>
      <c r="H28" s="10"/>
      <c r="I28" s="10">
        <f t="shared" si="5"/>
        <v>7937</v>
      </c>
      <c r="J28" s="10">
        <f t="shared" si="3"/>
        <v>3880874970898.4839</v>
      </c>
      <c r="K28" s="11">
        <f t="shared" si="4"/>
        <v>9.300000000000086E-3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11"/>
      <c r="H29" s="10"/>
      <c r="I29" s="10">
        <f t="shared" si="5"/>
        <v>7937</v>
      </c>
      <c r="J29" s="10">
        <f t="shared" si="3"/>
        <v>3845115397699.8745</v>
      </c>
      <c r="K29" s="11">
        <f t="shared" si="4"/>
        <v>9.7000000000000419E-3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11"/>
      <c r="H30" s="10"/>
      <c r="I30" s="10">
        <f t="shared" si="5"/>
        <v>7937</v>
      </c>
      <c r="J30" s="10">
        <f t="shared" si="3"/>
        <v>3808176089630.459</v>
      </c>
      <c r="K30" s="11">
        <f t="shared" si="4"/>
        <v>1.0199999999999987E-2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11"/>
      <c r="H31" s="10"/>
      <c r="I31" s="10">
        <f t="shared" si="5"/>
        <v>7937</v>
      </c>
      <c r="J31" s="10">
        <f t="shared" si="3"/>
        <v>3769724895694.3765</v>
      </c>
      <c r="K31" s="11">
        <f t="shared" si="4"/>
        <v>1.0699999999999932E-2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11"/>
      <c r="H32" s="10"/>
      <c r="I32" s="10">
        <f t="shared" si="5"/>
        <v>7937</v>
      </c>
      <c r="J32" s="10">
        <f t="shared" si="3"/>
        <v>3729815865928.937</v>
      </c>
      <c r="K32" s="11">
        <f t="shared" si="4"/>
        <v>1.1300000000000088E-2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11"/>
      <c r="H33" s="10"/>
      <c r="I33" s="10">
        <f t="shared" si="5"/>
        <v>7937</v>
      </c>
      <c r="J33" s="10">
        <f t="shared" si="3"/>
        <v>3688139885225.8843</v>
      </c>
      <c r="K33" s="11">
        <f t="shared" si="4"/>
        <v>1.1800000000000033E-2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11"/>
      <c r="H34" s="10"/>
      <c r="I34" s="10">
        <f t="shared" si="5"/>
        <v>7937</v>
      </c>
      <c r="J34" s="10">
        <f t="shared" ref="J34:J65" si="6">IF(I34="","",I34*C34)</f>
        <v>3645127382116.9048</v>
      </c>
      <c r="K34" s="11">
        <f t="shared" ref="K34:K65" si="7">IFERROR(J34/J35-1,"")</f>
        <v>1.2299999999999978E-2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11"/>
      <c r="H35" s="10"/>
      <c r="I35" s="10">
        <f t="shared" ref="I35:I66" si="8">IF(H35&lt;&gt;"",H35,I34/(1+IF(G34="",0,G34)))</f>
        <v>7937</v>
      </c>
      <c r="J35" s="10">
        <f t="shared" si="6"/>
        <v>3600837085959.6016</v>
      </c>
      <c r="K35" s="11">
        <f t="shared" si="7"/>
        <v>1.2699999999999934E-2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11"/>
      <c r="H36" s="10"/>
      <c r="I36" s="10">
        <f t="shared" si="8"/>
        <v>7937</v>
      </c>
      <c r="J36" s="10">
        <f t="shared" si="6"/>
        <v>3555679950587.145</v>
      </c>
      <c r="K36" s="11">
        <f t="shared" si="7"/>
        <v>1.3100000000000112E-2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11"/>
      <c r="H37" s="10"/>
      <c r="I37" s="10">
        <f t="shared" si="8"/>
        <v>7937</v>
      </c>
      <c r="J37" s="10">
        <f t="shared" si="6"/>
        <v>3509702843339.3984</v>
      </c>
      <c r="K37" s="11">
        <f t="shared" si="7"/>
        <v>1.3600000000000056E-2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11"/>
      <c r="H38" s="10"/>
      <c r="I38" s="10">
        <f t="shared" si="8"/>
        <v>7937</v>
      </c>
      <c r="J38" s="10">
        <f t="shared" si="6"/>
        <v>3462611329261.4429</v>
      </c>
      <c r="K38" s="11">
        <f t="shared" si="7"/>
        <v>1.4100000000000001E-2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11"/>
      <c r="H39" s="10"/>
      <c r="I39" s="10">
        <f t="shared" si="8"/>
        <v>7937</v>
      </c>
      <c r="J39" s="10">
        <f t="shared" si="6"/>
        <v>3414467339770.6763</v>
      </c>
      <c r="K39" s="11">
        <f t="shared" si="7"/>
        <v>1.4599999999999946E-2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11"/>
      <c r="H40" s="10"/>
      <c r="I40" s="10">
        <f t="shared" si="8"/>
        <v>7937</v>
      </c>
      <c r="J40" s="10">
        <f t="shared" si="6"/>
        <v>3365333471092.7227</v>
      </c>
      <c r="K40" s="11">
        <f t="shared" si="7"/>
        <v>1.5300000000000091E-2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11"/>
      <c r="H41" s="10"/>
      <c r="I41" s="10">
        <f t="shared" si="8"/>
        <v>7937</v>
      </c>
      <c r="J41" s="10">
        <f t="shared" si="6"/>
        <v>3314619788331.2544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11"/>
      <c r="H42" s="10"/>
      <c r="I42" s="10">
        <f t="shared" si="8"/>
        <v>7937</v>
      </c>
      <c r="J42" s="10">
        <f t="shared" si="6"/>
        <v>3262742187549.2217</v>
      </c>
      <c r="K42" s="11">
        <f t="shared" si="7"/>
        <v>1.6599999999999948E-2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11"/>
      <c r="H43" s="10"/>
      <c r="I43" s="10">
        <f t="shared" si="8"/>
        <v>7937</v>
      </c>
      <c r="J43" s="10">
        <f t="shared" si="6"/>
        <v>3209465067429.8857</v>
      </c>
      <c r="K43" s="11">
        <f t="shared" si="7"/>
        <v>1.7200000000000104E-2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11"/>
      <c r="H44" s="10"/>
      <c r="I44" s="10">
        <f t="shared" si="8"/>
        <v>7937</v>
      </c>
      <c r="J44" s="10">
        <f t="shared" si="6"/>
        <v>3155195701366.3838</v>
      </c>
      <c r="K44" s="11">
        <f t="shared" si="7"/>
        <v>1.7800000000000038E-2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11"/>
      <c r="H45" s="10"/>
      <c r="I45" s="10">
        <f t="shared" si="8"/>
        <v>7937</v>
      </c>
      <c r="J45" s="10">
        <f t="shared" si="6"/>
        <v>3100015426769.8799</v>
      </c>
      <c r="K45" s="11">
        <f t="shared" si="7"/>
        <v>1.8299999999999983E-2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11"/>
      <c r="H46" s="10"/>
      <c r="I46" s="10">
        <f t="shared" si="8"/>
        <v>7937</v>
      </c>
      <c r="J46" s="10">
        <f t="shared" si="6"/>
        <v>3044304651644.7803</v>
      </c>
      <c r="K46" s="11">
        <f t="shared" si="7"/>
        <v>1.8799999999999706E-2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11"/>
      <c r="H47" s="10"/>
      <c r="I47" s="10">
        <f t="shared" si="8"/>
        <v>7937</v>
      </c>
      <c r="J47" s="10">
        <f t="shared" si="6"/>
        <v>2988127848100.4917</v>
      </c>
      <c r="K47" s="11">
        <f t="shared" si="7"/>
        <v>1.9300000000000095E-2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11"/>
      <c r="H48" s="10"/>
      <c r="I48" s="10">
        <f t="shared" si="8"/>
        <v>7937</v>
      </c>
      <c r="J48" s="10">
        <f t="shared" si="6"/>
        <v>2931548953301.7676</v>
      </c>
      <c r="K48" s="11">
        <f t="shared" si="7"/>
        <v>1.980000000000004E-2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11"/>
      <c r="H49" s="10"/>
      <c r="I49" s="10">
        <f t="shared" si="8"/>
        <v>7937</v>
      </c>
      <c r="J49" s="10">
        <f t="shared" si="6"/>
        <v>2874631254463.3921</v>
      </c>
      <c r="K49" s="11">
        <f t="shared" si="7"/>
        <v>2.0599999999999952E-2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11"/>
      <c r="H50" s="10"/>
      <c r="I50" s="10">
        <f t="shared" si="8"/>
        <v>7937</v>
      </c>
      <c r="J50" s="10">
        <f t="shared" si="6"/>
        <v>2816609106862.0342</v>
      </c>
      <c r="K50" s="11">
        <f t="shared" si="7"/>
        <v>2.1400000000000086E-2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11"/>
      <c r="H51" s="10"/>
      <c r="I51" s="10">
        <f t="shared" si="8"/>
        <v>7937</v>
      </c>
      <c r="J51" s="10">
        <f t="shared" si="6"/>
        <v>2757596540887.0513</v>
      </c>
      <c r="K51" s="11">
        <f t="shared" si="7"/>
        <v>2.2299999999999986E-2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11"/>
      <c r="H52" s="10"/>
      <c r="I52" s="10">
        <f t="shared" si="8"/>
        <v>7937</v>
      </c>
      <c r="J52" s="10">
        <f t="shared" si="6"/>
        <v>2697443549728.1143</v>
      </c>
      <c r="K52" s="11">
        <f t="shared" si="7"/>
        <v>2.3200000000000109E-2</v>
      </c>
      <c r="L52" t="inlineStr">
        <is>
          <t xml:space="preserve">Arten Fiscal Crisis - epicentre: capital flight &amp; imperial-debt default after the Declaration of Rights.</t>
        </is>
      </c>
      <c r="M52" t="inlineStr">
        <is>
          <t xml:space="preserve">Arten Fiscal Crisis (1713-15): capital flight and imperial-debt default triggered by the Arten Revolution and the 1715 Declaration of Rights.</t>
        </is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11"/>
      <c r="H53" s="10"/>
      <c r="I53" s="10">
        <f t="shared" si="8"/>
        <v>7937</v>
      </c>
      <c r="J53" s="10">
        <f t="shared" si="6"/>
        <v>2636281811696.7495</v>
      </c>
      <c r="K53" s="11">
        <f t="shared" si="7"/>
        <v>2.3900000000000254E-2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11"/>
      <c r="H54" s="10"/>
      <c r="I54" s="10">
        <f t="shared" si="8"/>
        <v>7937</v>
      </c>
      <c r="J54" s="10">
        <f t="shared" si="6"/>
        <v>2574745396715.2544</v>
      </c>
      <c r="K54" s="11">
        <f t="shared" si="7"/>
        <v>2.4399999999999755E-2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11"/>
      <c r="H55" s="10"/>
      <c r="I55" s="10">
        <f t="shared" si="8"/>
        <v>7937</v>
      </c>
      <c r="J55" s="10">
        <f t="shared" si="6"/>
        <v>2513417997574.4385</v>
      </c>
      <c r="K55" s="11">
        <f t="shared" si="7"/>
        <v>2.4699999999999944E-2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11"/>
      <c r="H56" s="10"/>
      <c r="I56" s="10">
        <f t="shared" si="8"/>
        <v>7937</v>
      </c>
      <c r="J56" s="10">
        <f t="shared" si="6"/>
        <v>2452833021932.7007</v>
      </c>
      <c r="K56" s="11">
        <f t="shared" si="7"/>
        <v>2.4999999999999911E-2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11"/>
      <c r="H57" s="10"/>
      <c r="I57" s="10">
        <f t="shared" si="8"/>
        <v>7937</v>
      </c>
      <c r="J57" s="10">
        <f t="shared" si="6"/>
        <v>2393007826275.8057</v>
      </c>
      <c r="K57" s="11">
        <f t="shared" si="7"/>
        <v>2.5199999999999889E-2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11"/>
      <c r="H58" s="10"/>
      <c r="I58" s="10">
        <f t="shared" si="8"/>
        <v>7937</v>
      </c>
      <c r="J58" s="10">
        <f t="shared" si="6"/>
        <v>2334186330741.1294</v>
      </c>
      <c r="K58" s="11">
        <f t="shared" si="7"/>
        <v>2.5400000000000089E-2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11"/>
      <c r="H59" s="10"/>
      <c r="I59" s="10">
        <f t="shared" si="8"/>
        <v>7937</v>
      </c>
      <c r="J59" s="10">
        <f t="shared" si="6"/>
        <v>2276366618627.9785</v>
      </c>
      <c r="K59" s="11">
        <f t="shared" si="7"/>
        <v>2.5600000000000067E-2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11"/>
      <c r="H60" s="10"/>
      <c r="I60" s="10">
        <f t="shared" si="8"/>
        <v>7937</v>
      </c>
      <c r="J60" s="10">
        <f t="shared" si="6"/>
        <v>2219546235011.6792</v>
      </c>
      <c r="K60" s="11">
        <f t="shared" si="7"/>
        <v>2.5600000000000067E-2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11"/>
      <c r="H61" s="10"/>
      <c r="I61" s="10">
        <f t="shared" si="8"/>
        <v>7937</v>
      </c>
      <c r="J61" s="10">
        <f t="shared" si="6"/>
        <v>2164144144902.1833</v>
      </c>
      <c r="K61" s="11">
        <f t="shared" si="7"/>
        <v>2.5600000000000289E-2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11"/>
      <c r="H62" s="10"/>
      <c r="I62" s="10">
        <f t="shared" si="8"/>
        <v>7937</v>
      </c>
      <c r="J62" s="10">
        <f t="shared" si="6"/>
        <v>2110124946277.4795</v>
      </c>
      <c r="K62" s="11">
        <f t="shared" si="7"/>
        <v>2.5600000000000067E-2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11"/>
      <c r="H63" s="10"/>
      <c r="I63" s="10">
        <f t="shared" si="8"/>
        <v>7937</v>
      </c>
      <c r="J63" s="10">
        <f t="shared" si="6"/>
        <v>2057454120785.3738</v>
      </c>
      <c r="K63" s="11">
        <f t="shared" si="7"/>
        <v>2.5600000000000067E-2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11"/>
      <c r="H64" s="10"/>
      <c r="I64" s="10">
        <f t="shared" si="8"/>
        <v>7937</v>
      </c>
      <c r="J64" s="10">
        <f t="shared" si="6"/>
        <v>2006098011686.2068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11"/>
      <c r="H65" s="10"/>
      <c r="I65" s="10">
        <f t="shared" si="8"/>
        <v>7937</v>
      </c>
      <c r="J65" s="10">
        <f t="shared" si="6"/>
        <v>1956214540893.4243</v>
      </c>
      <c r="K65" s="11">
        <f t="shared" si="7"/>
        <v>2.5500000000000078E-2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11"/>
      <c r="H66" s="10"/>
      <c r="I66" s="10">
        <f t="shared" si="8"/>
        <v>7937</v>
      </c>
      <c r="J66" s="10">
        <f t="shared" ref="J66:J97" si="9">IF(I66="","",I66*C66)</f>
        <v>1907571468448.0002</v>
      </c>
      <c r="K66" s="11">
        <f t="shared" ref="K66:K97" si="10">IFERROR(J66/J67-1,"")</f>
        <v>2.5600000000000067E-2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11"/>
      <c r="H67" s="10"/>
      <c r="I67" s="10">
        <f t="shared" ref="I67:I98" si="11">IF(H67&lt;&gt;"",H67,I66/(1+IF(G66="",0,G66)))</f>
        <v>7937</v>
      </c>
      <c r="J67" s="10">
        <f t="shared" si="9"/>
        <v>1859956580000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5">
        <v>62265521</v>
      </c>
      <c r="G2" s="11"/>
      <c r="H2" s="10"/>
      <c r="I2" s="10">
        <f>IF(H2&lt;&gt;"",H2,12738)</f>
        <v>12738</v>
      </c>
      <c r="J2" s="10">
        <f t="shared" ref="J2:J33" si="3">IF(I2="","",I2*C2)</f>
        <v>793393675558.37854</v>
      </c>
      <c r="K2" s="11">
        <f t="shared" ref="K2:K33" si="4">IFERROR(J2/J3-1,"")</f>
        <v>3.1000000000001027E-3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11"/>
      <c r="H3" s="10"/>
      <c r="I3" s="10">
        <f t="shared" ref="I3:I34" si="5">IF(H3&lt;&gt;"",H3,I2/(1+IF(G2="",0,G2)))</f>
        <v>12738</v>
      </c>
      <c r="J3" s="10">
        <f t="shared" si="3"/>
        <v>790941756114.42371</v>
      </c>
      <c r="K3" s="11">
        <f t="shared" si="4"/>
        <v>3.6000000000000476E-3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11"/>
      <c r="H4" s="10"/>
      <c r="I4" s="10">
        <f t="shared" si="5"/>
        <v>12738</v>
      </c>
      <c r="J4" s="10">
        <f t="shared" si="3"/>
        <v>788104579627.76379</v>
      </c>
      <c r="K4" s="11">
        <f t="shared" si="4"/>
        <v>4.0999999999999925E-3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11"/>
      <c r="H5" s="10"/>
      <c r="I5" s="10">
        <f t="shared" si="5"/>
        <v>12738</v>
      </c>
      <c r="J5" s="10">
        <f t="shared" si="3"/>
        <v>784886544794.10791</v>
      </c>
      <c r="K5" s="11">
        <f t="shared" si="4"/>
        <v>4.2999999999999705E-3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11"/>
      <c r="H6" s="10"/>
      <c r="I6" s="10">
        <f t="shared" si="5"/>
        <v>12738</v>
      </c>
      <c r="J6" s="10">
        <f t="shared" si="3"/>
        <v>781525983066.92017</v>
      </c>
      <c r="K6" s="11">
        <f t="shared" si="4"/>
        <v>4.2999999999999705E-3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11"/>
      <c r="H7" s="10"/>
      <c r="I7" s="10">
        <f t="shared" si="5"/>
        <v>12738</v>
      </c>
      <c r="J7" s="10">
        <f t="shared" si="3"/>
        <v>778179809884.41711</v>
      </c>
      <c r="K7" s="11">
        <f t="shared" si="4"/>
        <v>4.1999999999999815E-3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11"/>
      <c r="H8" s="10"/>
      <c r="I8" s="10">
        <f t="shared" si="5"/>
        <v>12738</v>
      </c>
      <c r="J8" s="10">
        <f t="shared" si="3"/>
        <v>774925124362.09631</v>
      </c>
      <c r="K8" s="11">
        <f t="shared" si="4"/>
        <v>4.1999999999999815E-3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11"/>
      <c r="H9" s="10"/>
      <c r="I9" s="10">
        <f t="shared" si="5"/>
        <v>12738</v>
      </c>
      <c r="J9" s="10">
        <f t="shared" si="3"/>
        <v>771684051346.44128</v>
      </c>
      <c r="K9" s="11">
        <f t="shared" si="4"/>
        <v>4.3999999999997375E-3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11"/>
      <c r="H10" s="10"/>
      <c r="I10" s="10">
        <f t="shared" si="5"/>
        <v>12738</v>
      </c>
      <c r="J10" s="10">
        <f t="shared" si="3"/>
        <v>768303515876.58447</v>
      </c>
      <c r="K10" s="11">
        <f t="shared" si="4"/>
        <v>4.6999999999999265E-3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11"/>
      <c r="H11" s="10"/>
      <c r="I11" s="10">
        <f t="shared" si="5"/>
        <v>12738</v>
      </c>
      <c r="J11" s="10">
        <f t="shared" si="3"/>
        <v>764709381782.20813</v>
      </c>
      <c r="K11" s="11">
        <f t="shared" si="4"/>
        <v>5.2000000000000934E-3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11"/>
      <c r="H12" s="10"/>
      <c r="I12" s="10">
        <f t="shared" si="5"/>
        <v>12738</v>
      </c>
      <c r="J12" s="10">
        <f t="shared" si="3"/>
        <v>760753463770.60095</v>
      </c>
      <c r="K12" s="11">
        <f t="shared" si="4"/>
        <v>5.5000000000000604E-3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11"/>
      <c r="H13" s="10"/>
      <c r="I13" s="10">
        <f t="shared" si="5"/>
        <v>12738</v>
      </c>
      <c r="J13" s="10">
        <f t="shared" si="3"/>
        <v>756592206634.11328</v>
      </c>
      <c r="K13" s="11">
        <f t="shared" si="4"/>
        <v>5.9000000000000163E-3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11"/>
      <c r="H14" s="10"/>
      <c r="I14" s="10">
        <f t="shared" si="5"/>
        <v>12738</v>
      </c>
      <c r="J14" s="10">
        <f t="shared" si="3"/>
        <v>752154495112.9469</v>
      </c>
      <c r="K14" s="11">
        <f t="shared" si="4"/>
        <v>6.1000000000002164E-3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11"/>
      <c r="H15" s="10"/>
      <c r="I15" s="10">
        <f t="shared" si="5"/>
        <v>12738</v>
      </c>
      <c r="J15" s="10">
        <f t="shared" si="3"/>
        <v>747594170671.84851</v>
      </c>
      <c r="K15" s="11">
        <f t="shared" si="4"/>
        <v>6.0999999999999943E-3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11"/>
      <c r="H16" s="10"/>
      <c r="I16" s="10">
        <f t="shared" si="5"/>
        <v>12738</v>
      </c>
      <c r="J16" s="10">
        <f t="shared" si="3"/>
        <v>743061495548.99963</v>
      </c>
      <c r="K16" s="11">
        <f t="shared" si="4"/>
        <v>6.2999999999999723E-3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11"/>
      <c r="H17" s="10"/>
      <c r="I17" s="10">
        <f t="shared" si="5"/>
        <v>12738</v>
      </c>
      <c r="J17" s="10">
        <f t="shared" si="3"/>
        <v>738409515600.71509</v>
      </c>
      <c r="K17" s="11">
        <f t="shared" si="4"/>
        <v>6.8999999999996842E-3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11"/>
      <c r="H18" s="10"/>
      <c r="I18" s="10">
        <f t="shared" si="5"/>
        <v>12738</v>
      </c>
      <c r="J18" s="10">
        <f t="shared" si="3"/>
        <v>733349404708.22852</v>
      </c>
      <c r="K18" s="11">
        <f t="shared" si="4"/>
        <v>7.8000000000002512E-3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11"/>
      <c r="H19" s="10"/>
      <c r="I19" s="10">
        <f t="shared" si="5"/>
        <v>12738</v>
      </c>
      <c r="J19" s="10">
        <f t="shared" si="3"/>
        <v>727673551010.34766</v>
      </c>
      <c r="K19" s="11">
        <f t="shared" si="4"/>
        <v>8.599999999999941E-3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11"/>
      <c r="H20" s="10"/>
      <c r="I20" s="10">
        <f t="shared" si="5"/>
        <v>12738</v>
      </c>
      <c r="J20" s="10">
        <f t="shared" si="3"/>
        <v>721468918312.85718</v>
      </c>
      <c r="K20" s="11">
        <f t="shared" si="4"/>
        <v>9.200000000000097E-3</v>
      </c>
      <c r="L20" t="inlineStr">
        <is>
          <t xml:space="preserve">Left the Quian Union - loss of the common market.</t>
        </is>
      </c>
      <c r="M20" t="inlineStr">
        <is>
          <t xml:space="preserve">Quian Union exit (1747): Ashain's departure from the Quian common market.</t>
        </is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11"/>
      <c r="H21" s="10"/>
      <c r="I21" s="10">
        <f t="shared" si="5"/>
        <v>12738</v>
      </c>
      <c r="J21" s="10">
        <f t="shared" si="3"/>
        <v>714891912715.87109</v>
      </c>
      <c r="K21" s="11">
        <f t="shared" si="4"/>
        <v>9.7000000000000419E-3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11"/>
      <c r="H22" s="10"/>
      <c r="I22" s="10">
        <f t="shared" si="5"/>
        <v>12738</v>
      </c>
      <c r="J22" s="10">
        <f t="shared" si="3"/>
        <v>708024079148.13416</v>
      </c>
      <c r="K22" s="11">
        <f t="shared" si="4"/>
        <v>1.0000000000000009E-2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11"/>
      <c r="H23" s="10"/>
      <c r="I23" s="10">
        <f t="shared" si="5"/>
        <v>12738</v>
      </c>
      <c r="J23" s="10">
        <f t="shared" si="3"/>
        <v>701013939750.62781</v>
      </c>
      <c r="K23" s="11">
        <f t="shared" si="4"/>
        <v>1.0299999999999754E-2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11"/>
      <c r="H24" s="10"/>
      <c r="I24" s="10">
        <f t="shared" si="5"/>
        <v>12738</v>
      </c>
      <c r="J24" s="10">
        <f t="shared" si="3"/>
        <v>693867108532.74072</v>
      </c>
      <c r="K24" s="11">
        <f t="shared" si="4"/>
        <v>1.0299999999999976E-2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11"/>
      <c r="H25" s="10"/>
      <c r="I25" s="10">
        <f t="shared" si="5"/>
        <v>12738</v>
      </c>
      <c r="J25" s="10">
        <f t="shared" si="3"/>
        <v>686793139198.99109</v>
      </c>
      <c r="K25" s="11">
        <f t="shared" si="4"/>
        <v>9.9000000000000199E-3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11"/>
      <c r="H26" s="10"/>
      <c r="I26" s="10">
        <f t="shared" si="5"/>
        <v>12738</v>
      </c>
      <c r="J26" s="10">
        <f t="shared" si="3"/>
        <v>680060539854.43213</v>
      </c>
      <c r="K26" s="11">
        <f t="shared" si="4"/>
        <v>8.799999999999919E-3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11"/>
      <c r="H27" s="10"/>
      <c r="I27" s="10">
        <f t="shared" si="5"/>
        <v>12738</v>
      </c>
      <c r="J27" s="10">
        <f t="shared" si="3"/>
        <v>674128211592.41895</v>
      </c>
      <c r="K27" s="11">
        <f t="shared" si="4"/>
        <v>7.6000000000000512E-3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11"/>
      <c r="H28" s="10"/>
      <c r="I28" s="10">
        <f t="shared" si="5"/>
        <v>12738</v>
      </c>
      <c r="J28" s="10">
        <f t="shared" si="3"/>
        <v>669043481135.78699</v>
      </c>
      <c r="K28" s="11">
        <f t="shared" si="4"/>
        <v>6.8999999999999062E-3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11"/>
      <c r="H29" s="10"/>
      <c r="I29" s="10">
        <f t="shared" si="5"/>
        <v>12738</v>
      </c>
      <c r="J29" s="10">
        <f t="shared" si="3"/>
        <v>664458715995.4187</v>
      </c>
      <c r="K29" s="11">
        <f t="shared" si="4"/>
        <v>6.7999999999999172E-3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11"/>
      <c r="H30" s="10"/>
      <c r="I30" s="10">
        <f t="shared" si="5"/>
        <v>12738</v>
      </c>
      <c r="J30" s="10">
        <f t="shared" si="3"/>
        <v>659970913781.70313</v>
      </c>
      <c r="K30" s="11">
        <f t="shared" si="4"/>
        <v>7.6000000000000512E-3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11"/>
      <c r="H31" s="10"/>
      <c r="I31" s="10">
        <f t="shared" si="5"/>
        <v>12738</v>
      </c>
      <c r="J31" s="10">
        <f t="shared" si="3"/>
        <v>654992967230.74939</v>
      </c>
      <c r="K31" s="11">
        <f t="shared" si="4"/>
        <v>9.2999999999998639E-3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11"/>
      <c r="H32" s="10"/>
      <c r="I32" s="10">
        <f t="shared" si="5"/>
        <v>12738</v>
      </c>
      <c r="J32" s="10">
        <f t="shared" si="3"/>
        <v>648957660983.60193</v>
      </c>
      <c r="K32" s="11">
        <f t="shared" si="4"/>
        <v>1.1500000000000288E-2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11"/>
      <c r="H33" s="10"/>
      <c r="I33" s="10">
        <f t="shared" si="5"/>
        <v>12738</v>
      </c>
      <c r="J33" s="10">
        <f t="shared" si="3"/>
        <v>641579496770.73828</v>
      </c>
      <c r="K33" s="11">
        <f t="shared" si="4"/>
        <v>1.3200000000000101E-2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11"/>
      <c r="H34" s="10"/>
      <c r="I34" s="10">
        <f t="shared" si="5"/>
        <v>12738</v>
      </c>
      <c r="J34" s="10">
        <f t="shared" ref="J34:J65" si="6">IF(I34="","",I34*C34)</f>
        <v>633220979836.89124</v>
      </c>
      <c r="K34" s="11">
        <f t="shared" ref="K34:K65" si="7">IFERROR(J34/J35-1,"")</f>
        <v>1.3900000000000023E-2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11"/>
      <c r="H35" s="10"/>
      <c r="I35" s="10">
        <f t="shared" ref="I35:I66" si="8">IF(H35&lt;&gt;"",H35,I34/(1+IF(G34="",0,G34)))</f>
        <v>12738</v>
      </c>
      <c r="J35" s="10">
        <f t="shared" si="6"/>
        <v>624539875566.5166</v>
      </c>
      <c r="K35" s="11">
        <f t="shared" si="7"/>
        <v>1.3700000000000045E-2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11"/>
      <c r="H36" s="10"/>
      <c r="I36" s="10">
        <f t="shared" si="8"/>
        <v>12738</v>
      </c>
      <c r="J36" s="10">
        <f t="shared" si="6"/>
        <v>616099314951.67859</v>
      </c>
      <c r="K36" s="11">
        <f t="shared" si="7"/>
        <v>1.2999999999999901E-2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11"/>
      <c r="H37" s="10"/>
      <c r="I37" s="10">
        <f t="shared" si="8"/>
        <v>12738</v>
      </c>
      <c r="J37" s="10">
        <f t="shared" si="6"/>
        <v>608192808441.93347</v>
      </c>
      <c r="K37" s="11">
        <f t="shared" si="7"/>
        <v>1.2299999999999978E-2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11"/>
      <c r="H38" s="10"/>
      <c r="I38" s="10">
        <f t="shared" si="8"/>
        <v>12738</v>
      </c>
      <c r="J38" s="10">
        <f t="shared" si="6"/>
        <v>600802932373.73657</v>
      </c>
      <c r="K38" s="11">
        <f t="shared" si="7"/>
        <v>1.1700000000000044E-2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11"/>
      <c r="H39" s="10"/>
      <c r="I39" s="10">
        <f t="shared" si="8"/>
        <v>12738</v>
      </c>
      <c r="J39" s="10">
        <f t="shared" si="6"/>
        <v>593854830852.75928</v>
      </c>
      <c r="K39" s="11">
        <f t="shared" si="7"/>
        <v>1.1600000000000055E-2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11"/>
      <c r="H40" s="10"/>
      <c r="I40" s="10">
        <f t="shared" si="8"/>
        <v>12738</v>
      </c>
      <c r="J40" s="10">
        <f t="shared" si="6"/>
        <v>587045107604.54651</v>
      </c>
      <c r="K40" s="11">
        <f t="shared" si="7"/>
        <v>1.2199999999999989E-2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11"/>
      <c r="H41" s="10"/>
      <c r="I41" s="10">
        <f t="shared" si="8"/>
        <v>12738</v>
      </c>
      <c r="J41" s="10">
        <f t="shared" si="6"/>
        <v>579969479949.16663</v>
      </c>
      <c r="K41" s="11">
        <f t="shared" si="7"/>
        <v>1.3100000000000334E-2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11"/>
      <c r="H42" s="10"/>
      <c r="I42" s="10">
        <f t="shared" si="8"/>
        <v>12738</v>
      </c>
      <c r="J42" s="10">
        <f t="shared" si="6"/>
        <v>572470121359.35889</v>
      </c>
      <c r="K42" s="11">
        <f t="shared" si="7"/>
        <v>1.399999999999979E-2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11"/>
      <c r="H43" s="10"/>
      <c r="I43" s="10">
        <f t="shared" si="8"/>
        <v>12738</v>
      </c>
      <c r="J43" s="10">
        <f t="shared" si="6"/>
        <v>564566194634.47632</v>
      </c>
      <c r="K43" s="11">
        <f t="shared" si="7"/>
        <v>1.4999999999999902E-2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11"/>
      <c r="H44" s="10"/>
      <c r="I44" s="10">
        <f t="shared" si="8"/>
        <v>12738</v>
      </c>
      <c r="J44" s="10">
        <f t="shared" si="6"/>
        <v>556222851856.62695</v>
      </c>
      <c r="K44" s="11">
        <f t="shared" si="7"/>
        <v>1.5200000000000102E-2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11"/>
      <c r="H45" s="10"/>
      <c r="I45" s="10">
        <f t="shared" si="8"/>
        <v>12738</v>
      </c>
      <c r="J45" s="10">
        <f t="shared" si="6"/>
        <v>547894850134.58124</v>
      </c>
      <c r="K45" s="11">
        <f t="shared" si="7"/>
        <v>1.4499999999999957E-2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11"/>
      <c r="H46" s="10"/>
      <c r="I46" s="10">
        <f t="shared" si="8"/>
        <v>12738</v>
      </c>
      <c r="J46" s="10">
        <f t="shared" si="6"/>
        <v>540063923247.49261</v>
      </c>
      <c r="K46" s="11">
        <f t="shared" si="7"/>
        <v>1.3500000000000068E-2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11"/>
      <c r="H47" s="10"/>
      <c r="I47" s="10">
        <f t="shared" si="8"/>
        <v>12738</v>
      </c>
      <c r="J47" s="10">
        <f t="shared" si="6"/>
        <v>532870175873.20435</v>
      </c>
      <c r="K47" s="11">
        <f t="shared" si="7"/>
        <v>1.2399999999999967E-2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11"/>
      <c r="H48" s="10"/>
      <c r="I48" s="10">
        <f t="shared" si="8"/>
        <v>12738</v>
      </c>
      <c r="J48" s="10">
        <f t="shared" si="6"/>
        <v>526343516271.43854</v>
      </c>
      <c r="K48" s="11">
        <f t="shared" si="7"/>
        <v>1.1600000000000055E-2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11"/>
      <c r="H49" s="10"/>
      <c r="I49" s="10">
        <f t="shared" si="8"/>
        <v>12738</v>
      </c>
      <c r="J49" s="10">
        <f t="shared" si="6"/>
        <v>520307944119.65051</v>
      </c>
      <c r="K49" s="11">
        <f t="shared" si="7"/>
        <v>1.1499999999999844E-2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11"/>
      <c r="H50" s="10"/>
      <c r="I50" s="10">
        <f t="shared" si="8"/>
        <v>12738</v>
      </c>
      <c r="J50" s="10">
        <f t="shared" si="6"/>
        <v>514392431161.29565</v>
      </c>
      <c r="K50" s="11">
        <f t="shared" si="7"/>
        <v>1.1900000000000022E-2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11"/>
      <c r="H51" s="10"/>
      <c r="I51" s="10">
        <f t="shared" si="8"/>
        <v>12738</v>
      </c>
      <c r="J51" s="10">
        <f t="shared" si="6"/>
        <v>508343147703.6225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11"/>
      <c r="H52" s="10"/>
      <c r="I52" s="10">
        <f t="shared" si="8"/>
        <v>12738</v>
      </c>
      <c r="J52" s="10">
        <f t="shared" si="6"/>
        <v>502067306373.94818</v>
      </c>
      <c r="K52" s="11">
        <f t="shared" si="7"/>
        <v>1.3400000000000079E-2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11"/>
      <c r="H53" s="10"/>
      <c r="I53" s="10">
        <f t="shared" si="8"/>
        <v>12738</v>
      </c>
      <c r="J53" s="10">
        <f t="shared" si="6"/>
        <v>495428563621.42114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11"/>
      <c r="H54" s="10"/>
      <c r="I54" s="10">
        <f t="shared" si="8"/>
        <v>12738</v>
      </c>
      <c r="J54" s="10">
        <f t="shared" si="6"/>
        <v>488540147541.09174</v>
      </c>
      <c r="K54" s="11">
        <f t="shared" si="7"/>
        <v>1.4100000000000001E-2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11"/>
      <c r="H55" s="10"/>
      <c r="I55" s="10">
        <f t="shared" si="8"/>
        <v>12738</v>
      </c>
      <c r="J55" s="10">
        <f t="shared" si="6"/>
        <v>481747507682.76477</v>
      </c>
      <c r="K55" s="11">
        <f t="shared" si="7"/>
        <v>1.4000000000000012E-2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11"/>
      <c r="H56" s="10"/>
      <c r="I56" s="10">
        <f t="shared" si="8"/>
        <v>12738</v>
      </c>
      <c r="J56" s="10">
        <f t="shared" si="6"/>
        <v>475096161422.84491</v>
      </c>
      <c r="K56" s="11">
        <f t="shared" si="7"/>
        <v>1.4000000000000012E-2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11"/>
      <c r="H57" s="10"/>
      <c r="I57" s="10">
        <f t="shared" si="8"/>
        <v>12738</v>
      </c>
      <c r="J57" s="10">
        <f t="shared" si="6"/>
        <v>468536648346.00092</v>
      </c>
      <c r="K57" s="11">
        <f t="shared" si="7"/>
        <v>1.4000000000000012E-2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11"/>
      <c r="H58" s="10"/>
      <c r="I58" s="10">
        <f t="shared" si="8"/>
        <v>12738</v>
      </c>
      <c r="J58" s="10">
        <f t="shared" si="6"/>
        <v>462067700538.46246</v>
      </c>
      <c r="K58" s="11">
        <f t="shared" si="7"/>
        <v>1.2999999999999901E-2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11"/>
      <c r="H59" s="10"/>
      <c r="I59" s="10">
        <f t="shared" si="8"/>
        <v>12738</v>
      </c>
      <c r="J59" s="10">
        <f t="shared" si="6"/>
        <v>456137907737.87018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11"/>
      <c r="H60" s="10"/>
      <c r="I60" s="10">
        <f t="shared" si="8"/>
        <v>12738</v>
      </c>
      <c r="J60" s="10">
        <f t="shared" si="6"/>
        <v>450284212969.26971</v>
      </c>
      <c r="K60" s="11">
        <f t="shared" si="7"/>
        <v>1.4000000000000012E-2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11"/>
      <c r="H61" s="10"/>
      <c r="I61" s="10">
        <f t="shared" si="8"/>
        <v>12738</v>
      </c>
      <c r="J61" s="10">
        <f t="shared" si="6"/>
        <v>444067271172.84985</v>
      </c>
      <c r="K61" s="11">
        <f t="shared" si="7"/>
        <v>1.5000000000000124E-2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11"/>
      <c r="H62" s="10"/>
      <c r="I62" s="10">
        <f t="shared" si="8"/>
        <v>12738</v>
      </c>
      <c r="J62" s="10">
        <f t="shared" si="6"/>
        <v>437504700662.90625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11"/>
      <c r="H63" s="10"/>
      <c r="I63" s="10">
        <f t="shared" si="8"/>
        <v>12738</v>
      </c>
      <c r="J63" s="10">
        <f t="shared" si="6"/>
        <v>430191446079.55389</v>
      </c>
      <c r="K63" s="11">
        <f t="shared" si="7"/>
        <v>1.8000000000000238E-2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11"/>
      <c r="H64" s="10"/>
      <c r="I64" s="10">
        <f t="shared" si="8"/>
        <v>12738</v>
      </c>
      <c r="J64" s="10">
        <f t="shared" si="6"/>
        <v>422584917563.41241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11"/>
      <c r="H65" s="10"/>
      <c r="I65" s="10">
        <f t="shared" si="8"/>
        <v>12738</v>
      </c>
      <c r="J65" s="10">
        <f t="shared" si="6"/>
        <v>414909099227.69995</v>
      </c>
      <c r="K65" s="11">
        <f t="shared" si="7"/>
        <v>1.8499999999999961E-2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11"/>
      <c r="H66" s="10"/>
      <c r="I66" s="10">
        <f t="shared" si="8"/>
        <v>12738</v>
      </c>
      <c r="J66" s="10">
        <f t="shared" ref="J66:J97" si="9">IF(I66="","",I66*C66)</f>
        <v>407372704200</v>
      </c>
      <c r="K66" s="11">
        <f t="shared" ref="K66:K97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11"/>
      <c r="H67" s="10"/>
      <c r="I67" s="10">
        <f t="shared" ref="I67:I98" si="11">IF(H67&lt;&gt;"",H67,I66/(1+IF(G66="",0,G66)))</f>
        <v>12738</v>
      </c>
      <c r="J67" s="10">
        <f t="shared" si="9"/>
        <v>399973200000</v>
      </c>
      <c r="K67" s="11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5">
        <v>44277194</v>
      </c>
      <c r="G2" s="11"/>
      <c r="H2" s="10"/>
      <c r="I2" s="10">
        <f>IF(H2&lt;&gt;"",H2,3694)</f>
        <v>3694</v>
      </c>
      <c r="J2" s="10">
        <f t="shared" ref="J2:J33" si="3">IF(I2="","",I2*C2)</f>
        <v>163586172438.16052</v>
      </c>
      <c r="K2" s="11">
        <f t="shared" ref="K2:K33" si="4">IFERROR(J2/J3-1,"")</f>
        <v>1.089999999999991E-2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11"/>
      <c r="H3" s="10"/>
      <c r="I3" s="10">
        <f t="shared" ref="I3:I34" si="5">IF(H3&lt;&gt;"",H3,I2/(1+IF(G2="",0,G2)))</f>
        <v>3694</v>
      </c>
      <c r="J3" s="10">
        <f t="shared" si="3"/>
        <v>161822309267.14862</v>
      </c>
      <c r="K3" s="11">
        <f t="shared" si="4"/>
        <v>1.0999999999999677E-2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11"/>
      <c r="H4" s="10"/>
      <c r="I4" s="10">
        <f t="shared" si="5"/>
        <v>3694</v>
      </c>
      <c r="J4" s="10">
        <f t="shared" si="3"/>
        <v>160061631322.60007</v>
      </c>
      <c r="K4" s="11">
        <f t="shared" si="4"/>
        <v>9.6000000000000529E-3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11"/>
      <c r="H5" s="10"/>
      <c r="I5" s="10">
        <f t="shared" si="5"/>
        <v>3694</v>
      </c>
      <c r="J5" s="10">
        <f t="shared" si="3"/>
        <v>158539650676.10941</v>
      </c>
      <c r="K5" s="11">
        <f t="shared" si="4"/>
        <v>9.6000000000000529E-3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11"/>
      <c r="H6" s="10"/>
      <c r="I6" s="10">
        <f t="shared" si="5"/>
        <v>3694</v>
      </c>
      <c r="J6" s="10">
        <f t="shared" si="3"/>
        <v>157032142111.83578</v>
      </c>
      <c r="K6" s="11">
        <f t="shared" si="4"/>
        <v>1.1900000000000022E-2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11"/>
      <c r="H7" s="10"/>
      <c r="I7" s="10">
        <f t="shared" si="5"/>
        <v>3694</v>
      </c>
      <c r="J7" s="10">
        <f t="shared" si="3"/>
        <v>155185435430.21622</v>
      </c>
      <c r="K7" s="11">
        <f t="shared" si="4"/>
        <v>1.7099999999999893E-2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11"/>
      <c r="H8" s="10"/>
      <c r="I8" s="10">
        <f t="shared" si="5"/>
        <v>3694</v>
      </c>
      <c r="J8" s="10">
        <f t="shared" si="3"/>
        <v>152576379343.44336</v>
      </c>
      <c r="K8" s="11">
        <f t="shared" si="4"/>
        <v>1.8100000000000005E-2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11"/>
      <c r="H9" s="10"/>
      <c r="I9" s="10">
        <f t="shared" si="5"/>
        <v>3694</v>
      </c>
      <c r="J9" s="10">
        <f t="shared" si="3"/>
        <v>149863843771.18491</v>
      </c>
      <c r="K9" s="11">
        <f t="shared" si="4"/>
        <v>1.4699999999999935E-2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11"/>
      <c r="H10" s="10"/>
      <c r="I10" s="10">
        <f t="shared" si="5"/>
        <v>3694</v>
      </c>
      <c r="J10" s="10">
        <f t="shared" si="3"/>
        <v>147692760196.29932</v>
      </c>
      <c r="K10" s="11">
        <f t="shared" si="4"/>
        <v>1.330000000000009E-2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11"/>
      <c r="H11" s="10"/>
      <c r="I11" s="10">
        <f t="shared" si="5"/>
        <v>3694</v>
      </c>
      <c r="J11" s="10">
        <f t="shared" si="3"/>
        <v>145754228951.24771</v>
      </c>
      <c r="K11" s="11">
        <f t="shared" si="4"/>
        <v>1.1300000000000088E-2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11"/>
      <c r="H12" s="10"/>
      <c r="I12" s="10">
        <f t="shared" si="5"/>
        <v>3694</v>
      </c>
      <c r="J12" s="10">
        <f t="shared" si="3"/>
        <v>144125609563.18372</v>
      </c>
      <c r="K12" s="11">
        <f t="shared" si="4"/>
        <v>9.8999999999997979E-3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11"/>
      <c r="H13" s="10"/>
      <c r="I13" s="10">
        <f t="shared" si="5"/>
        <v>3694</v>
      </c>
      <c r="J13" s="10">
        <f t="shared" si="3"/>
        <v>142712753305.45969</v>
      </c>
      <c r="K13" s="11">
        <f t="shared" si="4"/>
        <v>8.999999999999897E-3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11"/>
      <c r="H14" s="10"/>
      <c r="I14" s="10">
        <f t="shared" si="5"/>
        <v>3694</v>
      </c>
      <c r="J14" s="10">
        <f t="shared" si="3"/>
        <v>141439795149.11765</v>
      </c>
      <c r="K14" s="11">
        <f t="shared" si="4"/>
        <v>8.3999999999999631E-3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11"/>
      <c r="H15" s="10"/>
      <c r="I15" s="10">
        <f t="shared" si="5"/>
        <v>3694</v>
      </c>
      <c r="J15" s="10">
        <f t="shared" si="3"/>
        <v>140261597728.20078</v>
      </c>
      <c r="K15" s="11">
        <f t="shared" si="4"/>
        <v>7.5000000000002842E-3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11"/>
      <c r="H16" s="10"/>
      <c r="I16" s="10">
        <f t="shared" si="5"/>
        <v>3694</v>
      </c>
      <c r="J16" s="10">
        <f t="shared" si="3"/>
        <v>139217466727.74268</v>
      </c>
      <c r="K16" s="11">
        <f t="shared" si="4"/>
        <v>6.4999999999997282E-3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11"/>
      <c r="H17" s="10"/>
      <c r="I17" s="10">
        <f t="shared" si="5"/>
        <v>3694</v>
      </c>
      <c r="J17" s="10">
        <f t="shared" si="3"/>
        <v>138318397146.29181</v>
      </c>
      <c r="K17" s="11">
        <f t="shared" si="4"/>
        <v>6.1999999999999833E-3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11"/>
      <c r="H18" s="10"/>
      <c r="I18" s="10">
        <f t="shared" si="5"/>
        <v>3694</v>
      </c>
      <c r="J18" s="10">
        <f t="shared" si="3"/>
        <v>137466107281.14868</v>
      </c>
      <c r="K18" s="11">
        <f t="shared" si="4"/>
        <v>6.5999999999999392E-3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11"/>
      <c r="H19" s="10"/>
      <c r="I19" s="10">
        <f t="shared" si="5"/>
        <v>3694</v>
      </c>
      <c r="J19" s="10">
        <f t="shared" si="3"/>
        <v>136564779734.89835</v>
      </c>
      <c r="K19" s="11">
        <f t="shared" si="4"/>
        <v>7.3000000000003062E-3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11"/>
      <c r="H20" s="10"/>
      <c r="I20" s="10">
        <f t="shared" si="5"/>
        <v>3694</v>
      </c>
      <c r="J20" s="10">
        <f t="shared" si="3"/>
        <v>135575081638.9341</v>
      </c>
      <c r="K20" s="11">
        <f t="shared" si="4"/>
        <v>7.9000000000000181E-3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11"/>
      <c r="H21" s="10"/>
      <c r="I21" s="10">
        <f t="shared" si="5"/>
        <v>3694</v>
      </c>
      <c r="J21" s="10">
        <f t="shared" si="3"/>
        <v>134512433414.95595</v>
      </c>
      <c r="K21" s="11">
        <f t="shared" si="4"/>
        <v>8.899999999999908E-3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11"/>
      <c r="H22" s="10"/>
      <c r="I22" s="10">
        <f t="shared" si="5"/>
        <v>3694</v>
      </c>
      <c r="J22" s="10">
        <f t="shared" si="3"/>
        <v>133325833496.83414</v>
      </c>
      <c r="K22" s="11">
        <f t="shared" si="4"/>
        <v>9.8000000000000309E-3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11"/>
      <c r="H23" s="10"/>
      <c r="I23" s="10">
        <f t="shared" si="5"/>
        <v>3694</v>
      </c>
      <c r="J23" s="10">
        <f t="shared" si="3"/>
        <v>132031920674.22672</v>
      </c>
      <c r="K23" s="11">
        <f t="shared" si="4"/>
        <v>1.0700000000000154E-2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11"/>
      <c r="H24" s="10"/>
      <c r="I24" s="10">
        <f t="shared" si="5"/>
        <v>3694</v>
      </c>
      <c r="J24" s="10">
        <f t="shared" si="3"/>
        <v>130634135425.17731</v>
      </c>
      <c r="K24" s="11">
        <f t="shared" si="4"/>
        <v>1.1900000000000022E-2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11"/>
      <c r="H25" s="10"/>
      <c r="I25" s="10">
        <f t="shared" si="5"/>
        <v>3694</v>
      </c>
      <c r="J25" s="10">
        <f t="shared" si="3"/>
        <v>129097870763.09647</v>
      </c>
      <c r="K25" s="11">
        <f t="shared" si="4"/>
        <v>1.3700000000000045E-2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11"/>
      <c r="H26" s="10"/>
      <c r="I26" s="10">
        <f t="shared" si="5"/>
        <v>3694</v>
      </c>
      <c r="J26" s="10">
        <f t="shared" si="3"/>
        <v>127353132843.14537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11"/>
      <c r="H27" s="10"/>
      <c r="I27" s="10">
        <f t="shared" si="5"/>
        <v>3694</v>
      </c>
      <c r="J27" s="10">
        <f t="shared" si="3"/>
        <v>125396940570.24947</v>
      </c>
      <c r="K27" s="11">
        <f t="shared" si="4"/>
        <v>1.7300000000000093E-2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11"/>
      <c r="H28" s="10"/>
      <c r="I28" s="10">
        <f t="shared" si="5"/>
        <v>3694</v>
      </c>
      <c r="J28" s="10">
        <f t="shared" si="3"/>
        <v>123264465320.20982</v>
      </c>
      <c r="K28" s="11">
        <f t="shared" si="4"/>
        <v>1.8199999999999994E-2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11"/>
      <c r="H29" s="10"/>
      <c r="I29" s="10">
        <f t="shared" si="5"/>
        <v>3694</v>
      </c>
      <c r="J29" s="10">
        <f t="shared" si="3"/>
        <v>121061152347.4856</v>
      </c>
      <c r="K29" s="11">
        <f t="shared" si="4"/>
        <v>1.8499999999999961E-2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11"/>
      <c r="H30" s="10"/>
      <c r="I30" s="10">
        <f t="shared" si="5"/>
        <v>3694</v>
      </c>
      <c r="J30" s="10">
        <f t="shared" si="3"/>
        <v>118862201617.56071</v>
      </c>
      <c r="K30" s="11">
        <f t="shared" si="4"/>
        <v>1.8799999999999928E-2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11"/>
      <c r="H31" s="10"/>
      <c r="I31" s="10">
        <f t="shared" si="5"/>
        <v>3694</v>
      </c>
      <c r="J31" s="10">
        <f t="shared" si="3"/>
        <v>116668827657.59789</v>
      </c>
      <c r="K31" s="11">
        <f t="shared" si="4"/>
        <v>1.9400000000000084E-2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11"/>
      <c r="H32" s="10"/>
      <c r="I32" s="10">
        <f t="shared" si="5"/>
        <v>3694</v>
      </c>
      <c r="J32" s="10">
        <f t="shared" si="3"/>
        <v>114448526248.37932</v>
      </c>
      <c r="K32" s="11">
        <f t="shared" si="4"/>
        <v>1.980000000000004E-2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11"/>
      <c r="H33" s="10"/>
      <c r="I33" s="10">
        <f t="shared" si="5"/>
        <v>3694</v>
      </c>
      <c r="J33" s="10">
        <f t="shared" si="3"/>
        <v>112226442683.25095</v>
      </c>
      <c r="K33" s="11">
        <f t="shared" si="4"/>
        <v>2.0199999999999996E-2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11"/>
      <c r="H34" s="10"/>
      <c r="I34" s="10">
        <f t="shared" si="5"/>
        <v>3694</v>
      </c>
      <c r="J34" s="10">
        <f t="shared" ref="J34:J65" si="6">IF(I34="","",I34*C34)</f>
        <v>110004354717.94839</v>
      </c>
      <c r="K34" s="11">
        <f t="shared" ref="K34:K65" si="7">IFERROR(J34/J35-1,"")</f>
        <v>2.0399999999999974E-2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11"/>
      <c r="H35" s="10"/>
      <c r="I35" s="10">
        <f t="shared" ref="I35:I66" si="8">IF(H35&lt;&gt;"",H35,I34/(1+IF(G34="",0,G34)))</f>
        <v>3694</v>
      </c>
      <c r="J35" s="10">
        <f t="shared" si="6"/>
        <v>107805130064.62994</v>
      </c>
      <c r="K35" s="11">
        <f t="shared" si="7"/>
        <v>2.1099999999999897E-2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11"/>
      <c r="H36" s="10"/>
      <c r="I36" s="10">
        <f t="shared" si="8"/>
        <v>3694</v>
      </c>
      <c r="J36" s="10">
        <f t="shared" si="6"/>
        <v>105577445954.97989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11"/>
      <c r="H37" s="10"/>
      <c r="I37" s="10">
        <f t="shared" si="8"/>
        <v>3694</v>
      </c>
      <c r="J37" s="10">
        <f t="shared" si="6"/>
        <v>103294634531.82652</v>
      </c>
      <c r="K37" s="11">
        <f t="shared" si="7"/>
        <v>2.2399999999999975E-2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11"/>
      <c r="H38" s="10"/>
      <c r="I38" s="10">
        <f t="shared" si="8"/>
        <v>3694</v>
      </c>
      <c r="J38" s="10">
        <f t="shared" si="6"/>
        <v>101031528297.95239</v>
      </c>
      <c r="K38" s="11">
        <f t="shared" si="7"/>
        <v>2.2699999999999942E-2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11"/>
      <c r="H39" s="10"/>
      <c r="I39" s="10">
        <f t="shared" si="8"/>
        <v>3694</v>
      </c>
      <c r="J39" s="10">
        <f t="shared" si="6"/>
        <v>98789017598.467194</v>
      </c>
      <c r="K39" s="11">
        <f t="shared" si="7"/>
        <v>2.2899999999999698E-2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11"/>
      <c r="H40" s="10"/>
      <c r="I40" s="10">
        <f t="shared" si="8"/>
        <v>3694</v>
      </c>
      <c r="J40" s="10">
        <f t="shared" si="6"/>
        <v>96577395247.303955</v>
      </c>
      <c r="K40" s="11">
        <f t="shared" si="7"/>
        <v>2.3600000000000065E-2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11"/>
      <c r="H41" s="10"/>
      <c r="I41" s="10">
        <f t="shared" si="8"/>
        <v>3694</v>
      </c>
      <c r="J41" s="10">
        <f t="shared" si="6"/>
        <v>94350718295.529449</v>
      </c>
      <c r="K41" s="11">
        <f t="shared" si="7"/>
        <v>2.4399999999999755E-2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11"/>
      <c r="H42" s="10"/>
      <c r="I42" s="10">
        <f t="shared" si="8"/>
        <v>3694</v>
      </c>
      <c r="J42" s="10">
        <f t="shared" si="6"/>
        <v>92103395446.631653</v>
      </c>
      <c r="K42" s="11">
        <f t="shared" si="7"/>
        <v>2.4800000000000155E-2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11"/>
      <c r="H43" s="10"/>
      <c r="I43" s="10">
        <f t="shared" si="8"/>
        <v>3694</v>
      </c>
      <c r="J43" s="10">
        <f t="shared" si="6"/>
        <v>89874507656.744385</v>
      </c>
      <c r="K43" s="11">
        <f t="shared" si="7"/>
        <v>2.4899999999999922E-2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11"/>
      <c r="H44" s="10"/>
      <c r="I44" s="10">
        <f t="shared" si="8"/>
        <v>3694</v>
      </c>
      <c r="J44" s="10">
        <f t="shared" si="6"/>
        <v>87691001714.064194</v>
      </c>
      <c r="K44" s="11">
        <f t="shared" si="7"/>
        <v>2.4799999999999933E-2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11"/>
      <c r="H45" s="10"/>
      <c r="I45" s="10">
        <f t="shared" si="8"/>
        <v>3694</v>
      </c>
      <c r="J45" s="10">
        <f t="shared" si="6"/>
        <v>85568893163.60675</v>
      </c>
      <c r="K45" s="11">
        <f t="shared" si="7"/>
        <v>2.4899999999999922E-2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11"/>
      <c r="H46" s="10"/>
      <c r="I46" s="10">
        <f t="shared" si="8"/>
        <v>3694</v>
      </c>
      <c r="J46" s="10">
        <f t="shared" si="6"/>
        <v>83489992353.99234</v>
      </c>
      <c r="K46" s="11">
        <f t="shared" si="7"/>
        <v>2.4999999999999689E-2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11"/>
      <c r="H47" s="10"/>
      <c r="I47" s="10">
        <f t="shared" si="8"/>
        <v>3694</v>
      </c>
      <c r="J47" s="10">
        <f t="shared" si="6"/>
        <v>81453651077.06572</v>
      </c>
      <c r="K47" s="11">
        <f t="shared" si="7"/>
        <v>2.4900000000000144E-2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11"/>
      <c r="H48" s="10"/>
      <c r="I48" s="10">
        <f t="shared" si="8"/>
        <v>3694</v>
      </c>
      <c r="J48" s="10">
        <f t="shared" si="6"/>
        <v>79474730292.775604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11"/>
      <c r="H49" s="10"/>
      <c r="I49" s="10">
        <f t="shared" si="8"/>
        <v>3694</v>
      </c>
      <c r="J49" s="10">
        <f t="shared" si="6"/>
        <v>77543887494.170761</v>
      </c>
      <c r="K49" s="11">
        <f t="shared" si="7"/>
        <v>2.4699999999999722E-2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11"/>
      <c r="H50" s="10"/>
      <c r="I50" s="10">
        <f t="shared" si="8"/>
        <v>3694</v>
      </c>
      <c r="J50" s="10">
        <f t="shared" si="6"/>
        <v>75674721864.126846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11"/>
      <c r="H51" s="10"/>
      <c r="I51" s="10">
        <f t="shared" si="8"/>
        <v>3694</v>
      </c>
      <c r="J51" s="10">
        <f t="shared" si="6"/>
        <v>73850611753.8078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11"/>
      <c r="H52" s="10"/>
      <c r="I52" s="10">
        <f t="shared" si="8"/>
        <v>3694</v>
      </c>
      <c r="J52" s="10">
        <f t="shared" si="6"/>
        <v>72056407214.17485</v>
      </c>
      <c r="K52" s="11">
        <f t="shared" si="7"/>
        <v>2.5300000000000322E-2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11"/>
      <c r="H53" s="10"/>
      <c r="I53" s="10">
        <f t="shared" si="8"/>
        <v>3694</v>
      </c>
      <c r="J53" s="10">
        <f t="shared" si="6"/>
        <v>70278364590.046646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11"/>
      <c r="H54" s="10"/>
      <c r="I54" s="10">
        <f t="shared" si="8"/>
        <v>3694</v>
      </c>
      <c r="J54" s="10">
        <f t="shared" si="6"/>
        <v>68504108187.97802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11"/>
      <c r="H55" s="10"/>
      <c r="I55" s="10">
        <f t="shared" si="8"/>
        <v>3694</v>
      </c>
      <c r="J55" s="10">
        <f t="shared" si="6"/>
        <v>66735614406.213364</v>
      </c>
      <c r="K55" s="11">
        <f t="shared" si="7"/>
        <v>2.4599999999999733E-2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11"/>
      <c r="H56" s="10"/>
      <c r="I56" s="10">
        <f t="shared" si="8"/>
        <v>3694</v>
      </c>
      <c r="J56" s="10">
        <f t="shared" si="6"/>
        <v>65133334380.454201</v>
      </c>
      <c r="K56" s="11">
        <f t="shared" si="7"/>
        <v>2.5100000000000122E-2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11"/>
      <c r="H57" s="10"/>
      <c r="I57" s="10">
        <f t="shared" si="8"/>
        <v>3694</v>
      </c>
      <c r="J57" s="10">
        <f t="shared" si="6"/>
        <v>63538517588.971024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11"/>
      <c r="H58" s="10"/>
      <c r="I58" s="10">
        <f t="shared" si="8"/>
        <v>3694</v>
      </c>
      <c r="J58" s="10">
        <f t="shared" si="6"/>
        <v>61813909513.543167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11"/>
      <c r="H59" s="10"/>
      <c r="I59" s="10">
        <f t="shared" si="8"/>
        <v>3694</v>
      </c>
      <c r="J59" s="10">
        <f t="shared" si="6"/>
        <v>60124413494.351875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11"/>
      <c r="H60" s="10"/>
      <c r="I60" s="10">
        <f t="shared" si="8"/>
        <v>3694</v>
      </c>
      <c r="J60" s="10">
        <f t="shared" si="6"/>
        <v>58469720406.838348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11"/>
      <c r="H61" s="10"/>
      <c r="I61" s="10">
        <f t="shared" si="8"/>
        <v>3694</v>
      </c>
      <c r="J61" s="10">
        <f t="shared" si="6"/>
        <v>56849509389.244873</v>
      </c>
      <c r="K61" s="11">
        <f t="shared" si="7"/>
        <v>2.8699999999999948E-2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11"/>
      <c r="H62" s="10"/>
      <c r="I62" s="10">
        <f t="shared" si="8"/>
        <v>3694</v>
      </c>
      <c r="J62" s="10">
        <f t="shared" si="6"/>
        <v>55263448419.602287</v>
      </c>
      <c r="K62" s="11">
        <f t="shared" si="7"/>
        <v>2.8899999999999926E-2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11"/>
      <c r="H63" s="10"/>
      <c r="I63" s="10">
        <f t="shared" si="8"/>
        <v>3694</v>
      </c>
      <c r="J63" s="10">
        <f t="shared" si="6"/>
        <v>53711194887.357658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11"/>
      <c r="H64" s="10"/>
      <c r="I64" s="10">
        <f t="shared" si="8"/>
        <v>3694</v>
      </c>
      <c r="J64" s="10">
        <f t="shared" si="6"/>
        <v>52197468306.470032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11"/>
      <c r="H65" s="10"/>
      <c r="I65" s="10">
        <f t="shared" si="8"/>
        <v>3694</v>
      </c>
      <c r="J65" s="10">
        <f t="shared" si="6"/>
        <v>50721473429.666733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11"/>
      <c r="H66" s="10"/>
      <c r="I66" s="10">
        <f t="shared" si="8"/>
        <v>3694</v>
      </c>
      <c r="J66" s="10">
        <f t="shared" ref="J66:J97" si="9">IF(I66="","",I66*C66)</f>
        <v>49282426573.714279</v>
      </c>
      <c r="K66" s="11">
        <f t="shared" ref="K66:K97" si="10">IFERROR(J66/J67-1,"")</f>
        <v>2.9414285714285615E-2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3694</v>
      </c>
      <c r="J67" s="10">
        <f t="shared" si="9"/>
        <v>47874240000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5">
        <v>1638021</v>
      </c>
      <c r="G2" s="11"/>
      <c r="H2" s="10"/>
      <c r="I2" s="10">
        <f>IF(H2&lt;&gt;"",H2,9405)</f>
        <v>9405</v>
      </c>
      <c r="J2" s="10">
        <f t="shared" ref="J2:J33" si="3">IF(I2="","",I2*C2)</f>
        <v>15408846191.616611</v>
      </c>
      <c r="K2" s="11">
        <f t="shared" ref="K2:K33" si="4">IFERROR(J2/J3-1,"")</f>
        <v>3.1199999999999894E-2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11"/>
      <c r="H3" s="10"/>
      <c r="I3" s="10">
        <f t="shared" ref="I3:I34" si="5">IF(H3&lt;&gt;"",H3,I2/(1+IF(G2="",0,G2)))</f>
        <v>9405</v>
      </c>
      <c r="J3" s="10">
        <f t="shared" si="3"/>
        <v>14942635949.977322</v>
      </c>
      <c r="K3" s="11">
        <f t="shared" si="4"/>
        <v>3.6299999999999999E-2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11"/>
      <c r="H4" s="10"/>
      <c r="I4" s="10">
        <f t="shared" si="5"/>
        <v>9405</v>
      </c>
      <c r="J4" s="10">
        <f t="shared" si="3"/>
        <v>14419218324.787533</v>
      </c>
      <c r="K4" s="11">
        <f t="shared" si="4"/>
        <v>3.4199999999999786E-2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11"/>
      <c r="H5" s="10"/>
      <c r="I5" s="10">
        <f t="shared" si="5"/>
        <v>9405</v>
      </c>
      <c r="J5" s="10">
        <f t="shared" si="3"/>
        <v>13942388633.521112</v>
      </c>
      <c r="K5" s="11">
        <f t="shared" si="4"/>
        <v>4.0500000000000203E-2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11"/>
      <c r="H6" s="10"/>
      <c r="I6" s="10">
        <f t="shared" si="5"/>
        <v>9405</v>
      </c>
      <c r="J6" s="10">
        <f t="shared" si="3"/>
        <v>13399700753.023653</v>
      </c>
      <c r="K6" s="11">
        <f t="shared" si="4"/>
        <v>3.6899999999999933E-2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11"/>
      <c r="H7" s="10"/>
      <c r="I7" s="10">
        <f t="shared" si="5"/>
        <v>9405</v>
      </c>
      <c r="J7" s="10">
        <f t="shared" si="3"/>
        <v>12922847673.858284</v>
      </c>
      <c r="K7" s="11">
        <f t="shared" si="4"/>
        <v>2.9300000000000104E-2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11"/>
      <c r="H8" s="10"/>
      <c r="I8" s="10">
        <f t="shared" si="5"/>
        <v>9405</v>
      </c>
      <c r="J8" s="10">
        <f t="shared" si="3"/>
        <v>12554986567.43251</v>
      </c>
      <c r="K8" s="11">
        <f t="shared" si="4"/>
        <v>3.6499999999999977E-2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11"/>
      <c r="H9" s="10"/>
      <c r="I9" s="10">
        <f t="shared" si="5"/>
        <v>9405</v>
      </c>
      <c r="J9" s="10">
        <f t="shared" si="3"/>
        <v>12112866924.681631</v>
      </c>
      <c r="K9" s="11">
        <f t="shared" si="4"/>
        <v>2.1900000000000031E-2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11"/>
      <c r="H10" s="10"/>
      <c r="I10" s="10">
        <f t="shared" si="5"/>
        <v>9405</v>
      </c>
      <c r="J10" s="10">
        <f t="shared" si="3"/>
        <v>11853280090.695402</v>
      </c>
      <c r="K10" s="11">
        <f t="shared" si="4"/>
        <v>1.8899999999999917E-2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11"/>
      <c r="H11" s="10"/>
      <c r="I11" s="10">
        <f t="shared" si="5"/>
        <v>9405</v>
      </c>
      <c r="J11" s="10">
        <f t="shared" si="3"/>
        <v>11633408666.891159</v>
      </c>
      <c r="K11" s="11">
        <f t="shared" si="4"/>
        <v>4.0899999999999936E-2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11"/>
      <c r="H12" s="10"/>
      <c r="I12" s="10">
        <f t="shared" si="5"/>
        <v>9405</v>
      </c>
      <c r="J12" s="10">
        <f t="shared" si="3"/>
        <v>11176298075.599154</v>
      </c>
      <c r="K12" s="11">
        <f t="shared" si="4"/>
        <v>3.5199999999999898E-2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11"/>
      <c r="H13" s="10"/>
      <c r="I13" s="10">
        <f t="shared" si="5"/>
        <v>9405</v>
      </c>
      <c r="J13" s="10">
        <f t="shared" si="3"/>
        <v>10796269392.966726</v>
      </c>
      <c r="K13" s="11">
        <f t="shared" si="4"/>
        <v>3.5800000000000054E-2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11"/>
      <c r="H14" s="10"/>
      <c r="I14" s="10">
        <f t="shared" si="5"/>
        <v>9405</v>
      </c>
      <c r="J14" s="10">
        <f t="shared" si="3"/>
        <v>10423121638.315046</v>
      </c>
      <c r="K14" s="11">
        <f t="shared" si="4"/>
        <v>6.150000000000011E-2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11"/>
      <c r="H15" s="10"/>
      <c r="I15" s="10">
        <f t="shared" si="5"/>
        <v>9405</v>
      </c>
      <c r="J15" s="10">
        <f t="shared" si="3"/>
        <v>9819238472.2704144</v>
      </c>
      <c r="K15" s="11">
        <f t="shared" si="4"/>
        <v>5.2499999999999991E-2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11"/>
      <c r="H16" s="10"/>
      <c r="I16" s="10">
        <f t="shared" si="5"/>
        <v>9405</v>
      </c>
      <c r="J16" s="10">
        <f t="shared" si="3"/>
        <v>9329442728.9980183</v>
      </c>
      <c r="K16" s="11">
        <f t="shared" si="4"/>
        <v>7.6000000000000512E-3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11"/>
      <c r="H17" s="10"/>
      <c r="I17" s="10">
        <f t="shared" si="5"/>
        <v>9405</v>
      </c>
      <c r="J17" s="10">
        <f t="shared" si="3"/>
        <v>9259073768.3584938</v>
      </c>
      <c r="K17" s="11">
        <f t="shared" si="4"/>
        <v>1.21E-2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11"/>
      <c r="H18" s="10"/>
      <c r="I18" s="10">
        <f t="shared" si="5"/>
        <v>9405</v>
      </c>
      <c r="J18" s="10">
        <f t="shared" si="3"/>
        <v>9148378389.8414135</v>
      </c>
      <c r="K18" s="11">
        <f t="shared" si="4"/>
        <v>3.7300000000000111E-2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11"/>
      <c r="H19" s="10"/>
      <c r="I19" s="10">
        <f t="shared" si="5"/>
        <v>9405</v>
      </c>
      <c r="J19" s="10">
        <f t="shared" si="3"/>
        <v>8819414238.7365398</v>
      </c>
      <c r="K19" s="11">
        <f t="shared" si="4"/>
        <v>3.7600000000000078E-2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11"/>
      <c r="H20" s="10"/>
      <c r="I20" s="10">
        <f t="shared" si="5"/>
        <v>9405</v>
      </c>
      <c r="J20" s="10">
        <f t="shared" si="3"/>
        <v>8499820970.2549524</v>
      </c>
      <c r="K20" s="11">
        <f t="shared" si="4"/>
        <v>3.8000000000000034E-2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11"/>
      <c r="H21" s="10"/>
      <c r="I21" s="10">
        <f t="shared" si="5"/>
        <v>9405</v>
      </c>
      <c r="J21" s="10">
        <f t="shared" si="3"/>
        <v>8188652187.1434994</v>
      </c>
      <c r="K21" s="11">
        <f t="shared" si="4"/>
        <v>4.0100000000000025E-2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11"/>
      <c r="H22" s="10"/>
      <c r="I22" s="10">
        <f t="shared" si="5"/>
        <v>9405</v>
      </c>
      <c r="J22" s="10">
        <f t="shared" si="3"/>
        <v>7872947011.9637527</v>
      </c>
      <c r="K22" s="11">
        <f t="shared" si="4"/>
        <v>4.8899999999999944E-2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11"/>
      <c r="H23" s="10"/>
      <c r="I23" s="10">
        <f t="shared" si="5"/>
        <v>9405</v>
      </c>
      <c r="J23" s="10">
        <f t="shared" si="3"/>
        <v>7505908105.5999174</v>
      </c>
      <c r="K23" s="11">
        <f t="shared" si="4"/>
        <v>8.3900000000000086E-2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11"/>
      <c r="H24" s="10"/>
      <c r="I24" s="10">
        <f t="shared" si="5"/>
        <v>9405</v>
      </c>
      <c r="J24" s="10">
        <f t="shared" si="3"/>
        <v>6924908299.289526</v>
      </c>
      <c r="K24" s="11">
        <f t="shared" si="4"/>
        <v>0.11810000000000009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11"/>
      <c r="H25" s="10"/>
      <c r="I25" s="10">
        <f t="shared" si="5"/>
        <v>9405</v>
      </c>
      <c r="J25" s="10">
        <f t="shared" si="3"/>
        <v>6193460602.172905</v>
      </c>
      <c r="K25" s="11">
        <f t="shared" si="4"/>
        <v>8.1599999999999673E-2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11"/>
      <c r="H26" s="10"/>
      <c r="I26" s="10">
        <f t="shared" si="5"/>
        <v>9405</v>
      </c>
      <c r="J26" s="10">
        <f t="shared" si="3"/>
        <v>5726202479.8196249</v>
      </c>
      <c r="K26" s="11">
        <f t="shared" si="4"/>
        <v>1.5900000000000025E-2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11"/>
      <c r="H27" s="10"/>
      <c r="I27" s="10">
        <f t="shared" si="5"/>
        <v>9405</v>
      </c>
      <c r="J27" s="10">
        <f t="shared" si="3"/>
        <v>5636580844.3937645</v>
      </c>
      <c r="K27" s="11">
        <f t="shared" si="4"/>
        <v>1.4299999999999979E-2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11"/>
      <c r="H28" s="10"/>
      <c r="I28" s="10">
        <f t="shared" si="5"/>
        <v>9405</v>
      </c>
      <c r="J28" s="10">
        <f t="shared" si="3"/>
        <v>5557114112.5838156</v>
      </c>
      <c r="K28" s="11">
        <f t="shared" si="4"/>
        <v>3.0000000000000027E-2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11"/>
      <c r="H29" s="10"/>
      <c r="I29" s="10">
        <f t="shared" si="5"/>
        <v>9405</v>
      </c>
      <c r="J29" s="10">
        <f t="shared" si="3"/>
        <v>5395256419.9842873</v>
      </c>
      <c r="K29" s="11">
        <f t="shared" si="4"/>
        <v>1.1800000000000033E-2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11"/>
      <c r="H30" s="10"/>
      <c r="I30" s="10">
        <f t="shared" si="5"/>
        <v>9405</v>
      </c>
      <c r="J30" s="10">
        <f t="shared" si="3"/>
        <v>5332334868.5355673</v>
      </c>
      <c r="K30" s="11">
        <f t="shared" si="4"/>
        <v>-2.8000000000001357E-3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11"/>
      <c r="H31" s="10"/>
      <c r="I31" s="10">
        <f t="shared" si="5"/>
        <v>9405</v>
      </c>
      <c r="J31" s="10">
        <f t="shared" si="3"/>
        <v>5347307329.0569277</v>
      </c>
      <c r="K31" s="11">
        <f t="shared" si="4"/>
        <v>-6.0000000000015596E-4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11"/>
      <c r="H32" s="10"/>
      <c r="I32" s="10">
        <f t="shared" si="5"/>
        <v>9405</v>
      </c>
      <c r="J32" s="10">
        <f t="shared" si="3"/>
        <v>5350517639.6407127</v>
      </c>
      <c r="K32" s="11">
        <f t="shared" si="4"/>
        <v>2.0900000000000141E-2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11"/>
      <c r="H33" s="10"/>
      <c r="I33" s="10">
        <f t="shared" si="5"/>
        <v>9405</v>
      </c>
      <c r="J33" s="10">
        <f t="shared" si="3"/>
        <v>5240981133.9413385</v>
      </c>
      <c r="K33" s="11">
        <f t="shared" si="4"/>
        <v>2.4599999999999955E-2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11"/>
      <c r="H34" s="10"/>
      <c r="I34" s="10">
        <f t="shared" si="5"/>
        <v>9405</v>
      </c>
      <c r="J34" s="10">
        <f t="shared" ref="J34:J65" si="6">IF(I34="","",I34*C34)</f>
        <v>5115148481.3013258</v>
      </c>
      <c r="K34" s="11">
        <f t="shared" ref="K34:K65" si="7">IFERROR(J34/J35-1,"")</f>
        <v>-6.7000000000000393E-3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11"/>
      <c r="H35" s="10"/>
      <c r="I35" s="10">
        <f t="shared" ref="I35:I66" si="8">IF(H35&lt;&gt;"",H35,I34/(1+IF(G34="",0,G34)))</f>
        <v>9405</v>
      </c>
      <c r="J35" s="10">
        <f t="shared" si="6"/>
        <v>5149651143.9658976</v>
      </c>
      <c r="K35" s="11">
        <f t="shared" si="7"/>
        <v>-8.2600000000000007E-2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11"/>
      <c r="H36" s="10"/>
      <c r="I36" s="10">
        <f t="shared" si="8"/>
        <v>9405</v>
      </c>
      <c r="J36" s="10">
        <f t="shared" si="6"/>
        <v>5613310599.4832106</v>
      </c>
      <c r="K36" s="11">
        <f t="shared" si="7"/>
        <v>-9.8200000000000065E-2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11"/>
      <c r="H37" s="10"/>
      <c r="I37" s="10">
        <f t="shared" si="8"/>
        <v>9405</v>
      </c>
      <c r="J37" s="10">
        <f t="shared" si="6"/>
        <v>6224562651.8997679</v>
      </c>
      <c r="K37" s="11">
        <f t="shared" si="7"/>
        <v>-3.6299999999999999E-2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11"/>
      <c r="H38" s="10"/>
      <c r="I38" s="10">
        <f t="shared" si="8"/>
        <v>9405</v>
      </c>
      <c r="J38" s="10">
        <f t="shared" si="6"/>
        <v>6459025269.1706629</v>
      </c>
      <c r="K38" s="11">
        <f t="shared" si="7"/>
        <v>3.2000000000000917E-3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11"/>
      <c r="H39" s="10"/>
      <c r="I39" s="10">
        <f t="shared" si="8"/>
        <v>9405</v>
      </c>
      <c r="J39" s="10">
        <f t="shared" si="6"/>
        <v>6438422317.75385</v>
      </c>
      <c r="K39" s="11">
        <f t="shared" si="7"/>
        <v>2.0100000000000007E-2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11"/>
      <c r="H40" s="10"/>
      <c r="I40" s="10">
        <f t="shared" si="8"/>
        <v>9405</v>
      </c>
      <c r="J40" s="10">
        <f t="shared" si="6"/>
        <v>6311559962.5074501</v>
      </c>
      <c r="K40" s="11">
        <f t="shared" si="7"/>
        <v>2.1300000000000097E-2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11"/>
      <c r="H41" s="10"/>
      <c r="I41" s="10">
        <f t="shared" si="8"/>
        <v>9405</v>
      </c>
      <c r="J41" s="10">
        <f t="shared" si="6"/>
        <v>6179927506.616518</v>
      </c>
      <c r="K41" s="11">
        <f t="shared" si="7"/>
        <v>2.2100000000000009E-2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11"/>
      <c r="H42" s="10"/>
      <c r="I42" s="10">
        <f t="shared" si="8"/>
        <v>9405</v>
      </c>
      <c r="J42" s="10">
        <f t="shared" si="6"/>
        <v>6046304184.1468716</v>
      </c>
      <c r="K42" s="11">
        <f t="shared" si="7"/>
        <v>2.4199999999999999E-2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11"/>
      <c r="H43" s="10"/>
      <c r="I43" s="10">
        <f t="shared" si="8"/>
        <v>9405</v>
      </c>
      <c r="J43" s="10">
        <f t="shared" si="6"/>
        <v>5903440914.0274086</v>
      </c>
      <c r="K43" s="11">
        <f t="shared" si="7"/>
        <v>2.53000000000001E-2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11"/>
      <c r="H44" s="10"/>
      <c r="I44" s="10">
        <f t="shared" si="8"/>
        <v>9405</v>
      </c>
      <c r="J44" s="10">
        <f t="shared" si="6"/>
        <v>5757769349.4854269</v>
      </c>
      <c r="K44" s="11">
        <f t="shared" si="7"/>
        <v>2.5299999999999878E-2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11"/>
      <c r="H45" s="10"/>
      <c r="I45" s="10">
        <f t="shared" si="8"/>
        <v>9405</v>
      </c>
      <c r="J45" s="10">
        <f t="shared" si="6"/>
        <v>5615692333.4491634</v>
      </c>
      <c r="K45" s="11">
        <f t="shared" si="7"/>
        <v>2.4400000000000199E-2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11"/>
      <c r="H46" s="10"/>
      <c r="I46" s="10">
        <f t="shared" si="8"/>
        <v>9405</v>
      </c>
      <c r="J46" s="10">
        <f t="shared" si="6"/>
        <v>5481933164.2416658</v>
      </c>
      <c r="K46" s="11">
        <f t="shared" si="7"/>
        <v>2.4299999999999988E-2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11"/>
      <c r="H47" s="10"/>
      <c r="I47" s="10">
        <f t="shared" si="8"/>
        <v>9405</v>
      </c>
      <c r="J47" s="10">
        <f t="shared" si="6"/>
        <v>5351882421.4016066</v>
      </c>
      <c r="K47" s="11">
        <f t="shared" si="7"/>
        <v>2.4499999999999966E-2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11"/>
      <c r="H48" s="10"/>
      <c r="I48" s="10">
        <f t="shared" si="8"/>
        <v>9405</v>
      </c>
      <c r="J48" s="10">
        <f t="shared" si="6"/>
        <v>5223896946.2192354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11"/>
      <c r="H49" s="10"/>
      <c r="I49" s="10">
        <f t="shared" si="8"/>
        <v>9405</v>
      </c>
      <c r="J49" s="10">
        <f t="shared" si="6"/>
        <v>5101960099.8332214</v>
      </c>
      <c r="K49" s="11">
        <f t="shared" si="7"/>
        <v>2.3600000000000287E-2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11"/>
      <c r="H50" s="10"/>
      <c r="I50" s="10">
        <f t="shared" si="8"/>
        <v>9405</v>
      </c>
      <c r="J50" s="10">
        <f t="shared" si="6"/>
        <v>4984329913.865983</v>
      </c>
      <c r="K50" s="11">
        <f t="shared" si="7"/>
        <v>2.3099999999999898E-2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11"/>
      <c r="H51" s="10"/>
      <c r="I51" s="10">
        <f t="shared" si="8"/>
        <v>9405</v>
      </c>
      <c r="J51" s="10">
        <f t="shared" si="6"/>
        <v>4871791529.5337534</v>
      </c>
      <c r="K51" s="11">
        <f t="shared" si="7"/>
        <v>2.269999999999972E-2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11"/>
      <c r="H52" s="10"/>
      <c r="I52" s="10">
        <f t="shared" si="8"/>
        <v>9405</v>
      </c>
      <c r="J52" s="10">
        <f t="shared" si="6"/>
        <v>4763656526.384819</v>
      </c>
      <c r="K52" s="11">
        <f t="shared" si="7"/>
        <v>2.2300000000000209E-2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11"/>
      <c r="H53" s="10"/>
      <c r="I53" s="10">
        <f t="shared" si="8"/>
        <v>9405</v>
      </c>
      <c r="J53" s="10">
        <f t="shared" si="6"/>
        <v>4659744230.0546007</v>
      </c>
      <c r="K53" s="11">
        <f t="shared" si="7"/>
        <v>2.1600000000000064E-2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11"/>
      <c r="H54" s="10"/>
      <c r="I54" s="10">
        <f t="shared" si="8"/>
        <v>9405</v>
      </c>
      <c r="J54" s="10">
        <f t="shared" si="6"/>
        <v>4561221838.3463202</v>
      </c>
      <c r="K54" s="11">
        <f t="shared" si="7"/>
        <v>2.1099999999999675E-2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11"/>
      <c r="H55" s="10"/>
      <c r="I55" s="10">
        <f t="shared" si="8"/>
        <v>9405</v>
      </c>
      <c r="J55" s="10">
        <f t="shared" si="6"/>
        <v>4466968796.7352085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11"/>
      <c r="H56" s="10"/>
      <c r="I56" s="10">
        <f t="shared" si="8"/>
        <v>9405</v>
      </c>
      <c r="J56" s="10">
        <f t="shared" si="6"/>
        <v>4377664442.1160412</v>
      </c>
      <c r="K56" s="11">
        <f t="shared" si="7"/>
        <v>1.9600000000000062E-2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11"/>
      <c r="H57" s="10"/>
      <c r="I57" s="10">
        <f t="shared" si="8"/>
        <v>9405</v>
      </c>
      <c r="J57" s="10">
        <f t="shared" si="6"/>
        <v>4293511614.4723821</v>
      </c>
      <c r="K57" s="11">
        <f t="shared" si="7"/>
        <v>1.9500000000000073E-2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11"/>
      <c r="H58" s="10"/>
      <c r="I58" s="10">
        <f t="shared" si="8"/>
        <v>9405</v>
      </c>
      <c r="J58" s="10">
        <f t="shared" si="6"/>
        <v>4211389518.8547149</v>
      </c>
      <c r="K58" s="11">
        <f t="shared" si="7"/>
        <v>1.9300000000000095E-2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11"/>
      <c r="H59" s="10"/>
      <c r="I59" s="10">
        <f t="shared" si="8"/>
        <v>9405</v>
      </c>
      <c r="J59" s="10">
        <f t="shared" si="6"/>
        <v>4131648698.9646955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11"/>
      <c r="H60" s="10"/>
      <c r="I60" s="10">
        <f t="shared" si="8"/>
        <v>9405</v>
      </c>
      <c r="J60" s="10">
        <f t="shared" si="6"/>
        <v>4054611088.2872386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11"/>
      <c r="H61" s="10"/>
      <c r="I61" s="10">
        <f t="shared" si="8"/>
        <v>9405</v>
      </c>
      <c r="J61" s="10">
        <f t="shared" si="6"/>
        <v>3980963267.8323402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11"/>
      <c r="H62" s="10"/>
      <c r="I62" s="10">
        <f t="shared" si="8"/>
        <v>9405</v>
      </c>
      <c r="J62" s="10">
        <f t="shared" si="6"/>
        <v>3910572954.6486645</v>
      </c>
      <c r="K62" s="11">
        <f t="shared" si="7"/>
        <v>1.7500000000000071E-2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11"/>
      <c r="H63" s="10"/>
      <c r="I63" s="10">
        <f t="shared" si="8"/>
        <v>9405</v>
      </c>
      <c r="J63" s="10">
        <f t="shared" si="6"/>
        <v>3843314943.1436505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11"/>
      <c r="H64" s="10"/>
      <c r="I64" s="10">
        <f t="shared" si="8"/>
        <v>9405</v>
      </c>
      <c r="J64" s="10">
        <f t="shared" si="6"/>
        <v>3779070740.5542293</v>
      </c>
      <c r="K64" s="11">
        <f t="shared" si="7"/>
        <v>1.7000000000000126E-2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11"/>
      <c r="H65" s="10"/>
      <c r="I65" s="10">
        <f t="shared" si="8"/>
        <v>9405</v>
      </c>
      <c r="J65" s="10">
        <f t="shared" si="6"/>
        <v>3715900433.1899991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11"/>
      <c r="H66" s="10"/>
      <c r="I66" s="10">
        <f t="shared" si="8"/>
        <v>9405</v>
      </c>
      <c r="J66" s="10">
        <f t="shared" ref="J66:J97" si="9">IF(I66="","",I66*C66)</f>
        <v>3653786069.9999995</v>
      </c>
      <c r="K66" s="11">
        <f t="shared" ref="K66:K97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9405</v>
      </c>
      <c r="J67" s="10">
        <f t="shared" si="9"/>
        <v>3592710000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workbookViewId="0">
      <selection activeCell="T8" sqref="T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6">
        <v>9106539</v>
      </c>
      <c r="G2" s="11"/>
      <c r="H2" s="10"/>
      <c r="I2" s="10">
        <f>IF(H2&lt;&gt;"",H2,1385)</f>
        <v>1385</v>
      </c>
      <c r="J2" s="10">
        <f t="shared" ref="J2:J33" si="3">IF(I2="","",I2*C2)</f>
        <v>12611059019.764866</v>
      </c>
      <c r="K2" s="11">
        <f t="shared" ref="K2:K33" si="4">IFERROR(J2/J3-1,"")</f>
        <v>1.330000000000009E-2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11"/>
      <c r="H3" s="10"/>
      <c r="I3" s="10">
        <f t="shared" ref="I3:I34" si="5">IF(H3&lt;&gt;"",H3,I2/(1+IF(G2="",0,G2)))</f>
        <v>1385</v>
      </c>
      <c r="J3" s="10">
        <f t="shared" si="3"/>
        <v>12445533425.209578</v>
      </c>
      <c r="K3" s="11">
        <f t="shared" si="4"/>
        <v>1.3500000000000068E-2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11"/>
      <c r="H4" s="10"/>
      <c r="I4" s="10">
        <f t="shared" si="5"/>
        <v>1385</v>
      </c>
      <c r="J4" s="10">
        <f t="shared" si="3"/>
        <v>12279756709.629578</v>
      </c>
      <c r="K4" s="11">
        <f t="shared" si="4"/>
        <v>1.2800000000000145E-2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11"/>
      <c r="H5" s="10"/>
      <c r="I5" s="10">
        <f t="shared" si="5"/>
        <v>1385</v>
      </c>
      <c r="J5" s="10">
        <f t="shared" si="3"/>
        <v>12124562312.035522</v>
      </c>
      <c r="K5" s="11">
        <f t="shared" si="4"/>
        <v>1.2699999999999934E-2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11"/>
      <c r="H6" s="10"/>
      <c r="I6" s="10">
        <f t="shared" si="5"/>
        <v>1385</v>
      </c>
      <c r="J6" s="10">
        <f t="shared" si="3"/>
        <v>11972511417.039125</v>
      </c>
      <c r="K6" s="11">
        <f t="shared" si="4"/>
        <v>1.4699999999999935E-2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11"/>
      <c r="H7" s="10"/>
      <c r="I7" s="10">
        <f t="shared" si="5"/>
        <v>1385</v>
      </c>
      <c r="J7" s="10">
        <f t="shared" si="3"/>
        <v>11799065159.198902</v>
      </c>
      <c r="K7" s="11">
        <f t="shared" si="4"/>
        <v>1.5200000000000102E-2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11"/>
      <c r="H8" s="10"/>
      <c r="I8" s="10">
        <f t="shared" si="5"/>
        <v>1385</v>
      </c>
      <c r="J8" s="10">
        <f t="shared" si="3"/>
        <v>11622404609.139973</v>
      </c>
      <c r="K8" s="11">
        <f t="shared" si="4"/>
        <v>1.3800000000000034E-2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11"/>
      <c r="H9" s="10"/>
      <c r="I9" s="10">
        <f t="shared" si="5"/>
        <v>1385</v>
      </c>
      <c r="J9" s="10">
        <f t="shared" si="3"/>
        <v>11464198667.528086</v>
      </c>
      <c r="K9" s="11">
        <f t="shared" si="4"/>
        <v>1.2699999999999934E-2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11"/>
      <c r="H10" s="10"/>
      <c r="I10" s="10">
        <f t="shared" si="5"/>
        <v>1385</v>
      </c>
      <c r="J10" s="10">
        <f t="shared" si="3"/>
        <v>11320429216.478806</v>
      </c>
      <c r="K10" s="11">
        <f t="shared" si="4"/>
        <v>1.6000000000002679E-3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11"/>
      <c r="H11" s="10"/>
      <c r="I11" s="10">
        <f t="shared" si="5"/>
        <v>1385</v>
      </c>
      <c r="J11" s="10">
        <f t="shared" si="3"/>
        <v>11302345463.736824</v>
      </c>
      <c r="K11" s="11">
        <f t="shared" si="4"/>
        <v>1.0299999999999976E-2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11"/>
      <c r="H12" s="10"/>
      <c r="I12" s="10">
        <f t="shared" si="5"/>
        <v>1385</v>
      </c>
      <c r="J12" s="10">
        <f t="shared" si="3"/>
        <v>11187118146.824532</v>
      </c>
      <c r="K12" s="11">
        <f t="shared" si="4"/>
        <v>1.069999999999971E-2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11"/>
      <c r="H13" s="10"/>
      <c r="I13" s="10">
        <f t="shared" si="5"/>
        <v>1385</v>
      </c>
      <c r="J13" s="10">
        <f t="shared" si="3"/>
        <v>11068683236.197224</v>
      </c>
      <c r="K13" s="11">
        <f t="shared" si="4"/>
        <v>1.1200000000000099E-2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11"/>
      <c r="H14" s="10"/>
      <c r="I14" s="10">
        <f t="shared" si="5"/>
        <v>1385</v>
      </c>
      <c r="J14" s="10">
        <f t="shared" si="3"/>
        <v>10946087061.112759</v>
      </c>
      <c r="K14" s="11">
        <f t="shared" si="4"/>
        <v>1.1600000000000055E-2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11"/>
      <c r="H15" s="10"/>
      <c r="I15" s="10">
        <f t="shared" si="5"/>
        <v>1385</v>
      </c>
      <c r="J15" s="10">
        <f t="shared" si="3"/>
        <v>10820568466.896755</v>
      </c>
      <c r="K15" s="11">
        <f t="shared" si="4"/>
        <v>1.21E-2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11"/>
      <c r="H16" s="10"/>
      <c r="I16" s="10">
        <f t="shared" si="5"/>
        <v>1385</v>
      </c>
      <c r="J16" s="10">
        <f t="shared" si="3"/>
        <v>10691204887.754921</v>
      </c>
      <c r="K16" s="11">
        <f t="shared" si="4"/>
        <v>1.2399999999999967E-2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11"/>
      <c r="H17" s="10"/>
      <c r="I17" s="10">
        <f t="shared" si="5"/>
        <v>1385</v>
      </c>
      <c r="J17" s="10">
        <f t="shared" si="3"/>
        <v>10560257692.369539</v>
      </c>
      <c r="K17" s="11">
        <f t="shared" si="4"/>
        <v>1.2799999999999923E-2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11"/>
      <c r="H18" s="10"/>
      <c r="I18" s="10">
        <f t="shared" si="5"/>
        <v>1385</v>
      </c>
      <c r="J18" s="10">
        <f t="shared" si="3"/>
        <v>10426794719.954126</v>
      </c>
      <c r="K18" s="11">
        <f t="shared" si="4"/>
        <v>1.3400000000000079E-2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11"/>
      <c r="H19" s="10"/>
      <c r="I19" s="10">
        <f t="shared" si="5"/>
        <v>1385</v>
      </c>
      <c r="J19" s="10">
        <f t="shared" si="3"/>
        <v>10288923149.747509</v>
      </c>
      <c r="K19" s="11">
        <f t="shared" si="4"/>
        <v>1.3900000000000023E-2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11"/>
      <c r="H20" s="10"/>
      <c r="I20" s="10">
        <f t="shared" si="5"/>
        <v>1385</v>
      </c>
      <c r="J20" s="10">
        <f t="shared" si="3"/>
        <v>10147867787.501242</v>
      </c>
      <c r="K20" s="11">
        <f t="shared" si="4"/>
        <v>1.4499999999999957E-2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11"/>
      <c r="H21" s="10"/>
      <c r="I21" s="10">
        <f t="shared" si="5"/>
        <v>1385</v>
      </c>
      <c r="J21" s="10">
        <f t="shared" si="3"/>
        <v>10002826798.916946</v>
      </c>
      <c r="K21" s="11">
        <f t="shared" si="4"/>
        <v>1.5099999999999669E-2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11"/>
      <c r="H22" s="10"/>
      <c r="I22" s="10">
        <f t="shared" si="5"/>
        <v>1385</v>
      </c>
      <c r="J22" s="10">
        <f t="shared" si="3"/>
        <v>9854030931.8460732</v>
      </c>
      <c r="K22" s="11">
        <f t="shared" si="4"/>
        <v>1.639999999999997E-2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11"/>
      <c r="H23" s="10"/>
      <c r="I23" s="10">
        <f t="shared" si="5"/>
        <v>1385</v>
      </c>
      <c r="J23" s="10">
        <f t="shared" si="3"/>
        <v>9695032400.4782295</v>
      </c>
      <c r="K23" s="11">
        <f t="shared" si="4"/>
        <v>1.7400000000000082E-2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11"/>
      <c r="H24" s="10"/>
      <c r="I24" s="10">
        <f t="shared" si="5"/>
        <v>1385</v>
      </c>
      <c r="J24" s="10">
        <f t="shared" si="3"/>
        <v>9529223904.5392456</v>
      </c>
      <c r="K24" s="11">
        <f t="shared" si="4"/>
        <v>1.7300000000000093E-2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11"/>
      <c r="H25" s="10"/>
      <c r="I25" s="10">
        <f t="shared" si="5"/>
        <v>1385</v>
      </c>
      <c r="J25" s="10">
        <f t="shared" si="3"/>
        <v>9367171831.8482704</v>
      </c>
      <c r="K25" s="11">
        <f t="shared" si="4"/>
        <v>1.6999999999999904E-2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11"/>
      <c r="H26" s="10"/>
      <c r="I26" s="10">
        <f t="shared" si="5"/>
        <v>1385</v>
      </c>
      <c r="J26" s="10">
        <f t="shared" si="3"/>
        <v>9210591771.7288799</v>
      </c>
      <c r="K26" s="11">
        <f t="shared" si="4"/>
        <v>1.760000000000006E-2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11"/>
      <c r="H27" s="10"/>
      <c r="I27" s="10">
        <f t="shared" si="5"/>
        <v>1385</v>
      </c>
      <c r="J27" s="10">
        <f t="shared" si="3"/>
        <v>9051289083.8530655</v>
      </c>
      <c r="K27" s="11">
        <f t="shared" si="4"/>
        <v>1.8699999999999939E-2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11"/>
      <c r="H28" s="10"/>
      <c r="I28" s="10">
        <f t="shared" si="5"/>
        <v>1385</v>
      </c>
      <c r="J28" s="10">
        <f t="shared" si="3"/>
        <v>8885137021.5500793</v>
      </c>
      <c r="K28" s="11">
        <f t="shared" si="4"/>
        <v>1.959999999999984E-2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11"/>
      <c r="H29" s="10"/>
      <c r="I29" s="10">
        <f t="shared" si="5"/>
        <v>1385</v>
      </c>
      <c r="J29" s="10">
        <f t="shared" si="3"/>
        <v>8714336035.2590046</v>
      </c>
      <c r="K29" s="11">
        <f t="shared" si="4"/>
        <v>2.0000000000000018E-2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11"/>
      <c r="H30" s="10"/>
      <c r="I30" s="10">
        <f t="shared" si="5"/>
        <v>1385</v>
      </c>
      <c r="J30" s="10">
        <f t="shared" si="3"/>
        <v>8543466701.2343178</v>
      </c>
      <c r="K30" s="11">
        <f t="shared" si="4"/>
        <v>2.0399999999999974E-2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11"/>
      <c r="H31" s="10"/>
      <c r="I31" s="10">
        <f t="shared" si="5"/>
        <v>1385</v>
      </c>
      <c r="J31" s="10">
        <f t="shared" si="3"/>
        <v>8372664348.5244198</v>
      </c>
      <c r="K31" s="11">
        <f t="shared" si="4"/>
        <v>2.1300000000000097E-2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11"/>
      <c r="H32" s="10"/>
      <c r="I32" s="10">
        <f t="shared" si="5"/>
        <v>1385</v>
      </c>
      <c r="J32" s="10">
        <f t="shared" si="3"/>
        <v>8198045969.3766956</v>
      </c>
      <c r="K32" s="11">
        <f t="shared" si="4"/>
        <v>2.2199999999999998E-2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11"/>
      <c r="H33" s="10"/>
      <c r="I33" s="10">
        <f t="shared" si="5"/>
        <v>1385</v>
      </c>
      <c r="J33" s="10">
        <f t="shared" si="3"/>
        <v>8020001926.6060419</v>
      </c>
      <c r="K33" s="11">
        <f t="shared" si="4"/>
        <v>2.2999999999999909E-2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11"/>
      <c r="H34" s="10"/>
      <c r="I34" s="10">
        <f t="shared" si="5"/>
        <v>1385</v>
      </c>
      <c r="J34" s="10">
        <f t="shared" ref="J34:J65" si="6">IF(I34="","",I34*C34)</f>
        <v>7839689077.8162689</v>
      </c>
      <c r="K34" s="11">
        <f t="shared" ref="K34:K65" si="7">IFERROR(J34/J35-1,"")</f>
        <v>2.3500000000000076E-2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11"/>
      <c r="H35" s="10"/>
      <c r="I35" s="10">
        <f t="shared" ref="I35:I66" si="8">IF(H35&lt;&gt;"",H35,I34/(1+IF(G34="",0,G34)))</f>
        <v>1385</v>
      </c>
      <c r="J35" s="10">
        <f t="shared" si="6"/>
        <v>7659686446.3275709</v>
      </c>
      <c r="K35" s="11">
        <f t="shared" si="7"/>
        <v>2.1400000000000086E-2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11"/>
      <c r="H36" s="10"/>
      <c r="I36" s="10">
        <f t="shared" si="8"/>
        <v>1385</v>
      </c>
      <c r="J36" s="10">
        <f t="shared" si="6"/>
        <v>7499203491.6071768</v>
      </c>
      <c r="K36" s="11">
        <f t="shared" si="7"/>
        <v>1.9900000000000029E-2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11"/>
      <c r="H37" s="10"/>
      <c r="I37" s="10">
        <f t="shared" si="8"/>
        <v>1385</v>
      </c>
      <c r="J37" s="10">
        <f t="shared" si="6"/>
        <v>7352881156.5910158</v>
      </c>
      <c r="K37" s="11">
        <f t="shared" si="7"/>
        <v>2.0000000000000018E-2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11"/>
      <c r="H38" s="10"/>
      <c r="I38" s="10">
        <f t="shared" si="8"/>
        <v>1385</v>
      </c>
      <c r="J38" s="10">
        <f t="shared" si="6"/>
        <v>7208707016.2657022</v>
      </c>
      <c r="K38" s="11">
        <f t="shared" si="7"/>
        <v>1.9600000000000062E-2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11"/>
      <c r="H39" s="10"/>
      <c r="I39" s="10">
        <f t="shared" si="8"/>
        <v>1385</v>
      </c>
      <c r="J39" s="10">
        <f t="shared" si="6"/>
        <v>7070132420.8176756</v>
      </c>
      <c r="K39" s="11">
        <f t="shared" si="7"/>
        <v>2.0199999999999996E-2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11"/>
      <c r="H40" s="10"/>
      <c r="I40" s="10">
        <f t="shared" si="8"/>
        <v>1385</v>
      </c>
      <c r="J40" s="10">
        <f t="shared" si="6"/>
        <v>6930143521.6797447</v>
      </c>
      <c r="K40" s="11">
        <f t="shared" si="7"/>
        <v>2.0599999999999952E-2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11"/>
      <c r="H41" s="10"/>
      <c r="I41" s="10">
        <f t="shared" si="8"/>
        <v>1385</v>
      </c>
      <c r="J41" s="10">
        <f t="shared" si="6"/>
        <v>6790264081.5988102</v>
      </c>
      <c r="K41" s="11">
        <f t="shared" si="7"/>
        <v>2.0399999999999974E-2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11"/>
      <c r="H42" s="10"/>
      <c r="I42" s="10">
        <f t="shared" si="8"/>
        <v>1385</v>
      </c>
      <c r="J42" s="10">
        <f t="shared" si="6"/>
        <v>6654512036.0631227</v>
      </c>
      <c r="K42" s="11">
        <f t="shared" si="7"/>
        <v>2.0699999999999941E-2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11"/>
      <c r="H43" s="10"/>
      <c r="I43" s="10">
        <f t="shared" si="8"/>
        <v>1385</v>
      </c>
      <c r="J43" s="10">
        <f t="shared" si="6"/>
        <v>6519557201.9820938</v>
      </c>
      <c r="K43" s="11">
        <f t="shared" si="7"/>
        <v>2.2100000000000009E-2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11"/>
      <c r="H44" s="10"/>
      <c r="I44" s="10">
        <f t="shared" si="8"/>
        <v>1385</v>
      </c>
      <c r="J44" s="10">
        <f t="shared" si="6"/>
        <v>6378590355.1336403</v>
      </c>
      <c r="K44" s="11">
        <f t="shared" si="7"/>
        <v>2.3099999999999898E-2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11"/>
      <c r="H45" s="10"/>
      <c r="I45" s="10">
        <f t="shared" si="8"/>
        <v>1385</v>
      </c>
      <c r="J45" s="10">
        <f t="shared" si="6"/>
        <v>6234571747.760376</v>
      </c>
      <c r="K45" s="11">
        <f t="shared" si="7"/>
        <v>2.4000000000000021E-2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11"/>
      <c r="H46" s="10"/>
      <c r="I46" s="10">
        <f t="shared" si="8"/>
        <v>1385</v>
      </c>
      <c r="J46" s="10">
        <f t="shared" si="6"/>
        <v>6088448972.4222422</v>
      </c>
      <c r="K46" s="11">
        <f t="shared" si="7"/>
        <v>2.3700000000000054E-2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11"/>
      <c r="H47" s="10"/>
      <c r="I47" s="10">
        <f t="shared" si="8"/>
        <v>1385</v>
      </c>
      <c r="J47" s="10">
        <f t="shared" si="6"/>
        <v>5947493379.3320713</v>
      </c>
      <c r="K47" s="11">
        <f t="shared" si="7"/>
        <v>2.3499999999999854E-2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11"/>
      <c r="H48" s="10"/>
      <c r="I48" s="10">
        <f t="shared" si="8"/>
        <v>1385</v>
      </c>
      <c r="J48" s="10">
        <f t="shared" si="6"/>
        <v>5810936374.5306025</v>
      </c>
      <c r="K48" s="11">
        <f t="shared" si="7"/>
        <v>2.4499999999999966E-2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11"/>
      <c r="H49" s="10"/>
      <c r="I49" s="10">
        <f t="shared" si="8"/>
        <v>1385</v>
      </c>
      <c r="J49" s="10">
        <f t="shared" si="6"/>
        <v>5671973035.1689625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11"/>
      <c r="H50" s="10"/>
      <c r="I50" s="10">
        <f t="shared" si="8"/>
        <v>1385</v>
      </c>
      <c r="J50" s="10">
        <f t="shared" si="6"/>
        <v>5532013103.6467009</v>
      </c>
      <c r="K50" s="11">
        <f t="shared" si="7"/>
        <v>2.6000000000000023E-2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11"/>
      <c r="H51" s="10"/>
      <c r="I51" s="10">
        <f t="shared" si="8"/>
        <v>1385</v>
      </c>
      <c r="J51" s="10">
        <f t="shared" si="6"/>
        <v>5391825637.0825539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11"/>
      <c r="H52" s="10"/>
      <c r="I52" s="10">
        <f t="shared" si="8"/>
        <v>1385</v>
      </c>
      <c r="J52" s="10">
        <f t="shared" si="6"/>
        <v>5258265688.592309</v>
      </c>
      <c r="K52" s="11">
        <f t="shared" si="7"/>
        <v>2.50999999999999E-2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11"/>
      <c r="H53" s="10"/>
      <c r="I53" s="10">
        <f t="shared" si="8"/>
        <v>1385</v>
      </c>
      <c r="J53" s="10">
        <f t="shared" si="6"/>
        <v>5129514865.4690371</v>
      </c>
      <c r="K53" s="11">
        <f t="shared" si="7"/>
        <v>2.6200000000000001E-2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11"/>
      <c r="H54" s="10"/>
      <c r="I54" s="10">
        <f t="shared" si="8"/>
        <v>1385</v>
      </c>
      <c r="J54" s="10">
        <f t="shared" si="6"/>
        <v>4998552782.5658131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11"/>
      <c r="H55" s="10"/>
      <c r="I55" s="10">
        <f t="shared" si="8"/>
        <v>1385</v>
      </c>
      <c r="J55" s="10">
        <f t="shared" si="6"/>
        <v>4868562172.5585012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11"/>
      <c r="H56" s="10"/>
      <c r="I56" s="10">
        <f t="shared" si="8"/>
        <v>1385</v>
      </c>
      <c r="J56" s="10">
        <f t="shared" si="6"/>
        <v>4740566867.1455717</v>
      </c>
      <c r="K56" s="11">
        <f t="shared" si="7"/>
        <v>2.7500000000000302E-2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11"/>
      <c r="H57" s="10"/>
      <c r="I57" s="10">
        <f t="shared" si="8"/>
        <v>1385</v>
      </c>
      <c r="J57" s="10">
        <f t="shared" si="6"/>
        <v>4613690381.6501904</v>
      </c>
      <c r="K57" s="11">
        <f t="shared" si="7"/>
        <v>2.7999999999999803E-2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11"/>
      <c r="H58" s="10"/>
      <c r="I58" s="10">
        <f t="shared" si="8"/>
        <v>1385</v>
      </c>
      <c r="J58" s="10">
        <f t="shared" si="6"/>
        <v>4488025663.0838432</v>
      </c>
      <c r="K58" s="11">
        <f t="shared" si="7"/>
        <v>2.849999999999997E-2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11"/>
      <c r="H59" s="10"/>
      <c r="I59" s="10">
        <f t="shared" si="8"/>
        <v>1385</v>
      </c>
      <c r="J59" s="10">
        <f t="shared" si="6"/>
        <v>4363661315.5895414</v>
      </c>
      <c r="K59" s="11">
        <f t="shared" si="7"/>
        <v>2.849999999999997E-2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11"/>
      <c r="H60" s="10"/>
      <c r="I60" s="10">
        <f t="shared" si="8"/>
        <v>1385</v>
      </c>
      <c r="J60" s="10">
        <f t="shared" si="6"/>
        <v>4242743136.2076244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11"/>
      <c r="H61" s="10"/>
      <c r="I61" s="10">
        <f t="shared" si="8"/>
        <v>1385</v>
      </c>
      <c r="J61" s="10">
        <f t="shared" si="6"/>
        <v>4125175630.7317691</v>
      </c>
      <c r="K61" s="11">
        <f t="shared" si="7"/>
        <v>2.849999999999997E-2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11"/>
      <c r="H62" s="10"/>
      <c r="I62" s="10">
        <f t="shared" si="8"/>
        <v>1385</v>
      </c>
      <c r="J62" s="10">
        <f t="shared" si="6"/>
        <v>4010865951.1247149</v>
      </c>
      <c r="K62" s="11">
        <f t="shared" si="7"/>
        <v>2.849999999999997E-2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11"/>
      <c r="H63" s="10"/>
      <c r="I63" s="10">
        <f t="shared" si="8"/>
        <v>1385</v>
      </c>
      <c r="J63" s="10">
        <f t="shared" si="6"/>
        <v>3899723822.1922364</v>
      </c>
      <c r="K63" s="11">
        <f t="shared" si="7"/>
        <v>2.849999999999997E-2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11"/>
      <c r="H64" s="10"/>
      <c r="I64" s="10">
        <f t="shared" si="8"/>
        <v>1385</v>
      </c>
      <c r="J64" s="10">
        <f t="shared" si="6"/>
        <v>3791661470.289</v>
      </c>
      <c r="K64" s="11">
        <f t="shared" si="7"/>
        <v>2.849999999999997E-2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11"/>
      <c r="H65" s="10"/>
      <c r="I65" s="10">
        <f t="shared" si="8"/>
        <v>1385</v>
      </c>
      <c r="J65" s="10">
        <f t="shared" si="6"/>
        <v>3686593554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11"/>
      <c r="H66" s="10"/>
      <c r="I66" s="10">
        <f t="shared" si="8"/>
        <v>1385</v>
      </c>
      <c r="J66" s="10">
        <f t="shared" ref="J66:J97" si="9">IF(I66="","",I66*C66)</f>
        <v>3586180500</v>
      </c>
      <c r="K66" s="11">
        <f t="shared" ref="K66:K97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1385</v>
      </c>
      <c r="J67" s="10">
        <f t="shared" si="9"/>
        <v>3490200000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5">
        <v>27332521</v>
      </c>
      <c r="G2" s="11"/>
      <c r="H2" s="10"/>
      <c r="I2" s="10">
        <f>IF(H2&lt;&gt;"",H2,302)</f>
        <v>302</v>
      </c>
      <c r="J2" s="10">
        <f t="shared" ref="J2:J33" si="3">IF(I2="","",I2*C2)</f>
        <v>8254415346.2574415</v>
      </c>
      <c r="K2" s="11">
        <f t="shared" ref="K2:K33" si="4">IFERROR(J2/J3-1,"")</f>
        <v>3.6100000000000021E-2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11"/>
      <c r="H3" s="10"/>
      <c r="I3" s="10">
        <f t="shared" ref="I3:I34" si="5">IF(H3&lt;&gt;"",H3,I2/(1+IF(G2="",0,G2)))</f>
        <v>302</v>
      </c>
      <c r="J3" s="10">
        <f t="shared" si="3"/>
        <v>7966813383.1265726</v>
      </c>
      <c r="K3" s="11">
        <f t="shared" si="4"/>
        <v>3.7300000000000111E-2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11"/>
      <c r="H4" s="10"/>
      <c r="I4" s="10">
        <f t="shared" si="5"/>
        <v>302</v>
      </c>
      <c r="J4" s="10">
        <f t="shared" si="3"/>
        <v>7680336819.7499008</v>
      </c>
      <c r="K4" s="11">
        <f t="shared" si="4"/>
        <v>3.8499999999999979E-2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11"/>
      <c r="H5" s="10"/>
      <c r="I5" s="10">
        <f t="shared" si="5"/>
        <v>302</v>
      </c>
      <c r="J5" s="10">
        <f t="shared" si="3"/>
        <v>7395605989.1669722</v>
      </c>
      <c r="K5" s="11">
        <f t="shared" si="4"/>
        <v>3.8799999999999946E-2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11"/>
      <c r="H6" s="10"/>
      <c r="I6" s="10">
        <f t="shared" si="5"/>
        <v>302</v>
      </c>
      <c r="J6" s="10">
        <f t="shared" si="3"/>
        <v>7119374267.5846863</v>
      </c>
      <c r="K6" s="11">
        <f t="shared" si="4"/>
        <v>3.8899999999999935E-2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11"/>
      <c r="H7" s="10"/>
      <c r="I7" s="10">
        <f t="shared" si="5"/>
        <v>302</v>
      </c>
      <c r="J7" s="10">
        <f t="shared" si="3"/>
        <v>6852800334.5699177</v>
      </c>
      <c r="K7" s="11">
        <f t="shared" si="4"/>
        <v>3.8499999999999979E-2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11"/>
      <c r="H8" s="10"/>
      <c r="I8" s="10">
        <f t="shared" si="5"/>
        <v>302</v>
      </c>
      <c r="J8" s="10">
        <f t="shared" si="3"/>
        <v>6598748516.6778212</v>
      </c>
      <c r="K8" s="11">
        <f t="shared" si="4"/>
        <v>3.8000000000000034E-2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11"/>
      <c r="H9" s="10"/>
      <c r="I9" s="10">
        <f t="shared" si="5"/>
        <v>302</v>
      </c>
      <c r="J9" s="10">
        <f t="shared" si="3"/>
        <v>6357175834.9497309</v>
      </c>
      <c r="K9" s="11">
        <f t="shared" si="4"/>
        <v>3.7800000000000056E-2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11"/>
      <c r="H10" s="10"/>
      <c r="I10" s="10">
        <f t="shared" si="5"/>
        <v>302</v>
      </c>
      <c r="J10" s="10">
        <f t="shared" si="3"/>
        <v>6125627129.4562836</v>
      </c>
      <c r="K10" s="11">
        <f t="shared" si="4"/>
        <v>3.74000000000001E-2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11"/>
      <c r="H11" s="10"/>
      <c r="I11" s="10">
        <f t="shared" si="5"/>
        <v>302</v>
      </c>
      <c r="J11" s="10">
        <f t="shared" si="3"/>
        <v>5904788056.1560469</v>
      </c>
      <c r="K11" s="11">
        <f t="shared" si="4"/>
        <v>3.6799999999999944E-2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11"/>
      <c r="H12" s="10"/>
      <c r="I12" s="10">
        <f t="shared" si="5"/>
        <v>302</v>
      </c>
      <c r="J12" s="10">
        <f t="shared" si="3"/>
        <v>5695204529.4714956</v>
      </c>
      <c r="K12" s="11">
        <f t="shared" si="4"/>
        <v>3.6499999999999977E-2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11"/>
      <c r="H13" s="10"/>
      <c r="I13" s="10">
        <f t="shared" si="5"/>
        <v>302</v>
      </c>
      <c r="J13" s="10">
        <f t="shared" si="3"/>
        <v>5494649811.356967</v>
      </c>
      <c r="K13" s="11">
        <f t="shared" si="4"/>
        <v>3.5900000000000043E-2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11"/>
      <c r="H14" s="10"/>
      <c r="I14" s="10">
        <f t="shared" si="5"/>
        <v>302</v>
      </c>
      <c r="J14" s="10">
        <f t="shared" si="3"/>
        <v>5304228025.2504749</v>
      </c>
      <c r="K14" s="11">
        <f t="shared" si="4"/>
        <v>3.4899999999999931E-2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11"/>
      <c r="H15" s="10"/>
      <c r="I15" s="10">
        <f t="shared" si="5"/>
        <v>302</v>
      </c>
      <c r="J15" s="10">
        <f t="shared" si="3"/>
        <v>5125353198.6186829</v>
      </c>
      <c r="K15" s="11">
        <f t="shared" si="4"/>
        <v>3.4099999999999797E-2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11"/>
      <c r="H16" s="10"/>
      <c r="I16" s="10">
        <f t="shared" si="5"/>
        <v>302</v>
      </c>
      <c r="J16" s="10">
        <f t="shared" si="3"/>
        <v>4956341938.5153112</v>
      </c>
      <c r="K16" s="11">
        <f t="shared" si="4"/>
        <v>3.3500000000000085E-2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11"/>
      <c r="H17" s="10"/>
      <c r="I17" s="10">
        <f t="shared" si="5"/>
        <v>302</v>
      </c>
      <c r="J17" s="10">
        <f t="shared" si="3"/>
        <v>4795686442.6853514</v>
      </c>
      <c r="K17" s="11">
        <f t="shared" si="4"/>
        <v>3.3099999999999907E-2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11"/>
      <c r="H18" s="10"/>
      <c r="I18" s="10">
        <f t="shared" si="5"/>
        <v>302</v>
      </c>
      <c r="J18" s="10">
        <f t="shared" si="3"/>
        <v>4642035081.4880962</v>
      </c>
      <c r="K18" s="11">
        <f t="shared" si="4"/>
        <v>3.2999999999999918E-2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11"/>
      <c r="H19" s="10"/>
      <c r="I19" s="10">
        <f t="shared" si="5"/>
        <v>302</v>
      </c>
      <c r="J19" s="10">
        <f t="shared" si="3"/>
        <v>4493741608.4105482</v>
      </c>
      <c r="K19" s="11">
        <f t="shared" si="4"/>
        <v>3.3500000000000085E-2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11"/>
      <c r="H20" s="10"/>
      <c r="I20" s="10">
        <f t="shared" si="5"/>
        <v>302</v>
      </c>
      <c r="J20" s="10">
        <f t="shared" si="3"/>
        <v>4348080898.3169308</v>
      </c>
      <c r="K20" s="11">
        <f t="shared" si="4"/>
        <v>3.400000000000003E-2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11"/>
      <c r="H21" s="10"/>
      <c r="I21" s="10">
        <f t="shared" si="5"/>
        <v>302</v>
      </c>
      <c r="J21" s="10">
        <f t="shared" si="3"/>
        <v>4205107251.7571864</v>
      </c>
      <c r="K21" s="11">
        <f t="shared" si="4"/>
        <v>3.3800000000000052E-2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11"/>
      <c r="H22" s="10"/>
      <c r="I22" s="10">
        <f t="shared" si="5"/>
        <v>302</v>
      </c>
      <c r="J22" s="10">
        <f t="shared" si="3"/>
        <v>4067621640.3145542</v>
      </c>
      <c r="K22" s="11">
        <f t="shared" si="4"/>
        <v>3.3400000000000096E-2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11"/>
      <c r="H23" s="10"/>
      <c r="I23" s="10">
        <f t="shared" si="5"/>
        <v>302</v>
      </c>
      <c r="J23" s="10">
        <f t="shared" si="3"/>
        <v>3936154093.5886917</v>
      </c>
      <c r="K23" s="11">
        <f t="shared" si="4"/>
        <v>3.2399999999999984E-2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11"/>
      <c r="H24" s="10"/>
      <c r="I24" s="10">
        <f t="shared" si="5"/>
        <v>302</v>
      </c>
      <c r="J24" s="10">
        <f t="shared" si="3"/>
        <v>3812625042.2207398</v>
      </c>
      <c r="K24" s="11">
        <f t="shared" si="4"/>
        <v>3.1999999999999806E-2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11"/>
      <c r="H25" s="10"/>
      <c r="I25" s="10">
        <f t="shared" si="5"/>
        <v>302</v>
      </c>
      <c r="J25" s="10">
        <f t="shared" si="3"/>
        <v>3694404110.6790118</v>
      </c>
      <c r="K25" s="11">
        <f t="shared" si="4"/>
        <v>3.2699999999999951E-2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11"/>
      <c r="H26" s="10"/>
      <c r="I26" s="10">
        <f t="shared" si="5"/>
        <v>302</v>
      </c>
      <c r="J26" s="10">
        <f t="shared" si="3"/>
        <v>3577422398.2560391</v>
      </c>
      <c r="K26" s="11">
        <f t="shared" si="4"/>
        <v>3.3599999999999852E-2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11"/>
      <c r="H27" s="10"/>
      <c r="I27" s="10">
        <f t="shared" si="5"/>
        <v>302</v>
      </c>
      <c r="J27" s="10">
        <f t="shared" si="3"/>
        <v>3461128481.2848678</v>
      </c>
      <c r="K27" s="11">
        <f t="shared" si="4"/>
        <v>3.3900000000000041E-2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11"/>
      <c r="H28" s="10"/>
      <c r="I28" s="10">
        <f t="shared" si="5"/>
        <v>302</v>
      </c>
      <c r="J28" s="10">
        <f t="shared" si="3"/>
        <v>3347643371.0077062</v>
      </c>
      <c r="K28" s="11">
        <f t="shared" si="4"/>
        <v>3.4100000000000019E-2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11"/>
      <c r="H29" s="10"/>
      <c r="I29" s="10">
        <f t="shared" si="5"/>
        <v>302</v>
      </c>
      <c r="J29" s="10">
        <f t="shared" si="3"/>
        <v>3237253042.2664213</v>
      </c>
      <c r="K29" s="11">
        <f t="shared" si="4"/>
        <v>3.400000000000003E-2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11"/>
      <c r="H30" s="10"/>
      <c r="I30" s="10">
        <f t="shared" si="5"/>
        <v>302</v>
      </c>
      <c r="J30" s="10">
        <f t="shared" si="3"/>
        <v>3130805650.1609488</v>
      </c>
      <c r="K30" s="11">
        <f t="shared" si="4"/>
        <v>3.4699999999999953E-2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11"/>
      <c r="H31" s="10"/>
      <c r="I31" s="10">
        <f t="shared" si="5"/>
        <v>302</v>
      </c>
      <c r="J31" s="10">
        <f t="shared" si="3"/>
        <v>3025810041.7134905</v>
      </c>
      <c r="K31" s="11">
        <f t="shared" si="4"/>
        <v>3.620000000000001E-2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11"/>
      <c r="H32" s="10"/>
      <c r="I32" s="10">
        <f t="shared" si="5"/>
        <v>302</v>
      </c>
      <c r="J32" s="10">
        <f t="shared" si="3"/>
        <v>2920102337.1101046</v>
      </c>
      <c r="K32" s="11">
        <f t="shared" si="4"/>
        <v>3.6799999999999722E-2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11"/>
      <c r="H33" s="10"/>
      <c r="I33" s="10">
        <f t="shared" si="5"/>
        <v>302</v>
      </c>
      <c r="J33" s="10">
        <f t="shared" si="3"/>
        <v>2816456729.465765</v>
      </c>
      <c r="K33" s="11">
        <f t="shared" si="4"/>
        <v>3.7099999999999911E-2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11"/>
      <c r="H34" s="10"/>
      <c r="I34" s="10">
        <f t="shared" si="5"/>
        <v>302</v>
      </c>
      <c r="J34" s="10">
        <f t="shared" ref="J34:J65" si="6">IF(I34="","",I34*C34)</f>
        <v>2715704107.0926285</v>
      </c>
      <c r="K34" s="11">
        <f t="shared" ref="K34:K65" si="7">IFERROR(J34/J35-1,"")</f>
        <v>3.71999999999999E-2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11"/>
      <c r="H35" s="10"/>
      <c r="I35" s="10">
        <f t="shared" ref="I35:I66" si="8">IF(H35&lt;&gt;"",H35,I34/(1+IF(G34="",0,G34)))</f>
        <v>302</v>
      </c>
      <c r="J35" s="10">
        <f t="shared" si="6"/>
        <v>2618303227.0464988</v>
      </c>
      <c r="K35" s="11">
        <f t="shared" si="7"/>
        <v>3.6799999999999722E-2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11"/>
      <c r="H36" s="10"/>
      <c r="I36" s="10">
        <f t="shared" si="8"/>
        <v>302</v>
      </c>
      <c r="J36" s="10">
        <f t="shared" si="6"/>
        <v>2525369624.8519478</v>
      </c>
      <c r="K36" s="11">
        <f t="shared" si="7"/>
        <v>3.640000000000021E-2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11"/>
      <c r="H37" s="10"/>
      <c r="I37" s="10">
        <f t="shared" si="8"/>
        <v>302</v>
      </c>
      <c r="J37" s="10">
        <f t="shared" si="6"/>
        <v>2436674666.9740906</v>
      </c>
      <c r="K37" s="11">
        <f t="shared" si="7"/>
        <v>3.5900000000000043E-2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11"/>
      <c r="H38" s="10"/>
      <c r="I38" s="10">
        <f t="shared" si="8"/>
        <v>302</v>
      </c>
      <c r="J38" s="10">
        <f t="shared" si="6"/>
        <v>2352229623.4907718</v>
      </c>
      <c r="K38" s="11">
        <f t="shared" si="7"/>
        <v>3.5099999999999909E-2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11"/>
      <c r="H39" s="10"/>
      <c r="I39" s="10">
        <f t="shared" si="8"/>
        <v>302</v>
      </c>
      <c r="J39" s="10">
        <f t="shared" si="6"/>
        <v>2272466064.6225214</v>
      </c>
      <c r="K39" s="11">
        <f t="shared" si="7"/>
        <v>3.4799999999999942E-2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11"/>
      <c r="H40" s="10"/>
      <c r="I40" s="10">
        <f t="shared" si="8"/>
        <v>302</v>
      </c>
      <c r="J40" s="10">
        <f t="shared" si="6"/>
        <v>2196043742.3874388</v>
      </c>
      <c r="K40" s="11">
        <f t="shared" si="7"/>
        <v>3.3800000000000052E-2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11"/>
      <c r="H41" s="10"/>
      <c r="I41" s="10">
        <f t="shared" si="8"/>
        <v>302</v>
      </c>
      <c r="J41" s="10">
        <f t="shared" si="6"/>
        <v>2124244285.5363114</v>
      </c>
      <c r="K41" s="11">
        <f t="shared" si="7"/>
        <v>3.3300000000000107E-2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11"/>
      <c r="H42" s="10"/>
      <c r="I42" s="10">
        <f t="shared" si="8"/>
        <v>302</v>
      </c>
      <c r="J42" s="10">
        <f t="shared" si="6"/>
        <v>2055786592.0219791</v>
      </c>
      <c r="K42" s="11">
        <f t="shared" si="7"/>
        <v>3.4100000000000019E-2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11"/>
      <c r="H43" s="10"/>
      <c r="I43" s="10">
        <f t="shared" si="8"/>
        <v>302</v>
      </c>
      <c r="J43" s="10">
        <f t="shared" si="6"/>
        <v>1987995930.7823026</v>
      </c>
      <c r="K43" s="11">
        <f t="shared" si="7"/>
        <v>3.4599999999999964E-2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11"/>
      <c r="H44" s="10"/>
      <c r="I44" s="10">
        <f t="shared" si="8"/>
        <v>302</v>
      </c>
      <c r="J44" s="10">
        <f t="shared" si="6"/>
        <v>1921511628.4383364</v>
      </c>
      <c r="K44" s="11">
        <f t="shared" si="7"/>
        <v>3.4100000000000019E-2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11"/>
      <c r="H45" s="10"/>
      <c r="I45" s="10">
        <f t="shared" si="8"/>
        <v>302</v>
      </c>
      <c r="J45" s="10">
        <f t="shared" si="6"/>
        <v>1858148755.8633945</v>
      </c>
      <c r="K45" s="11">
        <f t="shared" si="7"/>
        <v>3.0100000000000016E-2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11"/>
      <c r="H46" s="10"/>
      <c r="I46" s="10">
        <f t="shared" si="8"/>
        <v>302</v>
      </c>
      <c r="J46" s="10">
        <f t="shared" si="6"/>
        <v>1803852786.9754341</v>
      </c>
      <c r="K46" s="11">
        <f t="shared" si="7"/>
        <v>2.3400000000000087E-2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11"/>
      <c r="H47" s="10"/>
      <c r="I47" s="10">
        <f t="shared" si="8"/>
        <v>302</v>
      </c>
      <c r="J47" s="10">
        <f t="shared" si="6"/>
        <v>1762607765.2681589</v>
      </c>
      <c r="K47" s="11">
        <f t="shared" si="7"/>
        <v>1.5300000000000091E-2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11"/>
      <c r="H48" s="10"/>
      <c r="I48" s="10">
        <f t="shared" si="8"/>
        <v>302</v>
      </c>
      <c r="J48" s="10">
        <f t="shared" si="6"/>
        <v>1736046257.5279808</v>
      </c>
      <c r="K48" s="11">
        <f t="shared" si="7"/>
        <v>1.0599999999999943E-2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11"/>
      <c r="H49" s="10"/>
      <c r="I49" s="10">
        <f t="shared" si="8"/>
        <v>302</v>
      </c>
      <c r="J49" s="10">
        <f t="shared" si="6"/>
        <v>1717837183.3841093</v>
      </c>
      <c r="K49" s="11">
        <f t="shared" si="7"/>
        <v>1.0700000000000154E-2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11"/>
      <c r="H50" s="10"/>
      <c r="I50" s="10">
        <f t="shared" si="8"/>
        <v>302</v>
      </c>
      <c r="J50" s="10">
        <f t="shared" si="6"/>
        <v>1699650918.5555646</v>
      </c>
      <c r="K50" s="11">
        <f t="shared" si="7"/>
        <v>1.0799999999999921E-2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11"/>
      <c r="H51" s="10"/>
      <c r="I51" s="10">
        <f t="shared" si="8"/>
        <v>302</v>
      </c>
      <c r="J51" s="10">
        <f t="shared" si="6"/>
        <v>1681490817.724144</v>
      </c>
      <c r="K51" s="11">
        <f t="shared" si="7"/>
        <v>1.0699999999999932E-2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11"/>
      <c r="H52" s="10"/>
      <c r="I52" s="10">
        <f t="shared" si="8"/>
        <v>302</v>
      </c>
      <c r="J52" s="10">
        <f t="shared" si="6"/>
        <v>1663689341.7672348</v>
      </c>
      <c r="K52" s="11">
        <f t="shared" si="7"/>
        <v>1.0499999999999954E-2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11"/>
      <c r="H53" s="10"/>
      <c r="I53" s="10">
        <f t="shared" si="8"/>
        <v>302</v>
      </c>
      <c r="J53" s="10">
        <f t="shared" si="6"/>
        <v>1646402119.5123551</v>
      </c>
      <c r="K53" s="11">
        <f t="shared" si="7"/>
        <v>1.0299999999999976E-2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11"/>
      <c r="H54" s="10"/>
      <c r="I54" s="10">
        <f t="shared" si="8"/>
        <v>302</v>
      </c>
      <c r="J54" s="10">
        <f t="shared" si="6"/>
        <v>1629617063.7556717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11"/>
      <c r="H55" s="10"/>
      <c r="I55" s="10">
        <f t="shared" si="8"/>
        <v>302</v>
      </c>
      <c r="J55" s="10">
        <f t="shared" si="6"/>
        <v>1613482241.3422492</v>
      </c>
      <c r="K55" s="11">
        <f t="shared" si="7"/>
        <v>9.9000000000000199E-3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11"/>
      <c r="H56" s="10"/>
      <c r="I56" s="10">
        <f t="shared" si="8"/>
        <v>302</v>
      </c>
      <c r="J56" s="10">
        <f t="shared" si="6"/>
        <v>1597665354.3343391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11"/>
      <c r="H57" s="10"/>
      <c r="I57" s="10">
        <f t="shared" si="8"/>
        <v>302</v>
      </c>
      <c r="J57" s="10">
        <f t="shared" si="6"/>
        <v>1576695306.7545042</v>
      </c>
      <c r="K57" s="11">
        <f t="shared" si="7"/>
        <v>1.4499999999999957E-2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11"/>
      <c r="H58" s="10"/>
      <c r="I58" s="10">
        <f t="shared" si="8"/>
        <v>302</v>
      </c>
      <c r="J58" s="10">
        <f t="shared" si="6"/>
        <v>1554159986.9438188</v>
      </c>
      <c r="K58" s="11">
        <f t="shared" si="7"/>
        <v>1.5500000000000069E-2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11"/>
      <c r="H59" s="10"/>
      <c r="I59" s="10">
        <f t="shared" si="8"/>
        <v>302</v>
      </c>
      <c r="J59" s="10">
        <f t="shared" si="6"/>
        <v>1530438194.9225197</v>
      </c>
      <c r="K59" s="11">
        <f t="shared" si="7"/>
        <v>1.6499999999999959E-2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11"/>
      <c r="H60" s="10"/>
      <c r="I60" s="10">
        <f t="shared" si="8"/>
        <v>302</v>
      </c>
      <c r="J60" s="10">
        <f t="shared" si="6"/>
        <v>1505595863.1800489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11"/>
      <c r="H61" s="10"/>
      <c r="I61" s="10">
        <f t="shared" si="8"/>
        <v>302</v>
      </c>
      <c r="J61" s="10">
        <f t="shared" si="6"/>
        <v>1480428577.3648467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11"/>
      <c r="H62" s="10"/>
      <c r="I62" s="10">
        <f t="shared" si="8"/>
        <v>302</v>
      </c>
      <c r="J62" s="10">
        <f t="shared" si="6"/>
        <v>1455681983.6429172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11"/>
      <c r="H63" s="10"/>
      <c r="I63" s="10">
        <f t="shared" si="8"/>
        <v>302</v>
      </c>
      <c r="J63" s="10">
        <f t="shared" si="6"/>
        <v>1431349049.7963791</v>
      </c>
      <c r="K63" s="11">
        <f t="shared" si="7"/>
        <v>1.6999999999999904E-2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11"/>
      <c r="H64" s="10"/>
      <c r="I64" s="10">
        <f t="shared" si="8"/>
        <v>302</v>
      </c>
      <c r="J64" s="10">
        <f t="shared" si="6"/>
        <v>1407422861.1567149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11"/>
      <c r="H65" s="10"/>
      <c r="I65" s="10">
        <f t="shared" si="8"/>
        <v>302</v>
      </c>
      <c r="J65" s="10">
        <f t="shared" si="6"/>
        <v>1383896618.6398377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11"/>
      <c r="H66" s="10"/>
      <c r="I66" s="10">
        <f t="shared" si="8"/>
        <v>302</v>
      </c>
      <c r="J66" s="10">
        <f t="shared" ref="J66:J97" si="9">IF(I66="","",I66*C66)</f>
        <v>1360763636.8139999</v>
      </c>
      <c r="K66" s="11">
        <f t="shared" ref="K66:K97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5">
        <v>4430521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302</v>
      </c>
      <c r="J67" s="10">
        <f t="shared" si="9"/>
        <v>1338017342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5">
        <v>759043</v>
      </c>
      <c r="G2" s="11"/>
      <c r="H2" s="10"/>
      <c r="I2" s="10">
        <f>IF(H2&lt;&gt;"",H2,8492)</f>
        <v>8492</v>
      </c>
      <c r="J2" s="10">
        <f t="shared" ref="J2:J33" si="3">IF(I2="","",I2*C2)</f>
        <v>6446383791.6794319</v>
      </c>
      <c r="K2" s="11">
        <f t="shared" ref="K2:K33" si="4">IFERROR(J2/J3-1,"")</f>
        <v>4.1500000000000314E-2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11"/>
      <c r="H3" s="10"/>
      <c r="I3" s="10">
        <f t="shared" ref="I3:I34" si="5">IF(H3&lt;&gt;"",H3,I2/(1+IF(G2="",0,G2)))</f>
        <v>8492</v>
      </c>
      <c r="J3" s="10">
        <f t="shared" si="3"/>
        <v>6189518763.0143356</v>
      </c>
      <c r="K3" s="11">
        <f t="shared" si="4"/>
        <v>4.7800000000000065E-2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11"/>
      <c r="H4" s="10"/>
      <c r="I4" s="10">
        <f t="shared" si="5"/>
        <v>8492</v>
      </c>
      <c r="J4" s="10">
        <f t="shared" si="3"/>
        <v>5907156673.9972658</v>
      </c>
      <c r="K4" s="11">
        <f t="shared" si="4"/>
        <v>3.5900000000000043E-2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11"/>
      <c r="H5" s="10"/>
      <c r="I5" s="10">
        <f t="shared" si="5"/>
        <v>8492</v>
      </c>
      <c r="J5" s="10">
        <f t="shared" si="3"/>
        <v>5702439109.9500589</v>
      </c>
      <c r="K5" s="11">
        <f t="shared" si="4"/>
        <v>1.1600000000000055E-2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11"/>
      <c r="H6" s="10"/>
      <c r="I6" s="10">
        <f t="shared" si="5"/>
        <v>8492</v>
      </c>
      <c r="J6" s="10">
        <f t="shared" si="3"/>
        <v>5637049337.6335096</v>
      </c>
      <c r="K6" s="11">
        <f t="shared" si="4"/>
        <v>-2.7700000000000058E-2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11"/>
      <c r="H7" s="10"/>
      <c r="I7" s="10">
        <f t="shared" si="5"/>
        <v>8492</v>
      </c>
      <c r="J7" s="10">
        <f t="shared" si="3"/>
        <v>5797644078.6110353</v>
      </c>
      <c r="K7" s="11">
        <f t="shared" si="4"/>
        <v>4.170000000000007E-2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11"/>
      <c r="H8" s="10"/>
      <c r="I8" s="10">
        <f t="shared" si="5"/>
        <v>8492</v>
      </c>
      <c r="J8" s="10">
        <f t="shared" si="3"/>
        <v>5565560217.5396318</v>
      </c>
      <c r="K8" s="11">
        <f t="shared" si="4"/>
        <v>6.569999999999987E-2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11"/>
      <c r="H9" s="10"/>
      <c r="I9" s="10">
        <f t="shared" si="5"/>
        <v>8492</v>
      </c>
      <c r="J9" s="10">
        <f t="shared" si="3"/>
        <v>5222445545.2187595</v>
      </c>
      <c r="K9" s="11">
        <f t="shared" si="4"/>
        <v>5.9900000000000286E-2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11"/>
      <c r="H10" s="10"/>
      <c r="I10" s="10">
        <f t="shared" si="5"/>
        <v>8492</v>
      </c>
      <c r="J10" s="10">
        <f t="shared" si="3"/>
        <v>4927300259.664835</v>
      </c>
      <c r="K10" s="11">
        <f t="shared" si="4"/>
        <v>7.889999999999997E-2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11"/>
      <c r="H11" s="10"/>
      <c r="I11" s="10">
        <f t="shared" si="5"/>
        <v>8492</v>
      </c>
      <c r="J11" s="10">
        <f t="shared" si="3"/>
        <v>4566966595.2959824</v>
      </c>
      <c r="K11" s="11">
        <f t="shared" si="4"/>
        <v>7.7499999999999902E-2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11"/>
      <c r="H12" s="10"/>
      <c r="I12" s="10">
        <f t="shared" si="5"/>
        <v>8492</v>
      </c>
      <c r="J12" s="10">
        <f t="shared" si="3"/>
        <v>4238484079.1610045</v>
      </c>
      <c r="K12" s="11">
        <f t="shared" si="4"/>
        <v>7.6000000000000068E-2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11"/>
      <c r="H13" s="10"/>
      <c r="I13" s="10">
        <f t="shared" si="5"/>
        <v>8492</v>
      </c>
      <c r="J13" s="10">
        <f t="shared" si="3"/>
        <v>3939111597.7332754</v>
      </c>
      <c r="K13" s="11">
        <f t="shared" si="4"/>
        <v>7.4599999999999778E-2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11"/>
      <c r="H14" s="10"/>
      <c r="I14" s="10">
        <f t="shared" si="5"/>
        <v>8492</v>
      </c>
      <c r="J14" s="10">
        <f t="shared" si="3"/>
        <v>3665653822.5695848</v>
      </c>
      <c r="K14" s="11">
        <f t="shared" si="4"/>
        <v>7.3199999999999932E-2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11"/>
      <c r="H15" s="10"/>
      <c r="I15" s="10">
        <f t="shared" si="5"/>
        <v>8492</v>
      </c>
      <c r="J15" s="10">
        <f t="shared" si="3"/>
        <v>3415629726.5836611</v>
      </c>
      <c r="K15" s="11">
        <f t="shared" si="4"/>
        <v>7.1800000000000086E-2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11"/>
      <c r="H16" s="10"/>
      <c r="I16" s="10">
        <f t="shared" si="5"/>
        <v>8492</v>
      </c>
      <c r="J16" s="10">
        <f t="shared" si="3"/>
        <v>3186816315.1554961</v>
      </c>
      <c r="K16" s="11">
        <f t="shared" si="4"/>
        <v>3.6499999999999977E-2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11"/>
      <c r="H17" s="10"/>
      <c r="I17" s="10">
        <f t="shared" si="5"/>
        <v>8492</v>
      </c>
      <c r="J17" s="10">
        <f t="shared" si="3"/>
        <v>3074593647.0385876</v>
      </c>
      <c r="K17" s="11">
        <f t="shared" si="4"/>
        <v>2.6399999999999979E-2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11"/>
      <c r="H18" s="10"/>
      <c r="I18" s="10">
        <f t="shared" si="5"/>
        <v>8492</v>
      </c>
      <c r="J18" s="10">
        <f t="shared" si="3"/>
        <v>2995512126.8887253</v>
      </c>
      <c r="K18" s="11">
        <f t="shared" si="4"/>
        <v>2.629999999999999E-2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11"/>
      <c r="H19" s="10"/>
      <c r="I19" s="10">
        <f t="shared" si="5"/>
        <v>8492</v>
      </c>
      <c r="J19" s="10">
        <f t="shared" si="3"/>
        <v>2918749027.4663601</v>
      </c>
      <c r="K19" s="11">
        <f t="shared" si="4"/>
        <v>2.629999999999999E-2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11"/>
      <c r="H20" s="10"/>
      <c r="I20" s="10">
        <f t="shared" si="5"/>
        <v>8492</v>
      </c>
      <c r="J20" s="10">
        <f t="shared" si="3"/>
        <v>2843953061.9374065</v>
      </c>
      <c r="K20" s="11">
        <f t="shared" si="4"/>
        <v>2.6399999999999979E-2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11"/>
      <c r="H21" s="10"/>
      <c r="I21" s="10">
        <f t="shared" si="5"/>
        <v>8492</v>
      </c>
      <c r="J21" s="10">
        <f t="shared" si="3"/>
        <v>2770803840.5469666</v>
      </c>
      <c r="K21" s="11">
        <f t="shared" si="4"/>
        <v>2.629999999999999E-2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11"/>
      <c r="H22" s="10"/>
      <c r="I22" s="10">
        <f t="shared" si="5"/>
        <v>8492</v>
      </c>
      <c r="J22" s="10">
        <f t="shared" si="3"/>
        <v>2699799123.5963817</v>
      </c>
      <c r="K22" s="11">
        <f t="shared" si="4"/>
        <v>2.629999999999999E-2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11"/>
      <c r="H23" s="10"/>
      <c r="I23" s="10">
        <f t="shared" si="5"/>
        <v>8492</v>
      </c>
      <c r="J23" s="10">
        <f t="shared" si="3"/>
        <v>2630613976.026875</v>
      </c>
      <c r="K23" s="11">
        <f t="shared" si="4"/>
        <v>2.629999999999999E-2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11"/>
      <c r="H24" s="10"/>
      <c r="I24" s="10">
        <f t="shared" si="5"/>
        <v>8492</v>
      </c>
      <c r="J24" s="10">
        <f t="shared" si="3"/>
        <v>2563201769.4893064</v>
      </c>
      <c r="K24" s="11">
        <f t="shared" si="4"/>
        <v>2.629999999999999E-2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11"/>
      <c r="H25" s="10"/>
      <c r="I25" s="10">
        <f t="shared" si="5"/>
        <v>8492</v>
      </c>
      <c r="J25" s="10">
        <f t="shared" si="3"/>
        <v>2497517070.5342555</v>
      </c>
      <c r="K25" s="11">
        <f t="shared" si="4"/>
        <v>2.629999999999999E-2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11"/>
      <c r="H26" s="10"/>
      <c r="I26" s="10">
        <f t="shared" si="5"/>
        <v>8492</v>
      </c>
      <c r="J26" s="10">
        <f t="shared" si="3"/>
        <v>2433515609.9914799</v>
      </c>
      <c r="K26" s="11">
        <f t="shared" si="4"/>
        <v>-2.3100000000000009E-2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11"/>
      <c r="H27" s="10"/>
      <c r="I27" s="10">
        <f t="shared" si="5"/>
        <v>8492</v>
      </c>
      <c r="J27" s="10">
        <f t="shared" si="3"/>
        <v>2491059074.6150885</v>
      </c>
      <c r="K27" s="11">
        <f t="shared" si="4"/>
        <v>3.4500000000000197E-2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11"/>
      <c r="H28" s="10"/>
      <c r="I28" s="10">
        <f t="shared" si="5"/>
        <v>8492</v>
      </c>
      <c r="J28" s="10">
        <f t="shared" si="3"/>
        <v>2407983639.0672674</v>
      </c>
      <c r="K28" s="11">
        <f t="shared" si="4"/>
        <v>3.5600000000000076E-2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11"/>
      <c r="H29" s="10"/>
      <c r="I29" s="10">
        <f t="shared" si="5"/>
        <v>8492</v>
      </c>
      <c r="J29" s="10">
        <f t="shared" si="3"/>
        <v>2325206294.9664612</v>
      </c>
      <c r="K29" s="11">
        <f t="shared" si="4"/>
        <v>3.620000000000001E-2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11"/>
      <c r="H30" s="10"/>
      <c r="I30" s="10">
        <f t="shared" si="5"/>
        <v>8492</v>
      </c>
      <c r="J30" s="10">
        <f t="shared" si="3"/>
        <v>2243974420.9288373</v>
      </c>
      <c r="K30" s="11">
        <f t="shared" si="4"/>
        <v>3.6499999999999755E-2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11"/>
      <c r="H31" s="10"/>
      <c r="I31" s="10">
        <f t="shared" si="5"/>
        <v>8492</v>
      </c>
      <c r="J31" s="10">
        <f t="shared" si="3"/>
        <v>2164953614.0172095</v>
      </c>
      <c r="K31" s="11">
        <f t="shared" si="4"/>
        <v>3.6300000000000221E-2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11"/>
      <c r="H32" s="10"/>
      <c r="I32" s="10">
        <f t="shared" si="5"/>
        <v>8492</v>
      </c>
      <c r="J32" s="10">
        <f t="shared" si="3"/>
        <v>2089118608.5276554</v>
      </c>
      <c r="K32" s="11">
        <f t="shared" si="4"/>
        <v>3.6000000000000032E-2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11"/>
      <c r="H33" s="10"/>
      <c r="I33" s="10">
        <f t="shared" si="5"/>
        <v>8492</v>
      </c>
      <c r="J33" s="10">
        <f t="shared" si="3"/>
        <v>2016523753.4050727</v>
      </c>
      <c r="K33" s="11">
        <f t="shared" si="4"/>
        <v>3.5400000000000098E-2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11"/>
      <c r="H34" s="10"/>
      <c r="I34" s="10">
        <f t="shared" si="5"/>
        <v>8492</v>
      </c>
      <c r="J34" s="10">
        <f t="shared" ref="J34:J65" si="6">IF(I34="","",I34*C34)</f>
        <v>1947579441.1870508</v>
      </c>
      <c r="K34" s="11">
        <f t="shared" ref="K34:K65" si="7">IFERROR(J34/J35-1,"")</f>
        <v>3.4799999999999942E-2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11"/>
      <c r="H35" s="10"/>
      <c r="I35" s="10">
        <f t="shared" ref="I35:I66" si="8">IF(H35&lt;&gt;"",H35,I34/(1+IF(G34="",0,G34)))</f>
        <v>8492</v>
      </c>
      <c r="J35" s="10">
        <f t="shared" si="6"/>
        <v>1882082954.3748076</v>
      </c>
      <c r="K35" s="11">
        <f t="shared" si="7"/>
        <v>3.5400000000000098E-2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11"/>
      <c r="H36" s="10"/>
      <c r="I36" s="10">
        <f t="shared" si="8"/>
        <v>8492</v>
      </c>
      <c r="J36" s="10">
        <f t="shared" si="6"/>
        <v>1817735130.7463853</v>
      </c>
      <c r="K36" s="11">
        <f t="shared" si="7"/>
        <v>3.9700000000000069E-2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11"/>
      <c r="H37" s="10"/>
      <c r="I37" s="10">
        <f t="shared" si="8"/>
        <v>8492</v>
      </c>
      <c r="J37" s="10">
        <f t="shared" si="6"/>
        <v>1748326566.0732763</v>
      </c>
      <c r="K37" s="11">
        <f t="shared" si="7"/>
        <v>4.4200000000000017E-2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11"/>
      <c r="H38" s="10"/>
      <c r="I38" s="10">
        <f t="shared" si="8"/>
        <v>8492</v>
      </c>
      <c r="J38" s="10">
        <f t="shared" si="6"/>
        <v>1674321553.412446</v>
      </c>
      <c r="K38" s="11">
        <f t="shared" si="7"/>
        <v>4.5900000000000052E-2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11"/>
      <c r="H39" s="10"/>
      <c r="I39" s="10">
        <f t="shared" si="8"/>
        <v>8492</v>
      </c>
      <c r="J39" s="10">
        <f t="shared" si="6"/>
        <v>1600842865.8690562</v>
      </c>
      <c r="K39" s="11">
        <f t="shared" si="7"/>
        <v>4.7500000000000098E-2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11"/>
      <c r="H40" s="10"/>
      <c r="I40" s="10">
        <f t="shared" si="8"/>
        <v>8492</v>
      </c>
      <c r="J40" s="10">
        <f t="shared" si="6"/>
        <v>1528250945.9370465</v>
      </c>
      <c r="K40" s="11">
        <f t="shared" si="7"/>
        <v>4.9000000000000155E-2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11"/>
      <c r="H41" s="10"/>
      <c r="I41" s="10">
        <f t="shared" si="8"/>
        <v>8492</v>
      </c>
      <c r="J41" s="10">
        <f t="shared" si="6"/>
        <v>1456864581.4461834</v>
      </c>
      <c r="K41" s="11">
        <f t="shared" si="7"/>
        <v>5.0300000000000011E-2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11"/>
      <c r="H42" s="10"/>
      <c r="I42" s="10">
        <f t="shared" si="8"/>
        <v>8492</v>
      </c>
      <c r="J42" s="10">
        <f t="shared" si="6"/>
        <v>1387093765.0634899</v>
      </c>
      <c r="K42" s="11">
        <f t="shared" si="7"/>
        <v>5.1500000000000101E-2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11"/>
      <c r="H43" s="10"/>
      <c r="I43" s="10">
        <f t="shared" si="8"/>
        <v>8492</v>
      </c>
      <c r="J43" s="10">
        <f t="shared" si="6"/>
        <v>1319157170.7688918</v>
      </c>
      <c r="K43" s="11">
        <f t="shared" si="7"/>
        <v>5.2300000000000235E-2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11"/>
      <c r="H44" s="10"/>
      <c r="I44" s="10">
        <f t="shared" si="8"/>
        <v>8492</v>
      </c>
      <c r="J44" s="10">
        <f t="shared" si="6"/>
        <v>1253594194.4016836</v>
      </c>
      <c r="K44" s="11">
        <f t="shared" si="7"/>
        <v>5.3099999999999925E-2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11"/>
      <c r="H45" s="10"/>
      <c r="I45" s="10">
        <f t="shared" si="8"/>
        <v>8492</v>
      </c>
      <c r="J45" s="10">
        <f t="shared" si="6"/>
        <v>1190384763.461859</v>
      </c>
      <c r="K45" s="11">
        <f t="shared" si="7"/>
        <v>4.8100000000000032E-2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11"/>
      <c r="H46" s="10"/>
      <c r="I46" s="10">
        <f t="shared" si="8"/>
        <v>8492</v>
      </c>
      <c r="J46" s="10">
        <f t="shared" si="6"/>
        <v>1135754950.3500228</v>
      </c>
      <c r="K46" s="11">
        <f t="shared" si="7"/>
        <v>2.6000000000000023E-2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11"/>
      <c r="H47" s="10"/>
      <c r="I47" s="10">
        <f t="shared" si="8"/>
        <v>8492</v>
      </c>
      <c r="J47" s="10">
        <f t="shared" si="6"/>
        <v>1106973635.8187356</v>
      </c>
      <c r="K47" s="11">
        <f t="shared" si="7"/>
        <v>1.0499999999999954E-2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11"/>
      <c r="H48" s="10"/>
      <c r="I48" s="10">
        <f t="shared" si="8"/>
        <v>8492</v>
      </c>
      <c r="J48" s="10">
        <f t="shared" si="6"/>
        <v>1095471188.3411536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11"/>
      <c r="H49" s="10"/>
      <c r="I49" s="10">
        <f t="shared" si="8"/>
        <v>8492</v>
      </c>
      <c r="J49" s="10">
        <f t="shared" si="6"/>
        <v>1080133295.5444229</v>
      </c>
      <c r="K49" s="11">
        <f t="shared" si="7"/>
        <v>2.3800000000000043E-2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11"/>
      <c r="H50" s="10"/>
      <c r="I50" s="10">
        <f t="shared" si="8"/>
        <v>8492</v>
      </c>
      <c r="J50" s="10">
        <f t="shared" si="6"/>
        <v>1055023730.7525129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11"/>
      <c r="H51" s="10"/>
      <c r="I51" s="10">
        <f t="shared" si="8"/>
        <v>8492</v>
      </c>
      <c r="J51" s="10">
        <f t="shared" si="6"/>
        <v>1022805361.8541085</v>
      </c>
      <c r="K51" s="11">
        <f t="shared" si="7"/>
        <v>3.2699999999999951E-2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11"/>
      <c r="H52" s="10"/>
      <c r="I52" s="10">
        <f t="shared" si="8"/>
        <v>8492</v>
      </c>
      <c r="J52" s="10">
        <f t="shared" si="6"/>
        <v>990418671.30251622</v>
      </c>
      <c r="K52" s="11">
        <f t="shared" si="7"/>
        <v>3.5700000000000065E-2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11"/>
      <c r="H53" s="10"/>
      <c r="I53" s="10">
        <f t="shared" si="8"/>
        <v>8492</v>
      </c>
      <c r="J53" s="10">
        <f t="shared" si="6"/>
        <v>956279493.38854504</v>
      </c>
      <c r="K53" s="11">
        <f t="shared" si="7"/>
        <v>3.8499999999999979E-2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11"/>
      <c r="H54" s="10"/>
      <c r="I54" s="10">
        <f t="shared" si="8"/>
        <v>8492</v>
      </c>
      <c r="J54" s="10">
        <f t="shared" si="6"/>
        <v>920827629.64713049</v>
      </c>
      <c r="K54" s="11">
        <f t="shared" si="7"/>
        <v>3.9099999999999913E-2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11"/>
      <c r="H55" s="10"/>
      <c r="I55" s="10">
        <f t="shared" si="8"/>
        <v>8492</v>
      </c>
      <c r="J55" s="10">
        <f t="shared" si="6"/>
        <v>886178067.21887267</v>
      </c>
      <c r="K55" s="11">
        <f t="shared" si="7"/>
        <v>3.9800000000000058E-2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11"/>
      <c r="H56" s="10"/>
      <c r="I56" s="10">
        <f t="shared" si="8"/>
        <v>8492</v>
      </c>
      <c r="J56" s="10">
        <f t="shared" si="6"/>
        <v>852258191.20876384</v>
      </c>
      <c r="K56" s="11">
        <f t="shared" si="7"/>
        <v>4.0699999999999736E-2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11"/>
      <c r="H57" s="10"/>
      <c r="I57" s="10">
        <f t="shared" si="8"/>
        <v>8492</v>
      </c>
      <c r="J57" s="10">
        <f t="shared" si="6"/>
        <v>818927828.58534062</v>
      </c>
      <c r="K57" s="11">
        <f t="shared" si="7"/>
        <v>4.0699999999999958E-2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11"/>
      <c r="H58" s="10"/>
      <c r="I58" s="10">
        <f t="shared" si="8"/>
        <v>8492</v>
      </c>
      <c r="J58" s="10">
        <f t="shared" si="6"/>
        <v>786900959.53237307</v>
      </c>
      <c r="K58" s="11">
        <f t="shared" si="7"/>
        <v>4.049999999999998E-2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11"/>
      <c r="H59" s="10"/>
      <c r="I59" s="10">
        <f t="shared" si="8"/>
        <v>8492</v>
      </c>
      <c r="J59" s="10">
        <f t="shared" si="6"/>
        <v>756271945.73029613</v>
      </c>
      <c r="K59" s="11">
        <f t="shared" si="7"/>
        <v>4.0000000000000258E-2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11"/>
      <c r="H60" s="10"/>
      <c r="I60" s="10">
        <f t="shared" si="8"/>
        <v>8492</v>
      </c>
      <c r="J60" s="10">
        <f t="shared" si="6"/>
        <v>727184563.20220768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11"/>
      <c r="H61" s="10"/>
      <c r="I61" s="10">
        <f t="shared" si="8"/>
        <v>8492</v>
      </c>
      <c r="J61" s="10">
        <f t="shared" si="6"/>
        <v>699215926.1559689</v>
      </c>
      <c r="K61" s="11">
        <f t="shared" si="7"/>
        <v>4.0000000000000036E-2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11"/>
      <c r="H62" s="10"/>
      <c r="I62" s="10">
        <f t="shared" si="8"/>
        <v>8492</v>
      </c>
      <c r="J62" s="10">
        <f t="shared" si="6"/>
        <v>672323005.91920078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11"/>
      <c r="H63" s="10"/>
      <c r="I63" s="10">
        <f t="shared" si="8"/>
        <v>8492</v>
      </c>
      <c r="J63" s="10">
        <f t="shared" si="6"/>
        <v>646464428.7684623</v>
      </c>
      <c r="K63" s="11">
        <f t="shared" si="7"/>
        <v>4.0000000000000036E-2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11"/>
      <c r="H64" s="10"/>
      <c r="I64" s="10">
        <f t="shared" si="8"/>
        <v>8492</v>
      </c>
      <c r="J64" s="10">
        <f t="shared" si="6"/>
        <v>621600412.27736759</v>
      </c>
      <c r="K64" s="11">
        <f t="shared" si="7"/>
        <v>3.9000000000000146E-2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11"/>
      <c r="H65" s="10"/>
      <c r="I65" s="10">
        <f t="shared" si="8"/>
        <v>8492</v>
      </c>
      <c r="J65" s="10">
        <f t="shared" si="6"/>
        <v>598267961.76839995</v>
      </c>
      <c r="K65" s="11">
        <f t="shared" si="7"/>
        <v>3.8000000000000034E-2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11"/>
      <c r="H66" s="10"/>
      <c r="I66" s="10">
        <f t="shared" si="8"/>
        <v>8492</v>
      </c>
      <c r="J66" s="10">
        <f t="shared" ref="J66:J97" si="9">IF(I66="","",I66*C66)</f>
        <v>576366051.79999995</v>
      </c>
      <c r="K66" s="11">
        <f t="shared" ref="K66:K97" si="10">IFERROR(J66/J67-1,"")</f>
        <v>3.6999999999999922E-2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8492</v>
      </c>
      <c r="J67" s="10">
        <f t="shared" si="9"/>
        <v>555801400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5">
        <v>13815053</v>
      </c>
      <c r="G2" s="11"/>
      <c r="H2" s="10"/>
      <c r="I2" s="10">
        <f>IF(H2&lt;&gt;"",H2,16270)</f>
        <v>16270</v>
      </c>
      <c r="J2" s="10">
        <f t="shared" ref="J2:J33" si="3">IF(I2="","",I2*C2)</f>
        <v>224760831640.80518</v>
      </c>
      <c r="K2" s="11">
        <f t="shared" ref="K2:K33" si="4">IFERROR(J2/J3-1,"")</f>
        <v>3.4000000000000696E-3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11"/>
      <c r="H3" s="10"/>
      <c r="I3" s="10">
        <f t="shared" ref="I3:I34" si="5">IF(H3&lt;&gt;"",H3,I2/(1+IF(G2="",0,G2)))</f>
        <v>16270</v>
      </c>
      <c r="J3" s="10">
        <f t="shared" si="3"/>
        <v>223999234244.37427</v>
      </c>
      <c r="K3" s="11">
        <f t="shared" si="4"/>
        <v>3.6999999999998145E-3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11"/>
      <c r="H4" s="10"/>
      <c r="I4" s="10">
        <f t="shared" si="5"/>
        <v>16270</v>
      </c>
      <c r="J4" s="10">
        <f t="shared" si="3"/>
        <v>223173492322.78</v>
      </c>
      <c r="K4" s="11">
        <f t="shared" si="4"/>
        <v>4.0000000000000036E-3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11"/>
      <c r="H5" s="10"/>
      <c r="I5" s="10">
        <f t="shared" si="5"/>
        <v>16270</v>
      </c>
      <c r="J5" s="10">
        <f t="shared" si="3"/>
        <v>222284354903.16733</v>
      </c>
      <c r="K5" s="11">
        <f t="shared" si="4"/>
        <v>4.2999999999999705E-3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11"/>
      <c r="H6" s="10"/>
      <c r="I6" s="10">
        <f t="shared" si="5"/>
        <v>16270</v>
      </c>
      <c r="J6" s="10">
        <f t="shared" si="3"/>
        <v>221332624617.31287</v>
      </c>
      <c r="K6" s="11">
        <f t="shared" si="4"/>
        <v>4.4999999999999485E-3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11"/>
      <c r="H7" s="10"/>
      <c r="I7" s="10">
        <f t="shared" si="5"/>
        <v>16270</v>
      </c>
      <c r="J7" s="10">
        <f t="shared" si="3"/>
        <v>220341089713.60165</v>
      </c>
      <c r="K7" s="11">
        <f t="shared" si="4"/>
        <v>4.6999999999999265E-3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11"/>
      <c r="H8" s="10"/>
      <c r="I8" s="10">
        <f t="shared" si="5"/>
        <v>16270</v>
      </c>
      <c r="J8" s="10">
        <f t="shared" si="3"/>
        <v>219310331157.16302</v>
      </c>
      <c r="K8" s="11">
        <f t="shared" si="4"/>
        <v>4.7999999999999154E-3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11"/>
      <c r="H9" s="10"/>
      <c r="I9" s="10">
        <f t="shared" si="5"/>
        <v>16270</v>
      </c>
      <c r="J9" s="10">
        <f t="shared" si="3"/>
        <v>218262670339.53326</v>
      </c>
      <c r="K9" s="11">
        <f t="shared" si="4"/>
        <v>4.8999999999999044E-3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11"/>
      <c r="H10" s="10"/>
      <c r="I10" s="10">
        <f t="shared" si="5"/>
        <v>16270</v>
      </c>
      <c r="J10" s="10">
        <f t="shared" si="3"/>
        <v>217198398188.4101</v>
      </c>
      <c r="K10" s="11">
        <f t="shared" si="4"/>
        <v>4.9999999999998934E-3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11"/>
      <c r="H11" s="10"/>
      <c r="I11" s="10">
        <f t="shared" si="5"/>
        <v>16270</v>
      </c>
      <c r="J11" s="10">
        <f t="shared" si="3"/>
        <v>216117809142.69662</v>
      </c>
      <c r="K11" s="11">
        <f t="shared" si="4"/>
        <v>5.3000000000000824E-3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11"/>
      <c r="H12" s="10"/>
      <c r="I12" s="10">
        <f t="shared" si="5"/>
        <v>16270</v>
      </c>
      <c r="J12" s="10">
        <f t="shared" si="3"/>
        <v>214978423498.15637</v>
      </c>
      <c r="K12" s="11">
        <f t="shared" si="4"/>
        <v>5.6000000000000494E-3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11"/>
      <c r="H13" s="10"/>
      <c r="I13" s="10">
        <f t="shared" si="5"/>
        <v>16270</v>
      </c>
      <c r="J13" s="10">
        <f t="shared" si="3"/>
        <v>213781248506.51987</v>
      </c>
      <c r="K13" s="11">
        <f t="shared" si="4"/>
        <v>6.0999999999999943E-3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11"/>
      <c r="H14" s="10"/>
      <c r="I14" s="10">
        <f t="shared" si="5"/>
        <v>16270</v>
      </c>
      <c r="J14" s="10">
        <f t="shared" si="3"/>
        <v>212485089460.80893</v>
      </c>
      <c r="K14" s="11">
        <f t="shared" si="4"/>
        <v>6.4999999999999503E-3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11"/>
      <c r="H15" s="10"/>
      <c r="I15" s="10">
        <f t="shared" si="5"/>
        <v>16270</v>
      </c>
      <c r="J15" s="10">
        <f t="shared" si="3"/>
        <v>211112855897.47534</v>
      </c>
      <c r="K15" s="11">
        <f t="shared" si="4"/>
        <v>6.8999999999999062E-3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11"/>
      <c r="H16" s="10"/>
      <c r="I16" s="10">
        <f t="shared" si="5"/>
        <v>16270</v>
      </c>
      <c r="J16" s="10">
        <f t="shared" si="3"/>
        <v>209666159397.63168</v>
      </c>
      <c r="K16" s="11">
        <f t="shared" si="4"/>
        <v>7.5000000000000622E-3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11"/>
      <c r="H17" s="10"/>
      <c r="I17" s="10">
        <f t="shared" si="5"/>
        <v>16270</v>
      </c>
      <c r="J17" s="10">
        <f t="shared" si="3"/>
        <v>208105369129.16296</v>
      </c>
      <c r="K17" s="11">
        <f t="shared" si="4"/>
        <v>8.2999999999999741E-3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11"/>
      <c r="H18" s="10"/>
      <c r="I18" s="10">
        <f t="shared" si="5"/>
        <v>16270</v>
      </c>
      <c r="J18" s="10">
        <f t="shared" si="3"/>
        <v>206392312931.8288</v>
      </c>
      <c r="K18" s="11">
        <f t="shared" si="4"/>
        <v>9.300000000000086E-3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11"/>
      <c r="H19" s="10"/>
      <c r="I19" s="10">
        <f t="shared" si="5"/>
        <v>16270</v>
      </c>
      <c r="J19" s="10">
        <f t="shared" si="3"/>
        <v>204490550809.30228</v>
      </c>
      <c r="K19" s="11">
        <f t="shared" si="4"/>
        <v>1.0499999999999954E-2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11"/>
      <c r="H20" s="10"/>
      <c r="I20" s="10">
        <f t="shared" si="5"/>
        <v>16270</v>
      </c>
      <c r="J20" s="10">
        <f t="shared" si="3"/>
        <v>202365710845.42532</v>
      </c>
      <c r="K20" s="11">
        <f t="shared" si="4"/>
        <v>1.1600000000000055E-2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11"/>
      <c r="H21" s="10"/>
      <c r="I21" s="10">
        <f t="shared" si="5"/>
        <v>16270</v>
      </c>
      <c r="J21" s="10">
        <f t="shared" si="3"/>
        <v>200045186679.93802</v>
      </c>
      <c r="K21" s="11">
        <f t="shared" si="4"/>
        <v>1.21E-2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11"/>
      <c r="H22" s="10"/>
      <c r="I22" s="10">
        <f t="shared" si="5"/>
        <v>16270</v>
      </c>
      <c r="J22" s="10">
        <f t="shared" si="3"/>
        <v>197653578381.52161</v>
      </c>
      <c r="K22" s="11">
        <f t="shared" si="4"/>
        <v>1.18999999999998E-2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11"/>
      <c r="H23" s="10"/>
      <c r="I23" s="10">
        <f t="shared" si="5"/>
        <v>16270</v>
      </c>
      <c r="J23" s="10">
        <f t="shared" si="3"/>
        <v>195329161361.3219</v>
      </c>
      <c r="K23" s="11">
        <f t="shared" si="4"/>
        <v>1.110000000000011E-2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11"/>
      <c r="H24" s="10"/>
      <c r="I24" s="10">
        <f t="shared" si="5"/>
        <v>16270</v>
      </c>
      <c r="J24" s="10">
        <f t="shared" si="3"/>
        <v>193184809970.64771</v>
      </c>
      <c r="K24" s="11">
        <f t="shared" si="4"/>
        <v>1.0099999999999998E-2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11"/>
      <c r="H25" s="10"/>
      <c r="I25" s="10">
        <f t="shared" si="5"/>
        <v>16270</v>
      </c>
      <c r="J25" s="10">
        <f t="shared" si="3"/>
        <v>191253153124.09436</v>
      </c>
      <c r="K25" s="11">
        <f t="shared" si="4"/>
        <v>9.200000000000319E-3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11"/>
      <c r="H26" s="10"/>
      <c r="I26" s="10">
        <f t="shared" si="5"/>
        <v>16270</v>
      </c>
      <c r="J26" s="10">
        <f t="shared" si="3"/>
        <v>189509664213.33167</v>
      </c>
      <c r="K26" s="11">
        <f t="shared" si="4"/>
        <v>9.100000000000108E-3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11"/>
      <c r="H27" s="10"/>
      <c r="I27" s="10">
        <f t="shared" si="5"/>
        <v>16270</v>
      </c>
      <c r="J27" s="10">
        <f t="shared" si="3"/>
        <v>187800678043.1391</v>
      </c>
      <c r="K27" s="11">
        <f t="shared" si="4"/>
        <v>1.0099999999999998E-2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11"/>
      <c r="H28" s="10"/>
      <c r="I28" s="10">
        <f t="shared" si="5"/>
        <v>16270</v>
      </c>
      <c r="J28" s="10">
        <f t="shared" si="3"/>
        <v>185922857185.56488</v>
      </c>
      <c r="K28" s="11">
        <f t="shared" si="4"/>
        <v>1.18999999999998E-2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11"/>
      <c r="H29" s="10"/>
      <c r="I29" s="10">
        <f t="shared" si="5"/>
        <v>16270</v>
      </c>
      <c r="J29" s="10">
        <f t="shared" si="3"/>
        <v>183736394095.82458</v>
      </c>
      <c r="K29" s="11">
        <f t="shared" si="4"/>
        <v>1.4100000000000001E-2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11"/>
      <c r="H30" s="10"/>
      <c r="I30" s="10">
        <f t="shared" si="5"/>
        <v>16270</v>
      </c>
      <c r="J30" s="10">
        <f t="shared" si="3"/>
        <v>181181731679.14859</v>
      </c>
      <c r="K30" s="11">
        <f t="shared" si="4"/>
        <v>1.6000000000000014E-2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11"/>
      <c r="H31" s="10"/>
      <c r="I31" s="10">
        <f t="shared" si="5"/>
        <v>16270</v>
      </c>
      <c r="J31" s="10">
        <f t="shared" si="3"/>
        <v>178328476062.15411</v>
      </c>
      <c r="K31" s="11">
        <f t="shared" si="4"/>
        <v>1.7500000000000293E-2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11"/>
      <c r="H32" s="10"/>
      <c r="I32" s="10">
        <f t="shared" si="5"/>
        <v>16270</v>
      </c>
      <c r="J32" s="10">
        <f t="shared" si="3"/>
        <v>175261401535.28656</v>
      </c>
      <c r="K32" s="11">
        <f t="shared" si="4"/>
        <v>1.8199999999999994E-2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11"/>
      <c r="H33" s="10"/>
      <c r="I33" s="10">
        <f t="shared" si="5"/>
        <v>16270</v>
      </c>
      <c r="J33" s="10">
        <f t="shared" si="3"/>
        <v>172128659924.65781</v>
      </c>
      <c r="K33" s="11">
        <f t="shared" si="4"/>
        <v>1.8299999999999983E-2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11"/>
      <c r="H34" s="10"/>
      <c r="I34" s="10">
        <f t="shared" si="5"/>
        <v>16270</v>
      </c>
      <c r="J34" s="10">
        <f t="shared" ref="J34:J65" si="6">IF(I34="","",I34*C34)</f>
        <v>169035313684.2363</v>
      </c>
      <c r="K34" s="11">
        <f t="shared" ref="K34:K65" si="7">IFERROR(J34/J35-1,"")</f>
        <v>1.8199999999999994E-2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11"/>
      <c r="H35" s="10"/>
      <c r="I35" s="10">
        <f t="shared" ref="I35:I66" si="8">IF(H35&lt;&gt;"",H35,I34/(1+IF(G34="",0,G34)))</f>
        <v>16270</v>
      </c>
      <c r="J35" s="10">
        <f t="shared" si="6"/>
        <v>166013861406.63553</v>
      </c>
      <c r="K35" s="11">
        <f t="shared" si="7"/>
        <v>1.8399999999999972E-2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11"/>
      <c r="H36" s="10"/>
      <c r="I36" s="10">
        <f t="shared" si="8"/>
        <v>16270</v>
      </c>
      <c r="J36" s="10">
        <f t="shared" si="6"/>
        <v>163014396510.83615</v>
      </c>
      <c r="K36" s="11">
        <f t="shared" si="7"/>
        <v>1.859999999999995E-2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11"/>
      <c r="H37" s="10"/>
      <c r="I37" s="10">
        <f t="shared" si="8"/>
        <v>16270</v>
      </c>
      <c r="J37" s="10">
        <f t="shared" si="6"/>
        <v>160037695376.82718</v>
      </c>
      <c r="K37" s="11">
        <f t="shared" si="7"/>
        <v>1.9200000000000106E-2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11"/>
      <c r="H38" s="10"/>
      <c r="I38" s="10">
        <f t="shared" si="8"/>
        <v>16270</v>
      </c>
      <c r="J38" s="10">
        <f t="shared" si="6"/>
        <v>157022856531.42383</v>
      </c>
      <c r="K38" s="11">
        <f t="shared" si="7"/>
        <v>2.0100000000000007E-2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11"/>
      <c r="H39" s="10"/>
      <c r="I39" s="10">
        <f t="shared" si="8"/>
        <v>16270</v>
      </c>
      <c r="J39" s="10">
        <f t="shared" si="6"/>
        <v>153928885924.34451</v>
      </c>
      <c r="K39" s="11">
        <f t="shared" si="7"/>
        <v>2.100000000000013E-2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11"/>
      <c r="H40" s="10"/>
      <c r="I40" s="10">
        <f t="shared" si="8"/>
        <v>16270</v>
      </c>
      <c r="J40" s="10">
        <f t="shared" si="6"/>
        <v>150762865743.72626</v>
      </c>
      <c r="K40" s="11">
        <f t="shared" si="7"/>
        <v>2.179999999999982E-2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11"/>
      <c r="H41" s="10"/>
      <c r="I41" s="10">
        <f t="shared" si="8"/>
        <v>16270</v>
      </c>
      <c r="J41" s="10">
        <f t="shared" si="6"/>
        <v>147546355200.35846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11"/>
      <c r="H42" s="10"/>
      <c r="I42" s="10">
        <f t="shared" si="8"/>
        <v>16270</v>
      </c>
      <c r="J42" s="10">
        <f t="shared" si="6"/>
        <v>144271394544.20502</v>
      </c>
      <c r="K42" s="11">
        <f t="shared" si="7"/>
        <v>2.3700000000000054E-2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11"/>
      <c r="H43" s="10"/>
      <c r="I43" s="10">
        <f t="shared" si="8"/>
        <v>16270</v>
      </c>
      <c r="J43" s="10">
        <f t="shared" si="6"/>
        <v>140931322207.8783</v>
      </c>
      <c r="K43" s="11">
        <f t="shared" si="7"/>
        <v>2.4799999999999933E-2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11"/>
      <c r="H44" s="10"/>
      <c r="I44" s="10">
        <f t="shared" si="8"/>
        <v>16270</v>
      </c>
      <c r="J44" s="10">
        <f t="shared" si="6"/>
        <v>137520806213.77664</v>
      </c>
      <c r="K44" s="11">
        <f t="shared" si="7"/>
        <v>2.6000000000000245E-2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11"/>
      <c r="H45" s="10"/>
      <c r="I45" s="10">
        <f t="shared" si="8"/>
        <v>16270</v>
      </c>
      <c r="J45" s="10">
        <f t="shared" si="6"/>
        <v>134035873502.70625</v>
      </c>
      <c r="K45" s="11">
        <f t="shared" si="7"/>
        <v>2.7199999999999891E-2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11"/>
      <c r="H46" s="10"/>
      <c r="I46" s="10">
        <f t="shared" si="8"/>
        <v>16270</v>
      </c>
      <c r="J46" s="10">
        <f t="shared" si="6"/>
        <v>130486636976.93367</v>
      </c>
      <c r="K46" s="11">
        <f t="shared" si="7"/>
        <v>2.8200000000000003E-2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11"/>
      <c r="H47" s="10"/>
      <c r="I47" s="10">
        <f t="shared" si="8"/>
        <v>16270</v>
      </c>
      <c r="J47" s="10">
        <f t="shared" si="6"/>
        <v>126907836001.68613</v>
      </c>
      <c r="K47" s="11">
        <f t="shared" si="7"/>
        <v>2.8899999999999926E-2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11"/>
      <c r="H48" s="10"/>
      <c r="I48" s="10">
        <f t="shared" si="8"/>
        <v>16270</v>
      </c>
      <c r="J48" s="10">
        <f t="shared" si="6"/>
        <v>123343217029.53265</v>
      </c>
      <c r="K48" s="11">
        <f t="shared" si="7"/>
        <v>2.9199999999999893E-2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11"/>
      <c r="H49" s="10"/>
      <c r="I49" s="10">
        <f t="shared" si="8"/>
        <v>16270</v>
      </c>
      <c r="J49" s="10">
        <f t="shared" si="6"/>
        <v>119843778691.73404</v>
      </c>
      <c r="K49" s="11">
        <f t="shared" si="7"/>
        <v>2.9500000000000082E-2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11"/>
      <c r="H50" s="10"/>
      <c r="I50" s="10">
        <f t="shared" si="8"/>
        <v>16270</v>
      </c>
      <c r="J50" s="10">
        <f t="shared" si="6"/>
        <v>116409692755.4483</v>
      </c>
      <c r="K50" s="11">
        <f t="shared" si="7"/>
        <v>2.9800000000000049E-2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11"/>
      <c r="H51" s="10"/>
      <c r="I51" s="10">
        <f t="shared" si="8"/>
        <v>16270</v>
      </c>
      <c r="J51" s="10">
        <f t="shared" si="6"/>
        <v>113041068902.16382</v>
      </c>
      <c r="K51" s="11">
        <f t="shared" si="7"/>
        <v>3.0000000000000027E-2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11"/>
      <c r="H52" s="10"/>
      <c r="I52" s="10">
        <f t="shared" si="8"/>
        <v>16270</v>
      </c>
      <c r="J52" s="10">
        <f t="shared" si="6"/>
        <v>109748610584.62506</v>
      </c>
      <c r="K52" s="11">
        <f t="shared" si="7"/>
        <v>3.0200000000000005E-2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11"/>
      <c r="H53" s="10"/>
      <c r="I53" s="10">
        <f t="shared" si="8"/>
        <v>16270</v>
      </c>
      <c r="J53" s="10">
        <f t="shared" si="6"/>
        <v>106531363409.65353</v>
      </c>
      <c r="K53" s="11">
        <f t="shared" si="7"/>
        <v>3.0399999999999983E-2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11"/>
      <c r="H54" s="10"/>
      <c r="I54" s="10">
        <f t="shared" si="8"/>
        <v>16270</v>
      </c>
      <c r="J54" s="10">
        <f t="shared" si="6"/>
        <v>103388357346.32524</v>
      </c>
      <c r="K54" s="11">
        <f t="shared" si="7"/>
        <v>3.0499999999999972E-2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11"/>
      <c r="H55" s="10"/>
      <c r="I55" s="10">
        <f t="shared" si="8"/>
        <v>16270</v>
      </c>
      <c r="J55" s="10">
        <f t="shared" si="6"/>
        <v>100328342888.2341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11"/>
      <c r="H56" s="10"/>
      <c r="I56" s="10">
        <f t="shared" si="8"/>
        <v>16270</v>
      </c>
      <c r="J56" s="10">
        <f t="shared" si="6"/>
        <v>97358896543.652695</v>
      </c>
      <c r="K56" s="11">
        <f t="shared" si="7"/>
        <v>3.049999999999975E-2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11"/>
      <c r="H57" s="10"/>
      <c r="I57" s="10">
        <f t="shared" si="8"/>
        <v>16270</v>
      </c>
      <c r="J57" s="10">
        <f t="shared" si="6"/>
        <v>94477337742.506271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11"/>
      <c r="H58" s="10"/>
      <c r="I58" s="10">
        <f t="shared" si="8"/>
        <v>16270</v>
      </c>
      <c r="J58" s="10">
        <f t="shared" si="6"/>
        <v>91681065252.310791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11"/>
      <c r="H59" s="10"/>
      <c r="I59" s="10">
        <f t="shared" si="8"/>
        <v>16270</v>
      </c>
      <c r="J59" s="10">
        <f t="shared" si="6"/>
        <v>89010742963.408539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11"/>
      <c r="H60" s="10"/>
      <c r="I60" s="10">
        <f t="shared" si="8"/>
        <v>16270</v>
      </c>
      <c r="J60" s="10">
        <f t="shared" si="6"/>
        <v>86418197051.852951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11"/>
      <c r="H61" s="10"/>
      <c r="I61" s="10">
        <f t="shared" si="8"/>
        <v>16270</v>
      </c>
      <c r="J61" s="10">
        <f t="shared" si="6"/>
        <v>83901162186.264999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11"/>
      <c r="H62" s="10"/>
      <c r="I62" s="10">
        <f t="shared" si="8"/>
        <v>16270</v>
      </c>
      <c r="J62" s="10">
        <f t="shared" si="6"/>
        <v>81457439015.79126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11"/>
      <c r="H63" s="10"/>
      <c r="I63" s="10">
        <f t="shared" si="8"/>
        <v>16270</v>
      </c>
      <c r="J63" s="10">
        <f t="shared" si="6"/>
        <v>79084892248.341034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11"/>
      <c r="H64" s="10"/>
      <c r="I64" s="10">
        <f t="shared" si="8"/>
        <v>16270</v>
      </c>
      <c r="J64" s="10">
        <f t="shared" si="6"/>
        <v>76781448784.797119</v>
      </c>
      <c r="K64" s="11">
        <f t="shared" si="7"/>
        <v>2.8999999999999915E-2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11"/>
      <c r="H65" s="10"/>
      <c r="I65" s="10">
        <f t="shared" si="8"/>
        <v>16270</v>
      </c>
      <c r="J65" s="10">
        <f t="shared" si="6"/>
        <v>74617540121.279999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11"/>
      <c r="H66" s="10"/>
      <c r="I66" s="10">
        <f t="shared" si="8"/>
        <v>16270</v>
      </c>
      <c r="J66" s="10">
        <f t="shared" ref="J66:J97" si="9">IF(I66="","",I66*C66)</f>
        <v>72585155760</v>
      </c>
      <c r="K66" s="11">
        <f t="shared" ref="K66:K97" si="10">IFERROR(J66/J67-1,"")</f>
        <v>2.6999999999999913E-2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16270</v>
      </c>
      <c r="J67" s="10">
        <f t="shared" si="9"/>
        <v>70676880000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5"/>
      <c r="G2" s="11"/>
      <c r="H2" s="10"/>
      <c r="I2" s="10">
        <f>IF(H2&lt;&gt;"",H2,11270)</f>
        <v>11270</v>
      </c>
      <c r="J2" s="10">
        <f t="shared" ref="J2:J33" si="3">IF(I2="","",I2*C2)</f>
        <v>539645190.40945089</v>
      </c>
      <c r="K2" s="11">
        <f t="shared" ref="K2:K33" si="4">IFERROR(J2/J3-1,"")</f>
        <v>1.9500000000000073E-2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11"/>
      <c r="H3" s="10"/>
      <c r="I3" s="10">
        <f t="shared" ref="I3:I34" si="5">IF(H3&lt;&gt;"",H3,I2/(1+IF(G2="",0,G2)))</f>
        <v>11270</v>
      </c>
      <c r="J3" s="10">
        <f t="shared" si="3"/>
        <v>529323384.4133898</v>
      </c>
      <c r="K3" s="11">
        <f t="shared" si="4"/>
        <v>1.980000000000004E-2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11"/>
      <c r="H4" s="10"/>
      <c r="I4" s="10">
        <f t="shared" si="5"/>
        <v>11270</v>
      </c>
      <c r="J4" s="10">
        <f t="shared" si="3"/>
        <v>519046268.30102938</v>
      </c>
      <c r="K4" s="11">
        <f t="shared" si="4"/>
        <v>2.079999999999993E-2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11"/>
      <c r="H5" s="10"/>
      <c r="I5" s="10">
        <f t="shared" si="5"/>
        <v>11270</v>
      </c>
      <c r="J5" s="10">
        <f t="shared" si="3"/>
        <v>508470090.42028743</v>
      </c>
      <c r="K5" s="11">
        <f t="shared" si="4"/>
        <v>2.200000000000002E-2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11"/>
      <c r="H6" s="10"/>
      <c r="I6" s="10">
        <f t="shared" si="5"/>
        <v>11270</v>
      </c>
      <c r="J6" s="10">
        <f t="shared" si="3"/>
        <v>497524550.31339282</v>
      </c>
      <c r="K6" s="11">
        <f t="shared" si="4"/>
        <v>2.3300000000000098E-2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11"/>
      <c r="H7" s="10"/>
      <c r="I7" s="10">
        <f t="shared" si="5"/>
        <v>11270</v>
      </c>
      <c r="J7" s="10">
        <f t="shared" si="3"/>
        <v>486196179.33488989</v>
      </c>
      <c r="K7" s="11">
        <f t="shared" si="4"/>
        <v>2.4199999999999999E-2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11"/>
      <c r="H8" s="10"/>
      <c r="I8" s="10">
        <f t="shared" si="5"/>
        <v>11270</v>
      </c>
      <c r="J8" s="10">
        <f t="shared" si="3"/>
        <v>474708239.92861736</v>
      </c>
      <c r="K8" s="11">
        <f t="shared" si="4"/>
        <v>2.5199999999999889E-2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11"/>
      <c r="H9" s="10"/>
      <c r="I9" s="10">
        <f t="shared" si="5"/>
        <v>11270</v>
      </c>
      <c r="J9" s="10">
        <f t="shared" si="3"/>
        <v>463039640.97602171</v>
      </c>
      <c r="K9" s="11">
        <f t="shared" si="4"/>
        <v>2.6999999999999913E-2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11"/>
      <c r="H10" s="10"/>
      <c r="I10" s="10">
        <f t="shared" si="5"/>
        <v>11270</v>
      </c>
      <c r="J10" s="10">
        <f t="shared" si="3"/>
        <v>450866252.16749924</v>
      </c>
      <c r="K10" s="11">
        <f t="shared" si="4"/>
        <v>2.8599999999999737E-2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11"/>
      <c r="H11" s="10"/>
      <c r="I11" s="10">
        <f t="shared" si="5"/>
        <v>11270</v>
      </c>
      <c r="J11" s="10">
        <f t="shared" si="3"/>
        <v>438330013.77357507</v>
      </c>
      <c r="K11" s="11">
        <f t="shared" si="4"/>
        <v>2.9400000000000093E-2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11"/>
      <c r="H12" s="10"/>
      <c r="I12" s="10">
        <f t="shared" si="5"/>
        <v>11270</v>
      </c>
      <c r="J12" s="10">
        <f t="shared" si="3"/>
        <v>425811165.50765014</v>
      </c>
      <c r="K12" s="11">
        <f t="shared" si="4"/>
        <v>2.7300000000000102E-2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11"/>
      <c r="H13" s="10"/>
      <c r="I13" s="10">
        <f t="shared" si="5"/>
        <v>11270</v>
      </c>
      <c r="J13" s="10">
        <f t="shared" si="3"/>
        <v>414495439.99576569</v>
      </c>
      <c r="K13" s="11">
        <f t="shared" si="4"/>
        <v>2.7300000000000102E-2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11"/>
      <c r="H14" s="10"/>
      <c r="I14" s="10">
        <f t="shared" si="5"/>
        <v>11270</v>
      </c>
      <c r="J14" s="10">
        <f t="shared" si="3"/>
        <v>403480424.40938932</v>
      </c>
      <c r="K14" s="11">
        <f t="shared" si="4"/>
        <v>2.7300000000000102E-2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11"/>
      <c r="H15" s="10"/>
      <c r="I15" s="10">
        <f t="shared" si="5"/>
        <v>11270</v>
      </c>
      <c r="J15" s="10">
        <f t="shared" si="3"/>
        <v>392758127.52787817</v>
      </c>
      <c r="K15" s="11">
        <f t="shared" si="4"/>
        <v>2.7300000000000102E-2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11"/>
      <c r="H16" s="10"/>
      <c r="I16" s="10">
        <f t="shared" si="5"/>
        <v>11270</v>
      </c>
      <c r="J16" s="10">
        <f t="shared" si="3"/>
        <v>382320770.49340808</v>
      </c>
      <c r="K16" s="11">
        <f t="shared" si="4"/>
        <v>2.7300000000000102E-2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11"/>
      <c r="H17" s="10"/>
      <c r="I17" s="10">
        <f t="shared" si="5"/>
        <v>11270</v>
      </c>
      <c r="J17" s="10">
        <f t="shared" si="3"/>
        <v>372160781.16753435</v>
      </c>
      <c r="K17" s="11">
        <f t="shared" si="4"/>
        <v>2.7300000000000102E-2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11"/>
      <c r="H18" s="10"/>
      <c r="I18" s="10">
        <f t="shared" si="5"/>
        <v>11270</v>
      </c>
      <c r="J18" s="10">
        <f t="shared" si="3"/>
        <v>362270788.63772446</v>
      </c>
      <c r="K18" s="11">
        <f t="shared" si="4"/>
        <v>2.7300000000000102E-2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11"/>
      <c r="H19" s="10"/>
      <c r="I19" s="10">
        <f t="shared" si="5"/>
        <v>11270</v>
      </c>
      <c r="J19" s="10">
        <f t="shared" si="3"/>
        <v>352643617.8698768</v>
      </c>
      <c r="K19" s="11">
        <f t="shared" si="4"/>
        <v>2.8300000000000214E-2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11"/>
      <c r="H20" s="10"/>
      <c r="I20" s="10">
        <f t="shared" si="5"/>
        <v>11270</v>
      </c>
      <c r="J20" s="10">
        <f t="shared" si="3"/>
        <v>342938459.46696174</v>
      </c>
      <c r="K20" s="11">
        <f t="shared" si="4"/>
        <v>2.9500000000000082E-2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11"/>
      <c r="H21" s="10"/>
      <c r="I21" s="10">
        <f t="shared" si="5"/>
        <v>11270</v>
      </c>
      <c r="J21" s="10">
        <f t="shared" si="3"/>
        <v>333111665.33944798</v>
      </c>
      <c r="K21" s="11">
        <f t="shared" si="4"/>
        <v>3.2399999999999984E-2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11"/>
      <c r="H22" s="10"/>
      <c r="I22" s="10">
        <f t="shared" si="5"/>
        <v>11270</v>
      </c>
      <c r="J22" s="10">
        <f t="shared" si="3"/>
        <v>322657560.38303757</v>
      </c>
      <c r="K22" s="11">
        <f t="shared" si="4"/>
        <v>3.9599999999999858E-2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11"/>
      <c r="H23" s="10"/>
      <c r="I23" s="10">
        <f t="shared" si="5"/>
        <v>11270</v>
      </c>
      <c r="J23" s="10">
        <f t="shared" si="3"/>
        <v>310367026.1475929</v>
      </c>
      <c r="K23" s="11">
        <f t="shared" si="4"/>
        <v>7.7700000000000102E-2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11"/>
      <c r="H24" s="10"/>
      <c r="I24" s="10">
        <f t="shared" si="5"/>
        <v>11270</v>
      </c>
      <c r="J24" s="10">
        <f t="shared" si="3"/>
        <v>287990188.50106049</v>
      </c>
      <c r="K24" s="11">
        <f t="shared" si="4"/>
        <v>3.7300000000000111E-2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11"/>
      <c r="H25" s="10"/>
      <c r="I25" s="10">
        <f t="shared" si="5"/>
        <v>11270</v>
      </c>
      <c r="J25" s="10">
        <f t="shared" si="3"/>
        <v>277634424.46838951</v>
      </c>
      <c r="K25" s="11">
        <f t="shared" si="4"/>
        <v>2.6699999999999946E-2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11"/>
      <c r="H26" s="10"/>
      <c r="I26" s="10">
        <f t="shared" si="5"/>
        <v>11270</v>
      </c>
      <c r="J26" s="10">
        <f t="shared" si="3"/>
        <v>270414361.02891743</v>
      </c>
      <c r="K26" s="11">
        <f t="shared" si="4"/>
        <v>2.3300000000000098E-2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11"/>
      <c r="H27" s="10"/>
      <c r="I27" s="10">
        <f t="shared" si="5"/>
        <v>11270</v>
      </c>
      <c r="J27" s="10">
        <f t="shared" si="3"/>
        <v>264257168.99141738</v>
      </c>
      <c r="K27" s="11">
        <f t="shared" si="4"/>
        <v>2.0599999999999952E-2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11"/>
      <c r="H28" s="10"/>
      <c r="I28" s="10">
        <f t="shared" si="5"/>
        <v>11270</v>
      </c>
      <c r="J28" s="10">
        <f t="shared" si="3"/>
        <v>258923348.02216086</v>
      </c>
      <c r="K28" s="11">
        <f t="shared" si="4"/>
        <v>1.9099999999999895E-2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11"/>
      <c r="H29" s="10"/>
      <c r="I29" s="10">
        <f t="shared" si="5"/>
        <v>11270</v>
      </c>
      <c r="J29" s="10">
        <f t="shared" si="3"/>
        <v>254070599.57036689</v>
      </c>
      <c r="K29" s="11">
        <f t="shared" si="4"/>
        <v>1.6899999999999915E-2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11"/>
      <c r="H30" s="10"/>
      <c r="I30" s="10">
        <f t="shared" si="5"/>
        <v>11270</v>
      </c>
      <c r="J30" s="10">
        <f t="shared" si="3"/>
        <v>249848165.57219678</v>
      </c>
      <c r="K30" s="11">
        <f t="shared" si="4"/>
        <v>1.5800000000000036E-2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11"/>
      <c r="H31" s="10"/>
      <c r="I31" s="10">
        <f t="shared" si="5"/>
        <v>11270</v>
      </c>
      <c r="J31" s="10">
        <f t="shared" si="3"/>
        <v>245961966.50147349</v>
      </c>
      <c r="K31" s="11">
        <f t="shared" si="4"/>
        <v>1.4999999999999902E-2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11"/>
      <c r="H32" s="10"/>
      <c r="I32" s="10">
        <f t="shared" si="5"/>
        <v>11270</v>
      </c>
      <c r="J32" s="10">
        <f t="shared" si="3"/>
        <v>242327060.59258476</v>
      </c>
      <c r="K32" s="11">
        <f t="shared" si="4"/>
        <v>1.4299999999999979E-2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11"/>
      <c r="H33" s="10"/>
      <c r="I33" s="10">
        <f t="shared" si="5"/>
        <v>11270</v>
      </c>
      <c r="J33" s="10">
        <f t="shared" si="3"/>
        <v>238910638.46257001</v>
      </c>
      <c r="K33" s="11">
        <f t="shared" si="4"/>
        <v>1.330000000000009E-2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11"/>
      <c r="H34" s="10"/>
      <c r="I34" s="10">
        <f t="shared" si="5"/>
        <v>11270</v>
      </c>
      <c r="J34" s="10">
        <f t="shared" ref="J34:J65" si="6">IF(I34="","",I34*C34)</f>
        <v>235774833.18125924</v>
      </c>
      <c r="K34" s="11">
        <f t="shared" ref="K34:K65" si="7">IFERROR(J34/J35-1,"")</f>
        <v>1.2699999999999934E-2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11"/>
      <c r="H35" s="10"/>
      <c r="I35" s="10">
        <f t="shared" ref="I35:I66" si="8">IF(H35&lt;&gt;"",H35,I34/(1+IF(G34="",0,G34)))</f>
        <v>11270</v>
      </c>
      <c r="J35" s="10">
        <f t="shared" si="6"/>
        <v>232818044.02217761</v>
      </c>
      <c r="K35" s="11">
        <f t="shared" si="7"/>
        <v>1.2999999999999901E-2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11"/>
      <c r="H36" s="10"/>
      <c r="I36" s="10">
        <f t="shared" si="8"/>
        <v>11270</v>
      </c>
      <c r="J36" s="10">
        <f t="shared" si="6"/>
        <v>229830250.76226816</v>
      </c>
      <c r="K36" s="11">
        <f t="shared" si="7"/>
        <v>1.6199999999999992E-2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11"/>
      <c r="H37" s="10"/>
      <c r="I37" s="10">
        <f t="shared" si="8"/>
        <v>11270</v>
      </c>
      <c r="J37" s="10">
        <f t="shared" si="6"/>
        <v>226166355.79833513</v>
      </c>
      <c r="K37" s="11">
        <f t="shared" si="7"/>
        <v>1.7300000000000093E-2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11"/>
      <c r="H38" s="10"/>
      <c r="I38" s="10">
        <f t="shared" si="8"/>
        <v>11270</v>
      </c>
      <c r="J38" s="10">
        <f t="shared" si="6"/>
        <v>222320216.06048867</v>
      </c>
      <c r="K38" s="11">
        <f t="shared" si="7"/>
        <v>1.5700000000000047E-2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11"/>
      <c r="H39" s="10"/>
      <c r="I39" s="10">
        <f t="shared" si="8"/>
        <v>11270</v>
      </c>
      <c r="J39" s="10">
        <f t="shared" si="6"/>
        <v>218883741.32173738</v>
      </c>
      <c r="K39" s="11">
        <f t="shared" si="7"/>
        <v>1.6799999999999926E-2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11"/>
      <c r="H40" s="10"/>
      <c r="I40" s="10">
        <f t="shared" si="8"/>
        <v>11270</v>
      </c>
      <c r="J40" s="10">
        <f t="shared" si="6"/>
        <v>215267251.49659461</v>
      </c>
      <c r="K40" s="11">
        <f t="shared" si="7"/>
        <v>1.7400000000000304E-2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11"/>
      <c r="H41" s="10"/>
      <c r="I41" s="10">
        <f t="shared" si="8"/>
        <v>11270</v>
      </c>
      <c r="J41" s="10">
        <f t="shared" si="6"/>
        <v>211585660.99527675</v>
      </c>
      <c r="K41" s="11">
        <f t="shared" si="7"/>
        <v>1.5699999999999825E-2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11"/>
      <c r="H42" s="10"/>
      <c r="I42" s="10">
        <f t="shared" si="8"/>
        <v>11270</v>
      </c>
      <c r="J42" s="10">
        <f t="shared" si="6"/>
        <v>208315113.7100293</v>
      </c>
      <c r="K42" s="11">
        <f t="shared" si="7"/>
        <v>1.2299999999999978E-2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11"/>
      <c r="H43" s="10"/>
      <c r="I43" s="10">
        <f t="shared" si="8"/>
        <v>11270</v>
      </c>
      <c r="J43" s="10">
        <f t="shared" si="6"/>
        <v>205783970.86834863</v>
      </c>
      <c r="K43" s="11">
        <f t="shared" si="7"/>
        <v>1.3600000000000056E-2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11"/>
      <c r="H44" s="10"/>
      <c r="I44" s="10">
        <f t="shared" si="8"/>
        <v>11270</v>
      </c>
      <c r="J44" s="10">
        <f t="shared" si="6"/>
        <v>203022859.97271961</v>
      </c>
      <c r="K44" s="11">
        <f t="shared" si="7"/>
        <v>1.7099999999999893E-2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11"/>
      <c r="H45" s="10"/>
      <c r="I45" s="10">
        <f t="shared" si="8"/>
        <v>11270</v>
      </c>
      <c r="J45" s="10">
        <f t="shared" si="6"/>
        <v>199609536.89186868</v>
      </c>
      <c r="K45" s="11">
        <f t="shared" si="7"/>
        <v>1.760000000000006E-2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11"/>
      <c r="H46" s="10"/>
      <c r="I46" s="10">
        <f t="shared" si="8"/>
        <v>11270</v>
      </c>
      <c r="J46" s="10">
        <f t="shared" si="6"/>
        <v>196157170.68776402</v>
      </c>
      <c r="K46" s="11">
        <f t="shared" si="7"/>
        <v>1.7700000000000049E-2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11"/>
      <c r="H47" s="10"/>
      <c r="I47" s="10">
        <f t="shared" si="8"/>
        <v>11270</v>
      </c>
      <c r="J47" s="10">
        <f t="shared" si="6"/>
        <v>192745574.02747765</v>
      </c>
      <c r="K47" s="11">
        <f t="shared" si="7"/>
        <v>2.0499999999999741E-2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11"/>
      <c r="H48" s="10"/>
      <c r="I48" s="10">
        <f t="shared" si="8"/>
        <v>11270</v>
      </c>
      <c r="J48" s="10">
        <f t="shared" si="6"/>
        <v>188873663.91717559</v>
      </c>
      <c r="K48" s="11">
        <f t="shared" si="7"/>
        <v>3.3199999999999896E-2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11"/>
      <c r="H49" s="10"/>
      <c r="I49" s="10">
        <f t="shared" si="8"/>
        <v>11270</v>
      </c>
      <c r="J49" s="10">
        <f t="shared" si="6"/>
        <v>182804552.76536548</v>
      </c>
      <c r="K49" s="11">
        <f t="shared" si="7"/>
        <v>4.2000000000000037E-2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11"/>
      <c r="H50" s="10"/>
      <c r="I50" s="10">
        <f t="shared" si="8"/>
        <v>11270</v>
      </c>
      <c r="J50" s="10">
        <f t="shared" si="6"/>
        <v>175436231.0608114</v>
      </c>
      <c r="K50" s="11">
        <f t="shared" si="7"/>
        <v>4.9199999999999688E-2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11"/>
      <c r="H51" s="10"/>
      <c r="I51" s="10">
        <f t="shared" si="8"/>
        <v>11270</v>
      </c>
      <c r="J51" s="10">
        <f t="shared" si="6"/>
        <v>167209522.55128807</v>
      </c>
      <c r="K51" s="11">
        <f t="shared" si="7"/>
        <v>-5.6300000000000017E-2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11"/>
      <c r="H52" s="10"/>
      <c r="I52" s="10">
        <f t="shared" si="8"/>
        <v>11270</v>
      </c>
      <c r="J52" s="10">
        <f t="shared" si="6"/>
        <v>177185040.32138187</v>
      </c>
      <c r="K52" s="11">
        <f t="shared" si="7"/>
        <v>-0.17360000000000009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11"/>
      <c r="H53" s="10"/>
      <c r="I53" s="10">
        <f t="shared" si="8"/>
        <v>11270</v>
      </c>
      <c r="J53" s="10">
        <f t="shared" si="6"/>
        <v>214405905.51958117</v>
      </c>
      <c r="K53" s="11">
        <f t="shared" si="7"/>
        <v>-0.12149999999999983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11"/>
      <c r="H54" s="10"/>
      <c r="I54" s="10">
        <f t="shared" si="8"/>
        <v>11270</v>
      </c>
      <c r="J54" s="10">
        <f t="shared" si="6"/>
        <v>244059084.25677988</v>
      </c>
      <c r="K54" s="11">
        <f t="shared" si="7"/>
        <v>1.4999999999999902E-2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11"/>
      <c r="H55" s="10"/>
      <c r="I55" s="10">
        <f t="shared" si="8"/>
        <v>11270</v>
      </c>
      <c r="J55" s="10">
        <f t="shared" si="6"/>
        <v>240452299.76037431</v>
      </c>
      <c r="K55" s="11">
        <f t="shared" si="7"/>
        <v>1.4999999999999902E-2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11"/>
      <c r="H56" s="10"/>
      <c r="I56" s="10">
        <f t="shared" si="8"/>
        <v>11270</v>
      </c>
      <c r="J56" s="10">
        <f t="shared" si="6"/>
        <v>236898817.49790576</v>
      </c>
      <c r="K56" s="11">
        <f t="shared" si="7"/>
        <v>1.4999999999999902E-2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11"/>
      <c r="H57" s="10"/>
      <c r="I57" s="10">
        <f t="shared" si="8"/>
        <v>11270</v>
      </c>
      <c r="J57" s="10">
        <f t="shared" si="6"/>
        <v>233397849.75163129</v>
      </c>
      <c r="K57" s="11">
        <f t="shared" si="7"/>
        <v>1.4999999999999902E-2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11"/>
      <c r="H58" s="10"/>
      <c r="I58" s="10">
        <f t="shared" si="8"/>
        <v>11270</v>
      </c>
      <c r="J58" s="10">
        <f t="shared" si="6"/>
        <v>229948620.44495696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11"/>
      <c r="H59" s="10"/>
      <c r="I59" s="10">
        <f t="shared" si="8"/>
        <v>11270</v>
      </c>
      <c r="J59" s="10">
        <f t="shared" si="6"/>
        <v>226550364.97040099</v>
      </c>
      <c r="K59" s="11">
        <f t="shared" si="7"/>
        <v>1.499999999999968E-2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11"/>
      <c r="H60" s="10"/>
      <c r="I60" s="10">
        <f t="shared" si="8"/>
        <v>11270</v>
      </c>
      <c r="J60" s="10">
        <f t="shared" si="6"/>
        <v>223202330.02009955</v>
      </c>
      <c r="K60" s="11">
        <f t="shared" si="7"/>
        <v>1.5000000000000124E-2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11"/>
      <c r="H61" s="10"/>
      <c r="I61" s="10">
        <f t="shared" si="8"/>
        <v>11270</v>
      </c>
      <c r="J61" s="10">
        <f t="shared" si="6"/>
        <v>219903773.41881728</v>
      </c>
      <c r="K61" s="11">
        <f t="shared" si="7"/>
        <v>1.4499999999999957E-2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11"/>
      <c r="H62" s="10"/>
      <c r="I62" s="10">
        <f t="shared" si="8"/>
        <v>11270</v>
      </c>
      <c r="J62" s="10">
        <f t="shared" si="6"/>
        <v>216760742.65038669</v>
      </c>
      <c r="K62" s="11">
        <f t="shared" si="7"/>
        <v>1.4499999999999957E-2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11"/>
      <c r="H63" s="10"/>
      <c r="I63" s="10">
        <f t="shared" si="8"/>
        <v>11270</v>
      </c>
      <c r="J63" s="10">
        <f t="shared" si="6"/>
        <v>213662634.45084938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11"/>
      <c r="H64" s="10"/>
      <c r="I64" s="10">
        <f t="shared" si="8"/>
        <v>11270</v>
      </c>
      <c r="J64" s="10">
        <f t="shared" si="6"/>
        <v>210608806.75293186</v>
      </c>
      <c r="K64" s="11">
        <f t="shared" si="7"/>
        <v>1.4000000000000234E-2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11"/>
      <c r="H65" s="10"/>
      <c r="I65" s="10">
        <f t="shared" si="8"/>
        <v>11270</v>
      </c>
      <c r="J65" s="10">
        <f t="shared" si="6"/>
        <v>207700992.85298997</v>
      </c>
      <c r="K65" s="11">
        <f t="shared" si="7"/>
        <v>1.399999999999979E-2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11"/>
      <c r="H66" s="10"/>
      <c r="I66" s="10">
        <f t="shared" si="8"/>
        <v>11270</v>
      </c>
      <c r="J66" s="10">
        <f t="shared" ref="J66:J97" si="9">IF(I66="","",I66*C66)</f>
        <v>204833326.285</v>
      </c>
      <c r="K66" s="11">
        <f t="shared" ref="K66:K97" si="10">IFERROR(J66/J67-1,"")</f>
        <v>1.3500000000000068E-2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11270</v>
      </c>
      <c r="J67" s="10">
        <f t="shared" si="9"/>
        <v>202104910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5">
        <v>945980</v>
      </c>
      <c r="G2" s="11"/>
      <c r="H2" s="10"/>
      <c r="I2" s="10">
        <f>IF(H2&lt;&gt;"",H2,11893)</f>
        <v>11893</v>
      </c>
      <c r="J2" s="10">
        <f t="shared" ref="J2:J33" si="3">IF(I2="","",I2*C2)</f>
        <v>11250241678.751797</v>
      </c>
      <c r="K2" s="11">
        <f t="shared" ref="K2:K33" si="4">IFERROR(J2/J3-1,"")</f>
        <v>4.4599999999999973E-2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11"/>
      <c r="H3" s="10"/>
      <c r="I3" s="10">
        <f t="shared" ref="I3:I34" si="5">IF(H3&lt;&gt;"",H3,I2/(1+IF(G2="",0,G2)))</f>
        <v>11893</v>
      </c>
      <c r="J3" s="10">
        <f t="shared" si="3"/>
        <v>10769903962.044607</v>
      </c>
      <c r="K3" s="11">
        <f t="shared" si="4"/>
        <v>4.3000000000000149E-2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11"/>
      <c r="H4" s="10"/>
      <c r="I4" s="10">
        <f t="shared" si="5"/>
        <v>11893</v>
      </c>
      <c r="J4" s="10">
        <f t="shared" si="3"/>
        <v>10325890663.513525</v>
      </c>
      <c r="K4" s="11">
        <f t="shared" si="4"/>
        <v>7.7800000000000091E-2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11"/>
      <c r="H5" s="10"/>
      <c r="I5" s="10">
        <f t="shared" si="5"/>
        <v>11893</v>
      </c>
      <c r="J5" s="10">
        <f t="shared" si="3"/>
        <v>9580525759.4298801</v>
      </c>
      <c r="K5" s="11">
        <f t="shared" si="4"/>
        <v>0.14230000000000009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11"/>
      <c r="H6" s="10"/>
      <c r="I6" s="10">
        <f t="shared" si="5"/>
        <v>11893</v>
      </c>
      <c r="J6" s="10">
        <f t="shared" si="3"/>
        <v>8387048725.7549496</v>
      </c>
      <c r="K6" s="11">
        <f t="shared" si="4"/>
        <v>0.10959999999999992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11"/>
      <c r="H7" s="10"/>
      <c r="I7" s="10">
        <f t="shared" si="5"/>
        <v>11893</v>
      </c>
      <c r="J7" s="10">
        <f t="shared" si="3"/>
        <v>7558623581.2499552</v>
      </c>
      <c r="K7" s="11">
        <f t="shared" si="4"/>
        <v>2.6799999999999935E-2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11"/>
      <c r="H8" s="10"/>
      <c r="I8" s="10">
        <f t="shared" si="5"/>
        <v>11893</v>
      </c>
      <c r="J8" s="10">
        <f t="shared" si="3"/>
        <v>7361339677.882699</v>
      </c>
      <c r="K8" s="11">
        <f t="shared" si="4"/>
        <v>2.1900000000000253E-2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11"/>
      <c r="H9" s="10"/>
      <c r="I9" s="10">
        <f t="shared" si="5"/>
        <v>11893</v>
      </c>
      <c r="J9" s="10">
        <f t="shared" si="3"/>
        <v>7203581248.5396786</v>
      </c>
      <c r="K9" s="11">
        <f t="shared" si="4"/>
        <v>2.1700000000000053E-2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11"/>
      <c r="H10" s="10"/>
      <c r="I10" s="10">
        <f t="shared" si="5"/>
        <v>11893</v>
      </c>
      <c r="J10" s="10">
        <f t="shared" si="3"/>
        <v>7050583584.7505903</v>
      </c>
      <c r="K10" s="11">
        <f t="shared" si="4"/>
        <v>2.1800000000000042E-2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11"/>
      <c r="H11" s="10"/>
      <c r="I11" s="10">
        <f t="shared" si="5"/>
        <v>11893</v>
      </c>
      <c r="J11" s="10">
        <f t="shared" si="3"/>
        <v>6900160094.6864262</v>
      </c>
      <c r="K11" s="11">
        <f t="shared" si="4"/>
        <v>2.2100000000000009E-2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11"/>
      <c r="H12" s="10"/>
      <c r="I12" s="10">
        <f t="shared" si="5"/>
        <v>11893</v>
      </c>
      <c r="J12" s="10">
        <f t="shared" si="3"/>
        <v>6750963794.8208847</v>
      </c>
      <c r="K12" s="11">
        <f t="shared" si="4"/>
        <v>2.2599999999999953E-2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11"/>
      <c r="H13" s="10"/>
      <c r="I13" s="10">
        <f t="shared" si="5"/>
        <v>11893</v>
      </c>
      <c r="J13" s="10">
        <f t="shared" si="3"/>
        <v>6601763930.0028219</v>
      </c>
      <c r="K13" s="11">
        <f t="shared" si="4"/>
        <v>1.7200000000000104E-2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11"/>
      <c r="H14" s="10"/>
      <c r="I14" s="10">
        <f t="shared" si="5"/>
        <v>11893</v>
      </c>
      <c r="J14" s="10">
        <f t="shared" si="3"/>
        <v>6490133631.540328</v>
      </c>
      <c r="K14" s="11">
        <f t="shared" si="4"/>
        <v>1.130000000000031E-2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11"/>
      <c r="H15" s="10"/>
      <c r="I15" s="10">
        <f t="shared" si="5"/>
        <v>11893</v>
      </c>
      <c r="J15" s="10">
        <f t="shared" si="3"/>
        <v>6417614586.7104979</v>
      </c>
      <c r="K15" s="11">
        <f t="shared" si="4"/>
        <v>1.1600000000000055E-2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11"/>
      <c r="H16" s="10"/>
      <c r="I16" s="10">
        <f t="shared" si="5"/>
        <v>11893</v>
      </c>
      <c r="J16" s="10">
        <f t="shared" si="3"/>
        <v>6344023909.3618994</v>
      </c>
      <c r="K16" s="11">
        <f t="shared" si="4"/>
        <v>1.2199999999999989E-2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11"/>
      <c r="H17" s="10"/>
      <c r="I17" s="10">
        <f t="shared" si="5"/>
        <v>11893</v>
      </c>
      <c r="J17" s="10">
        <f t="shared" si="3"/>
        <v>6267559681.2506418</v>
      </c>
      <c r="K17" s="11">
        <f t="shared" si="4"/>
        <v>1.2899999999999912E-2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11"/>
      <c r="H18" s="10"/>
      <c r="I18" s="10">
        <f t="shared" si="5"/>
        <v>11893</v>
      </c>
      <c r="J18" s="10">
        <f t="shared" si="3"/>
        <v>6187737862.820261</v>
      </c>
      <c r="K18" s="11">
        <f t="shared" si="4"/>
        <v>1.3600000000000056E-2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11"/>
      <c r="H19" s="10"/>
      <c r="I19" s="10">
        <f t="shared" si="5"/>
        <v>11893</v>
      </c>
      <c r="J19" s="10">
        <f t="shared" si="3"/>
        <v>6104713755.7421675</v>
      </c>
      <c r="K19" s="11">
        <f t="shared" si="4"/>
        <v>1.4399999999999968E-2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11"/>
      <c r="H20" s="10"/>
      <c r="I20" s="10">
        <f t="shared" si="5"/>
        <v>11893</v>
      </c>
      <c r="J20" s="10">
        <f t="shared" si="3"/>
        <v>6018053781.2915688</v>
      </c>
      <c r="K20" s="11">
        <f t="shared" si="4"/>
        <v>1.5500000000000069E-2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11"/>
      <c r="H21" s="10"/>
      <c r="I21" s="10">
        <f t="shared" si="5"/>
        <v>11893</v>
      </c>
      <c r="J21" s="10">
        <f t="shared" si="3"/>
        <v>5926197716.6829824</v>
      </c>
      <c r="K21" s="11">
        <f t="shared" si="4"/>
        <v>1.6999999999999904E-2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11"/>
      <c r="H22" s="10"/>
      <c r="I22" s="10">
        <f t="shared" si="5"/>
        <v>11893</v>
      </c>
      <c r="J22" s="10">
        <f t="shared" si="3"/>
        <v>5827136397.9183712</v>
      </c>
      <c r="K22" s="11">
        <f t="shared" si="4"/>
        <v>1.8399999999999972E-2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11"/>
      <c r="H23" s="10"/>
      <c r="I23" s="10">
        <f t="shared" si="5"/>
        <v>11893</v>
      </c>
      <c r="J23" s="10">
        <f t="shared" si="3"/>
        <v>5721854279.1814327</v>
      </c>
      <c r="K23" s="11">
        <f t="shared" si="4"/>
        <v>2.9299999999999882E-2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11"/>
      <c r="H24" s="10"/>
      <c r="I24" s="10">
        <f t="shared" si="5"/>
        <v>11893</v>
      </c>
      <c r="J24" s="10">
        <f t="shared" si="3"/>
        <v>5558976274.3431778</v>
      </c>
      <c r="K24" s="11">
        <f t="shared" si="4"/>
        <v>4.2100000000000026E-2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11"/>
      <c r="H25" s="10"/>
      <c r="I25" s="10">
        <f t="shared" si="5"/>
        <v>11893</v>
      </c>
      <c r="J25" s="10">
        <f t="shared" si="3"/>
        <v>5334398113.7541285</v>
      </c>
      <c r="K25" s="11">
        <f t="shared" si="4"/>
        <v>4.5800000000000285E-2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11"/>
      <c r="H26" s="10"/>
      <c r="I26" s="10">
        <f t="shared" si="5"/>
        <v>11893</v>
      </c>
      <c r="J26" s="10">
        <f t="shared" si="3"/>
        <v>5100782285.0966988</v>
      </c>
      <c r="K26" s="11">
        <f t="shared" si="4"/>
        <v>4.8399999999999999E-2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11"/>
      <c r="H27" s="10"/>
      <c r="I27" s="10">
        <f t="shared" si="5"/>
        <v>11893</v>
      </c>
      <c r="J27" s="10">
        <f t="shared" si="3"/>
        <v>4865301683.6099758</v>
      </c>
      <c r="K27" s="11">
        <f t="shared" si="4"/>
        <v>5.0999999999999934E-2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11"/>
      <c r="H28" s="10"/>
      <c r="I28" s="10">
        <f t="shared" si="5"/>
        <v>11893</v>
      </c>
      <c r="J28" s="10">
        <f t="shared" si="3"/>
        <v>4629211877.8401299</v>
      </c>
      <c r="K28" s="11">
        <f t="shared" si="4"/>
        <v>5.3700000000000081E-2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11"/>
      <c r="H29" s="10"/>
      <c r="I29" s="10">
        <f t="shared" si="5"/>
        <v>11893</v>
      </c>
      <c r="J29" s="10">
        <f t="shared" si="3"/>
        <v>4393292092.4742613</v>
      </c>
      <c r="K29" s="11">
        <f t="shared" si="4"/>
        <v>5.6699999999999973E-2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11"/>
      <c r="H30" s="10"/>
      <c r="I30" s="10">
        <f t="shared" si="5"/>
        <v>11893</v>
      </c>
      <c r="J30" s="10">
        <f t="shared" si="3"/>
        <v>4157558524.1546903</v>
      </c>
      <c r="K30" s="11">
        <f t="shared" si="4"/>
        <v>6.0100000000000042E-2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11"/>
      <c r="H31" s="10"/>
      <c r="I31" s="10">
        <f t="shared" si="5"/>
        <v>11893</v>
      </c>
      <c r="J31" s="10">
        <f t="shared" si="3"/>
        <v>3921855036.4632487</v>
      </c>
      <c r="K31" s="11">
        <f t="shared" si="4"/>
        <v>6.4200000000000035E-2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11"/>
      <c r="H32" s="10"/>
      <c r="I32" s="10">
        <f t="shared" si="5"/>
        <v>11893</v>
      </c>
      <c r="J32" s="10">
        <f t="shared" si="3"/>
        <v>3685261263.3558059</v>
      </c>
      <c r="K32" s="11">
        <f t="shared" si="4"/>
        <v>6.050000000000022E-2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11"/>
      <c r="H33" s="10"/>
      <c r="I33" s="10">
        <f t="shared" si="5"/>
        <v>11893</v>
      </c>
      <c r="J33" s="10">
        <f t="shared" si="3"/>
        <v>3475022407.6905284</v>
      </c>
      <c r="K33" s="11">
        <f t="shared" si="4"/>
        <v>5.459999999999976E-2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11"/>
      <c r="H34" s="10"/>
      <c r="I34" s="10">
        <f t="shared" si="5"/>
        <v>11893</v>
      </c>
      <c r="J34" s="10">
        <f t="shared" ref="J34:J65" si="6">IF(I34="","",I34*C34)</f>
        <v>3295109432.6669154</v>
      </c>
      <c r="K34" s="11">
        <f t="shared" ref="K34:K65" si="7">IFERROR(J34/J35-1,"")</f>
        <v>5.5500000000000105E-2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11"/>
      <c r="H35" s="10"/>
      <c r="I35" s="10">
        <f t="shared" ref="I35:I66" si="8">IF(H35&lt;&gt;"",H35,I34/(1+IF(G34="",0,G34)))</f>
        <v>11893</v>
      </c>
      <c r="J35" s="10">
        <f t="shared" si="6"/>
        <v>3121846928.1543489</v>
      </c>
      <c r="K35" s="11">
        <f t="shared" si="7"/>
        <v>5.5500000000000105E-2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11"/>
      <c r="H36" s="10"/>
      <c r="I36" s="10">
        <f t="shared" si="8"/>
        <v>11893</v>
      </c>
      <c r="J36" s="10">
        <f t="shared" si="6"/>
        <v>2957694863.2442904</v>
      </c>
      <c r="K36" s="11">
        <f t="shared" si="7"/>
        <v>5.4499999999999993E-2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11"/>
      <c r="H37" s="10"/>
      <c r="I37" s="10">
        <f t="shared" si="8"/>
        <v>11893</v>
      </c>
      <c r="J37" s="10">
        <f t="shared" si="6"/>
        <v>2804831544.0913138</v>
      </c>
      <c r="K37" s="11">
        <f t="shared" si="7"/>
        <v>5.3500000000000325E-2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11"/>
      <c r="H38" s="10"/>
      <c r="I38" s="10">
        <f t="shared" si="8"/>
        <v>11893</v>
      </c>
      <c r="J38" s="10">
        <f t="shared" si="6"/>
        <v>2662393492.2556367</v>
      </c>
      <c r="K38" s="11">
        <f t="shared" si="7"/>
        <v>5.2799999999999736E-2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11"/>
      <c r="H39" s="10"/>
      <c r="I39" s="10">
        <f t="shared" si="8"/>
        <v>11893</v>
      </c>
      <c r="J39" s="10">
        <f t="shared" si="6"/>
        <v>2528869198.571084</v>
      </c>
      <c r="K39" s="11">
        <f t="shared" si="7"/>
        <v>5.1300000000000123E-2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11"/>
      <c r="H40" s="10"/>
      <c r="I40" s="10">
        <f t="shared" si="8"/>
        <v>11893</v>
      </c>
      <c r="J40" s="10">
        <f t="shared" si="6"/>
        <v>2405468656.4929934</v>
      </c>
      <c r="K40" s="11">
        <f t="shared" si="7"/>
        <v>4.8599999999999755E-2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11"/>
      <c r="H41" s="10"/>
      <c r="I41" s="10">
        <f t="shared" si="8"/>
        <v>11893</v>
      </c>
      <c r="J41" s="10">
        <f t="shared" si="6"/>
        <v>2293981171.5554013</v>
      </c>
      <c r="K41" s="11">
        <f t="shared" si="7"/>
        <v>4.4999999999999929E-2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11"/>
      <c r="H42" s="10"/>
      <c r="I42" s="10">
        <f t="shared" si="8"/>
        <v>11893</v>
      </c>
      <c r="J42" s="10">
        <f t="shared" si="6"/>
        <v>2195197293.3544512</v>
      </c>
      <c r="K42" s="11">
        <f t="shared" si="7"/>
        <v>4.1800000000000059E-2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11"/>
      <c r="H43" s="10"/>
      <c r="I43" s="10">
        <f t="shared" si="8"/>
        <v>11893</v>
      </c>
      <c r="J43" s="10">
        <f t="shared" si="6"/>
        <v>2107119690.2999146</v>
      </c>
      <c r="K43" s="11">
        <f t="shared" si="7"/>
        <v>3.5199999999999898E-2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11"/>
      <c r="H44" s="10"/>
      <c r="I44" s="10">
        <f t="shared" si="8"/>
        <v>11893</v>
      </c>
      <c r="J44" s="10">
        <f t="shared" si="6"/>
        <v>2035471107.3221741</v>
      </c>
      <c r="K44" s="11">
        <f t="shared" si="7"/>
        <v>2.8999999999999915E-2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11"/>
      <c r="H45" s="10"/>
      <c r="I45" s="10">
        <f t="shared" si="8"/>
        <v>11893</v>
      </c>
      <c r="J45" s="10">
        <f t="shared" si="6"/>
        <v>1978106032.3830655</v>
      </c>
      <c r="K45" s="11">
        <f t="shared" si="7"/>
        <v>2.8200000000000003E-2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11"/>
      <c r="H46" s="10"/>
      <c r="I46" s="10">
        <f t="shared" si="8"/>
        <v>11893</v>
      </c>
      <c r="J46" s="10">
        <f t="shared" si="6"/>
        <v>1923853367.4217715</v>
      </c>
      <c r="K46" s="11">
        <f t="shared" si="7"/>
        <v>2.7400000000000091E-2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11"/>
      <c r="H47" s="10"/>
      <c r="I47" s="10">
        <f t="shared" si="8"/>
        <v>11893</v>
      </c>
      <c r="J47" s="10">
        <f t="shared" si="6"/>
        <v>1872545617.5022109</v>
      </c>
      <c r="K47" s="11">
        <f t="shared" si="7"/>
        <v>2.6599999999999735E-2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11"/>
      <c r="H48" s="10"/>
      <c r="I48" s="10">
        <f t="shared" si="8"/>
        <v>11893</v>
      </c>
      <c r="J48" s="10">
        <f t="shared" si="6"/>
        <v>1824026512.2756782</v>
      </c>
      <c r="K48" s="11">
        <f t="shared" si="7"/>
        <v>2.5800000000000045E-2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11"/>
      <c r="H49" s="10"/>
      <c r="I49" s="10">
        <f t="shared" si="8"/>
        <v>11893</v>
      </c>
      <c r="J49" s="10">
        <f t="shared" si="6"/>
        <v>1778150236.1821778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11"/>
      <c r="H50" s="10"/>
      <c r="I50" s="10">
        <f t="shared" si="8"/>
        <v>11893</v>
      </c>
      <c r="J50" s="10">
        <f t="shared" si="6"/>
        <v>1734949981.6393578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11"/>
      <c r="H51" s="10"/>
      <c r="I51" s="10">
        <f t="shared" si="8"/>
        <v>11893</v>
      </c>
      <c r="J51" s="10">
        <f t="shared" si="6"/>
        <v>1694452565.3280182</v>
      </c>
      <c r="K51" s="11">
        <f t="shared" si="7"/>
        <v>2.289999999999992E-2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11"/>
      <c r="H52" s="10"/>
      <c r="I52" s="10">
        <f t="shared" si="8"/>
        <v>11893</v>
      </c>
      <c r="J52" s="10">
        <f t="shared" si="6"/>
        <v>1656518296.3417912</v>
      </c>
      <c r="K52" s="11">
        <f t="shared" si="7"/>
        <v>2.1900000000000031E-2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11"/>
      <c r="H53" s="10"/>
      <c r="I53" s="10">
        <f t="shared" si="8"/>
        <v>11893</v>
      </c>
      <c r="J53" s="10">
        <f t="shared" si="6"/>
        <v>1621018002.0958912</v>
      </c>
      <c r="K53" s="11">
        <f t="shared" si="7"/>
        <v>2.0699999999999941E-2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11"/>
      <c r="H54" s="10"/>
      <c r="I54" s="10">
        <f t="shared" si="8"/>
        <v>11893</v>
      </c>
      <c r="J54" s="10">
        <f t="shared" si="6"/>
        <v>1588143433.0321262</v>
      </c>
      <c r="K54" s="11">
        <f t="shared" si="7"/>
        <v>1.9600000000000284E-2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11"/>
      <c r="H55" s="10"/>
      <c r="I55" s="10">
        <f t="shared" si="8"/>
        <v>11893</v>
      </c>
      <c r="J55" s="10">
        <f t="shared" si="6"/>
        <v>1557614194.8137758</v>
      </c>
      <c r="K55" s="11">
        <f t="shared" si="7"/>
        <v>1.8499999999999961E-2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11"/>
      <c r="H56" s="10"/>
      <c r="I56" s="10">
        <f t="shared" si="8"/>
        <v>11893</v>
      </c>
      <c r="J56" s="10">
        <f t="shared" si="6"/>
        <v>1529321742.5761178</v>
      </c>
      <c r="K56" s="11">
        <f t="shared" si="7"/>
        <v>1.7500000000000071E-2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11"/>
      <c r="H57" s="10"/>
      <c r="I57" s="10">
        <f t="shared" si="8"/>
        <v>11893</v>
      </c>
      <c r="J57" s="10">
        <f t="shared" si="6"/>
        <v>1503018911.62272</v>
      </c>
      <c r="K57" s="11">
        <f t="shared" si="7"/>
        <v>1.6999999999999904E-2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11"/>
      <c r="H58" s="10"/>
      <c r="I58" s="10">
        <f t="shared" si="8"/>
        <v>11893</v>
      </c>
      <c r="J58" s="10">
        <f t="shared" si="6"/>
        <v>1477894701.6939235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11"/>
      <c r="H59" s="10"/>
      <c r="I59" s="10">
        <f t="shared" si="8"/>
        <v>11893</v>
      </c>
      <c r="J59" s="10">
        <f t="shared" si="6"/>
        <v>1453190463.8091679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11"/>
      <c r="H60" s="10"/>
      <c r="I60" s="10">
        <f t="shared" si="8"/>
        <v>11893</v>
      </c>
      <c r="J60" s="10">
        <f t="shared" si="6"/>
        <v>1428899177.7867925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11"/>
      <c r="H61" s="10"/>
      <c r="I61" s="10">
        <f t="shared" si="8"/>
        <v>11893</v>
      </c>
      <c r="J61" s="10">
        <f t="shared" si="6"/>
        <v>1405013940.7933064</v>
      </c>
      <c r="K61" s="11">
        <f t="shared" si="7"/>
        <v>1.6499999999999959E-2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11"/>
      <c r="H62" s="10"/>
      <c r="I62" s="10">
        <f t="shared" si="8"/>
        <v>11893</v>
      </c>
      <c r="J62" s="10">
        <f t="shared" si="6"/>
        <v>1382207516.7666566</v>
      </c>
      <c r="K62" s="11">
        <f t="shared" si="7"/>
        <v>1.6499999999999959E-2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11"/>
      <c r="H63" s="10"/>
      <c r="I63" s="10">
        <f t="shared" si="8"/>
        <v>11893</v>
      </c>
      <c r="J63" s="10">
        <f t="shared" si="6"/>
        <v>1359771290.4738383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11"/>
      <c r="H64" s="10"/>
      <c r="I64" s="10">
        <f t="shared" si="8"/>
        <v>11893</v>
      </c>
      <c r="J64" s="10">
        <f t="shared" si="6"/>
        <v>1337699252.8025954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11"/>
      <c r="H65" s="10"/>
      <c r="I65" s="10">
        <f t="shared" si="8"/>
        <v>11893</v>
      </c>
      <c r="J65" s="10">
        <f t="shared" si="6"/>
        <v>1316633122.8372002</v>
      </c>
      <c r="K65" s="11">
        <f t="shared" si="7"/>
        <v>1.6000000000000014E-2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11"/>
      <c r="H66" s="10"/>
      <c r="I66" s="10">
        <f t="shared" si="8"/>
        <v>11893</v>
      </c>
      <c r="J66" s="10">
        <f t="shared" ref="J66:J97" si="9">IF(I66="","",I66*C66)</f>
        <v>1295898742.95</v>
      </c>
      <c r="K66" s="11">
        <f t="shared" ref="K66:K97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11893</v>
      </c>
      <c r="J67" s="10">
        <f t="shared" si="9"/>
        <v>1276118900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5">
        <v>3984</v>
      </c>
      <c r="G2" s="11"/>
      <c r="H2" s="10"/>
      <c r="I2" s="10">
        <f>IF(H2&lt;&gt;"",H2,1889)</f>
        <v>1889</v>
      </c>
      <c r="J2" s="10">
        <f t="shared" ref="J2:J33" si="3">IF(I2="","",I2*C2)</f>
        <v>7525985.5119534312</v>
      </c>
      <c r="K2" s="11">
        <f t="shared" ref="K2:K33" si="4">IFERROR(J2/J3-1,"")</f>
        <v>0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11"/>
      <c r="H3" s="10"/>
      <c r="I3" s="10">
        <f t="shared" ref="I3:I34" si="5">IF(H3&lt;&gt;"",H3,I2/(1+IF(G2="",0,G2)))</f>
        <v>1889</v>
      </c>
      <c r="J3" s="10">
        <f t="shared" si="3"/>
        <v>7525985.5119534312</v>
      </c>
      <c r="K3" s="11">
        <f t="shared" si="4"/>
        <v>3.9999999999995595E-4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11"/>
      <c r="H4" s="10"/>
      <c r="I4" s="10">
        <f t="shared" si="5"/>
        <v>1889</v>
      </c>
      <c r="J4" s="10">
        <f t="shared" si="3"/>
        <v>7522976.3214248614</v>
      </c>
      <c r="K4" s="11">
        <f t="shared" si="4"/>
        <v>7.9999999999991189E-4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11"/>
      <c r="H5" s="10"/>
      <c r="I5" s="10">
        <f t="shared" si="5"/>
        <v>1889</v>
      </c>
      <c r="J5" s="10">
        <f t="shared" si="3"/>
        <v>7516962.7512238836</v>
      </c>
      <c r="K5" s="11">
        <f t="shared" si="4"/>
        <v>3.1000000000001027E-3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11"/>
      <c r="H6" s="10"/>
      <c r="I6" s="10">
        <f t="shared" si="5"/>
        <v>1889</v>
      </c>
      <c r="J6" s="10">
        <f t="shared" si="3"/>
        <v>7493732.1814613519</v>
      </c>
      <c r="K6" s="11">
        <f t="shared" si="4"/>
        <v>8.9999999999990088E-4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11"/>
      <c r="H7" s="10"/>
      <c r="I7" s="10">
        <f t="shared" si="5"/>
        <v>1889</v>
      </c>
      <c r="J7" s="10">
        <f t="shared" si="3"/>
        <v>7486993.8869630862</v>
      </c>
      <c r="K7" s="11">
        <f t="shared" si="4"/>
        <v>-1.4999999999999458E-3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11"/>
      <c r="H8" s="10"/>
      <c r="I8" s="10">
        <f t="shared" si="5"/>
        <v>1889</v>
      </c>
      <c r="J8" s="10">
        <f t="shared" si="3"/>
        <v>7498241.2488363404</v>
      </c>
      <c r="K8" s="11">
        <f t="shared" si="4"/>
        <v>1.7000000000000348E-3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11"/>
      <c r="H9" s="10"/>
      <c r="I9" s="10">
        <f t="shared" si="5"/>
        <v>1889</v>
      </c>
      <c r="J9" s="10">
        <f t="shared" si="3"/>
        <v>7485515.8718541879</v>
      </c>
      <c r="K9" s="11">
        <f t="shared" si="4"/>
        <v>2.7999999999999137E-3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11"/>
      <c r="H10" s="10"/>
      <c r="I10" s="10">
        <f t="shared" si="5"/>
        <v>1889</v>
      </c>
      <c r="J10" s="10">
        <f t="shared" si="3"/>
        <v>7464614.9499942055</v>
      </c>
      <c r="K10" s="11">
        <f t="shared" si="4"/>
        <v>2.8999999999999027E-3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11"/>
      <c r="H11" s="10"/>
      <c r="I11" s="10">
        <f t="shared" si="5"/>
        <v>1889</v>
      </c>
      <c r="J11" s="10">
        <f t="shared" si="3"/>
        <v>7443030.1625228897</v>
      </c>
      <c r="K11" s="11">
        <f t="shared" si="4"/>
        <v>2.7999999999999137E-3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11"/>
      <c r="H12" s="10"/>
      <c r="I12" s="10">
        <f t="shared" si="5"/>
        <v>1889</v>
      </c>
      <c r="J12" s="10">
        <f t="shared" si="3"/>
        <v>7422247.868491115</v>
      </c>
      <c r="K12" s="11">
        <f t="shared" si="4"/>
        <v>2.5999999999999357E-3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11"/>
      <c r="H13" s="10"/>
      <c r="I13" s="10">
        <f t="shared" si="5"/>
        <v>1889</v>
      </c>
      <c r="J13" s="10">
        <f t="shared" si="3"/>
        <v>7403000.0683135008</v>
      </c>
      <c r="K13" s="11">
        <f t="shared" si="4"/>
        <v>2.9999999999998916E-3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11"/>
      <c r="H14" s="10"/>
      <c r="I14" s="10">
        <f t="shared" si="5"/>
        <v>1889</v>
      </c>
      <c r="J14" s="10">
        <f t="shared" si="3"/>
        <v>7380857.4958260236</v>
      </c>
      <c r="K14" s="11">
        <f t="shared" si="4"/>
        <v>3.4000000000000696E-3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11"/>
      <c r="H15" s="10"/>
      <c r="I15" s="10">
        <f t="shared" si="5"/>
        <v>1889</v>
      </c>
      <c r="J15" s="10">
        <f t="shared" si="3"/>
        <v>7355847.6139386324</v>
      </c>
      <c r="K15" s="11">
        <f t="shared" si="4"/>
        <v>5.6000000000000494E-3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11"/>
      <c r="H16" s="10"/>
      <c r="I16" s="10">
        <f t="shared" si="5"/>
        <v>1889</v>
      </c>
      <c r="J16" s="10">
        <f t="shared" si="3"/>
        <v>7314884.2620710339</v>
      </c>
      <c r="K16" s="11">
        <f t="shared" si="4"/>
        <v>1.1300000000000088E-2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11"/>
      <c r="H17" s="10"/>
      <c r="I17" s="10">
        <f t="shared" si="5"/>
        <v>1889</v>
      </c>
      <c r="J17" s="10">
        <f t="shared" si="3"/>
        <v>7233149.6707910942</v>
      </c>
      <c r="K17" s="11">
        <f t="shared" si="4"/>
        <v>1.4399999999999968E-2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11"/>
      <c r="H18" s="10"/>
      <c r="I18" s="10">
        <f t="shared" si="5"/>
        <v>1889</v>
      </c>
      <c r="J18" s="10">
        <f t="shared" si="3"/>
        <v>7130470.8899754481</v>
      </c>
      <c r="K18" s="11">
        <f t="shared" si="4"/>
        <v>1.3600000000000056E-2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11"/>
      <c r="H19" s="10"/>
      <c r="I19" s="10">
        <f t="shared" si="5"/>
        <v>1889</v>
      </c>
      <c r="J19" s="10">
        <f t="shared" si="3"/>
        <v>7034797.6420436539</v>
      </c>
      <c r="K19" s="11">
        <f t="shared" si="4"/>
        <v>1.2999999999999901E-2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11"/>
      <c r="H20" s="10"/>
      <c r="I20" s="10">
        <f t="shared" si="5"/>
        <v>1889</v>
      </c>
      <c r="J20" s="10">
        <f t="shared" si="3"/>
        <v>6944518.8963905768</v>
      </c>
      <c r="K20" s="11">
        <f t="shared" si="4"/>
        <v>1.2799999999999923E-2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11"/>
      <c r="H21" s="10"/>
      <c r="I21" s="10">
        <f t="shared" si="5"/>
        <v>1889</v>
      </c>
      <c r="J21" s="10">
        <f t="shared" si="3"/>
        <v>6856752.464840617</v>
      </c>
      <c r="K21" s="11">
        <f t="shared" si="4"/>
        <v>1.2899999999999912E-2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11"/>
      <c r="H22" s="10"/>
      <c r="I22" s="10">
        <f t="shared" si="5"/>
        <v>1889</v>
      </c>
      <c r="J22" s="10">
        <f t="shared" si="3"/>
        <v>6769426.858367675</v>
      </c>
      <c r="K22" s="11">
        <f t="shared" si="4"/>
        <v>1.3100000000000112E-2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11"/>
      <c r="H23" s="10"/>
      <c r="I23" s="10">
        <f t="shared" si="5"/>
        <v>1889</v>
      </c>
      <c r="J23" s="10">
        <f t="shared" si="3"/>
        <v>6681894.0463603539</v>
      </c>
      <c r="K23" s="11">
        <f t="shared" si="4"/>
        <v>1.2900000000000134E-2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11"/>
      <c r="H24" s="10"/>
      <c r="I24" s="10">
        <f t="shared" si="5"/>
        <v>1889</v>
      </c>
      <c r="J24" s="10">
        <f t="shared" si="3"/>
        <v>6596795.3858824698</v>
      </c>
      <c r="K24" s="11">
        <f t="shared" si="4"/>
        <v>1.2899999999999912E-2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11"/>
      <c r="H25" s="10"/>
      <c r="I25" s="10">
        <f t="shared" si="5"/>
        <v>1889</v>
      </c>
      <c r="J25" s="10">
        <f t="shared" si="3"/>
        <v>6512780.5172104556</v>
      </c>
      <c r="K25" s="11">
        <f t="shared" si="4"/>
        <v>8.799999999999919E-3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11"/>
      <c r="H26" s="10"/>
      <c r="I26" s="10">
        <f t="shared" si="5"/>
        <v>1889</v>
      </c>
      <c r="J26" s="10">
        <f t="shared" si="3"/>
        <v>6455967.9988208329</v>
      </c>
      <c r="K26" s="11">
        <f t="shared" si="4"/>
        <v>-1.8000000000001348E-3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11"/>
      <c r="H27" s="10"/>
      <c r="I27" s="10">
        <f t="shared" si="5"/>
        <v>1889</v>
      </c>
      <c r="J27" s="10">
        <f t="shared" si="3"/>
        <v>6467609.6962741269</v>
      </c>
      <c r="K27" s="11">
        <f t="shared" si="4"/>
        <v>-8.0000000000000071E-3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11"/>
      <c r="H28" s="10"/>
      <c r="I28" s="10">
        <f t="shared" si="5"/>
        <v>1889</v>
      </c>
      <c r="J28" s="10">
        <f t="shared" si="3"/>
        <v>6519767.8389860149</v>
      </c>
      <c r="K28" s="11">
        <f t="shared" si="4"/>
        <v>-7.3999999999999622E-3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11"/>
      <c r="H29" s="10"/>
      <c r="I29" s="10">
        <f t="shared" si="5"/>
        <v>1889</v>
      </c>
      <c r="J29" s="10">
        <f t="shared" si="3"/>
        <v>6568373.8051440809</v>
      </c>
      <c r="K29" s="11">
        <f t="shared" si="4"/>
        <v>-6.8999999999999062E-3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11"/>
      <c r="H30" s="10"/>
      <c r="I30" s="10">
        <f t="shared" si="5"/>
        <v>1889</v>
      </c>
      <c r="J30" s="10">
        <f t="shared" si="3"/>
        <v>6614010.4774384052</v>
      </c>
      <c r="K30" s="11">
        <f t="shared" si="4"/>
        <v>-6.4999999999999503E-3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11"/>
      <c r="H31" s="10"/>
      <c r="I31" s="10">
        <f t="shared" si="5"/>
        <v>1889</v>
      </c>
      <c r="J31" s="10">
        <f t="shared" si="3"/>
        <v>6657282.8157407194</v>
      </c>
      <c r="K31" s="11">
        <f t="shared" si="4"/>
        <v>-6.0999999999999943E-3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11"/>
      <c r="H32" s="10"/>
      <c r="I32" s="10">
        <f t="shared" si="5"/>
        <v>1889</v>
      </c>
      <c r="J32" s="10">
        <f t="shared" si="3"/>
        <v>6698141.4787611626</v>
      </c>
      <c r="K32" s="11">
        <f t="shared" si="4"/>
        <v>-5.7000000000001494E-3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11"/>
      <c r="H33" s="10"/>
      <c r="I33" s="10">
        <f t="shared" si="5"/>
        <v>1889</v>
      </c>
      <c r="J33" s="10">
        <f t="shared" si="3"/>
        <v>6736539.7553667538</v>
      </c>
      <c r="K33" s="11">
        <f t="shared" si="4"/>
        <v>-5.1999999999999824E-3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11"/>
      <c r="H34" s="10"/>
      <c r="I34" s="10">
        <f t="shared" si="5"/>
        <v>1889</v>
      </c>
      <c r="J34" s="10">
        <f t="shared" ref="J34:J65" si="6">IF(I34="","",I34*C34)</f>
        <v>6771752.8702922734</v>
      </c>
      <c r="K34" s="11">
        <f t="shared" ref="K34:K65" si="7">IFERROR(J34/J35-1,"")</f>
        <v>-4.7000000000001485E-3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11"/>
      <c r="H35" s="10"/>
      <c r="I35" s="10">
        <f t="shared" ref="I35:I66" si="8">IF(H35&lt;&gt;"",H35,I34/(1+IF(G34="",0,G34)))</f>
        <v>1889</v>
      </c>
      <c r="J35" s="10">
        <f t="shared" si="6"/>
        <v>6803730.4031872544</v>
      </c>
      <c r="K35" s="11">
        <f t="shared" si="7"/>
        <v>-3.8999999999999035E-3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11"/>
      <c r="H36" s="10"/>
      <c r="I36" s="10">
        <f t="shared" si="8"/>
        <v>1889</v>
      </c>
      <c r="J36" s="10">
        <f t="shared" si="6"/>
        <v>6830368.8416697662</v>
      </c>
      <c r="K36" s="11">
        <f t="shared" si="7"/>
        <v>-3.6000000000001586E-3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11"/>
      <c r="H37" s="10"/>
      <c r="I37" s="10">
        <f t="shared" si="8"/>
        <v>1889</v>
      </c>
      <c r="J37" s="10">
        <f t="shared" si="6"/>
        <v>6855047.0109090395</v>
      </c>
      <c r="K37" s="11">
        <f t="shared" si="7"/>
        <v>-4.2999999999998595E-3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11"/>
      <c r="H38" s="10"/>
      <c r="I38" s="10">
        <f t="shared" si="8"/>
        <v>1889</v>
      </c>
      <c r="J38" s="10">
        <f t="shared" si="6"/>
        <v>6884651.0102531267</v>
      </c>
      <c r="K38" s="11">
        <f t="shared" si="7"/>
        <v>-4.3000000000000815E-3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11"/>
      <c r="H39" s="10"/>
      <c r="I39" s="10">
        <f t="shared" si="8"/>
        <v>1889</v>
      </c>
      <c r="J39" s="10">
        <f t="shared" si="6"/>
        <v>6914382.8565362329</v>
      </c>
      <c r="K39" s="11">
        <f t="shared" si="7"/>
        <v>-3.2999999999999696E-3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11"/>
      <c r="H40" s="10"/>
      <c r="I40" s="10">
        <f t="shared" si="8"/>
        <v>1889</v>
      </c>
      <c r="J40" s="10">
        <f t="shared" si="6"/>
        <v>6937275.8668969925</v>
      </c>
      <c r="K40" s="11">
        <f t="shared" si="7"/>
        <v>-2.9000000000000137E-3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11"/>
      <c r="H41" s="10"/>
      <c r="I41" s="10">
        <f t="shared" si="8"/>
        <v>1889</v>
      </c>
      <c r="J41" s="10">
        <f t="shared" si="6"/>
        <v>6957452.4790863432</v>
      </c>
      <c r="K41" s="11">
        <f t="shared" si="7"/>
        <v>-2.8000000000000247E-3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11"/>
      <c r="H42" s="10"/>
      <c r="I42" s="10">
        <f t="shared" si="8"/>
        <v>1889</v>
      </c>
      <c r="J42" s="10">
        <f t="shared" si="6"/>
        <v>6976988.0456140628</v>
      </c>
      <c r="K42" s="11">
        <f t="shared" si="7"/>
        <v>-3.0000000000000027E-3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11"/>
      <c r="H43" s="10"/>
      <c r="I43" s="10">
        <f t="shared" si="8"/>
        <v>1889</v>
      </c>
      <c r="J43" s="10">
        <f t="shared" si="6"/>
        <v>6997981.9915888291</v>
      </c>
      <c r="K43" s="11">
        <f t="shared" si="7"/>
        <v>-3.2000000000000917E-3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11"/>
      <c r="H44" s="10"/>
      <c r="I44" s="10">
        <f t="shared" si="8"/>
        <v>1889</v>
      </c>
      <c r="J44" s="10">
        <f t="shared" si="6"/>
        <v>7020447.423343529</v>
      </c>
      <c r="K44" s="11">
        <f t="shared" si="7"/>
        <v>-3.4999999999999476E-3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11"/>
      <c r="H45" s="10"/>
      <c r="I45" s="10">
        <f t="shared" si="8"/>
        <v>1889</v>
      </c>
      <c r="J45" s="10">
        <f t="shared" si="6"/>
        <v>7045105.2918650564</v>
      </c>
      <c r="K45" s="11">
        <f t="shared" si="7"/>
        <v>-3.9000000000001256E-3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11"/>
      <c r="H46" s="10"/>
      <c r="I46" s="10">
        <f t="shared" si="8"/>
        <v>1889</v>
      </c>
      <c r="J46" s="10">
        <f t="shared" si="6"/>
        <v>7072688.7780996459</v>
      </c>
      <c r="K46" s="11">
        <f t="shared" si="7"/>
        <v>-9.000000000000008E-3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11"/>
      <c r="H47" s="10"/>
      <c r="I47" s="10">
        <f t="shared" si="8"/>
        <v>1889</v>
      </c>
      <c r="J47" s="10">
        <f t="shared" si="6"/>
        <v>7136921.0677090269</v>
      </c>
      <c r="K47" s="11">
        <f t="shared" si="7"/>
        <v>-2.4900000000000033E-2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11"/>
      <c r="H48" s="10"/>
      <c r="I48" s="10">
        <f t="shared" si="8"/>
        <v>1889</v>
      </c>
      <c r="J48" s="10">
        <f t="shared" si="6"/>
        <v>7319168.3598697847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11"/>
      <c r="H49" s="10"/>
      <c r="I49" s="10">
        <f t="shared" si="8"/>
        <v>1889</v>
      </c>
      <c r="J49" s="10">
        <f t="shared" si="6"/>
        <v>7565813.8927742243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11"/>
      <c r="H50" s="10"/>
      <c r="I50" s="10">
        <f t="shared" si="8"/>
        <v>1889</v>
      </c>
      <c r="J50" s="10">
        <f t="shared" si="6"/>
        <v>7786963.6607392179</v>
      </c>
      <c r="K50" s="11">
        <f t="shared" si="7"/>
        <v>-2.6300000000000101E-2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11"/>
      <c r="H51" s="10"/>
      <c r="I51" s="10">
        <f t="shared" si="8"/>
        <v>1889</v>
      </c>
      <c r="J51" s="10">
        <f t="shared" si="6"/>
        <v>7997292.4522329448</v>
      </c>
      <c r="K51" s="11">
        <f t="shared" si="7"/>
        <v>-2.4600000000000066E-2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11"/>
      <c r="H52" s="10"/>
      <c r="I52" s="10">
        <f t="shared" si="8"/>
        <v>1889</v>
      </c>
      <c r="J52" s="10">
        <f t="shared" si="6"/>
        <v>8198987.5458611287</v>
      </c>
      <c r="K52" s="11">
        <f t="shared" si="7"/>
        <v>-2.2900000000000031E-2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11"/>
      <c r="H53" s="10"/>
      <c r="I53" s="10">
        <f t="shared" si="8"/>
        <v>1889</v>
      </c>
      <c r="J53" s="10">
        <f t="shared" si="6"/>
        <v>8391144.7608854044</v>
      </c>
      <c r="K53" s="11">
        <f t="shared" si="7"/>
        <v>-2.1100000000000119E-2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11"/>
      <c r="H54" s="10"/>
      <c r="I54" s="10">
        <f t="shared" si="8"/>
        <v>1889</v>
      </c>
      <c r="J54" s="10">
        <f t="shared" si="6"/>
        <v>8572014.2618095875</v>
      </c>
      <c r="K54" s="11">
        <f t="shared" si="7"/>
        <v>-1.8900000000000028E-2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11"/>
      <c r="H55" s="10"/>
      <c r="I55" s="10">
        <f t="shared" si="8"/>
        <v>1889</v>
      </c>
      <c r="J55" s="10">
        <f t="shared" si="6"/>
        <v>8737146.3273973987</v>
      </c>
      <c r="K55" s="11">
        <f t="shared" si="7"/>
        <v>-1.5899999999999914E-2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11"/>
      <c r="H56" s="10"/>
      <c r="I56" s="10">
        <f t="shared" si="8"/>
        <v>1889</v>
      </c>
      <c r="J56" s="10">
        <f t="shared" si="6"/>
        <v>8878311.4799282569</v>
      </c>
      <c r="K56" s="11">
        <f t="shared" si="7"/>
        <v>-8.6000000000001631E-3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11"/>
      <c r="H57" s="10"/>
      <c r="I57" s="10">
        <f t="shared" si="8"/>
        <v>1889</v>
      </c>
      <c r="J57" s="10">
        <f t="shared" si="6"/>
        <v>8955327.2946623545</v>
      </c>
      <c r="K57" s="11">
        <f t="shared" si="7"/>
        <v>-6.9999999999997842E-3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11"/>
      <c r="H58" s="10"/>
      <c r="I58" s="10">
        <f t="shared" si="8"/>
        <v>1889</v>
      </c>
      <c r="J58" s="10">
        <f t="shared" si="6"/>
        <v>9018456.490093004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11"/>
      <c r="H59" s="10"/>
      <c r="I59" s="10">
        <f t="shared" si="8"/>
        <v>1889</v>
      </c>
      <c r="J59" s="10">
        <f t="shared" si="6"/>
        <v>9054675.1908564307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11"/>
      <c r="H60" s="10"/>
      <c r="I60" s="10">
        <f t="shared" si="8"/>
        <v>1889</v>
      </c>
      <c r="J60" s="10">
        <f t="shared" si="6"/>
        <v>9054675.1908564307</v>
      </c>
      <c r="K60" s="11">
        <f t="shared" si="7"/>
        <v>3.9999999999997815E-3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11"/>
      <c r="H61" s="10"/>
      <c r="I61" s="10">
        <f t="shared" si="8"/>
        <v>1889</v>
      </c>
      <c r="J61" s="10">
        <f t="shared" si="6"/>
        <v>9018600.7877056096</v>
      </c>
      <c r="K61" s="11">
        <f t="shared" si="7"/>
        <v>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11"/>
      <c r="H62" s="10"/>
      <c r="I62" s="10">
        <f t="shared" si="8"/>
        <v>1889</v>
      </c>
      <c r="J62" s="10">
        <f t="shared" si="6"/>
        <v>8955909.4217533357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11"/>
      <c r="H63" s="10"/>
      <c r="I63" s="10">
        <f t="shared" si="8"/>
        <v>1889</v>
      </c>
      <c r="J63" s="10">
        <f t="shared" si="6"/>
        <v>8867237.0512409266</v>
      </c>
      <c r="K63" s="11">
        <f t="shared" si="7"/>
        <v>1.1999999999999789E-2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11"/>
      <c r="H64" s="10"/>
      <c r="I64" s="10">
        <f t="shared" si="8"/>
        <v>1889</v>
      </c>
      <c r="J64" s="10">
        <f t="shared" si="6"/>
        <v>8762091.9478665292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11"/>
      <c r="H65" s="10"/>
      <c r="I65" s="10">
        <f t="shared" si="8"/>
        <v>1889</v>
      </c>
      <c r="J65" s="10">
        <f t="shared" si="6"/>
        <v>8649646.5428100005</v>
      </c>
      <c r="K65" s="11">
        <f t="shared" si="7"/>
        <v>1.4000000000000234E-2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11"/>
      <c r="H66" s="10"/>
      <c r="I66" s="10">
        <f t="shared" si="8"/>
        <v>1889</v>
      </c>
      <c r="J66" s="10">
        <f t="shared" ref="J66:J97" si="9">IF(I66="","",I66*C66)</f>
        <v>8530223.4149999991</v>
      </c>
      <c r="K66" s="11">
        <f t="shared" ref="K66:K97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1889</v>
      </c>
      <c r="J67" s="10">
        <f t="shared" si="9"/>
        <v>8404161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5">
        <v>4523613</v>
      </c>
      <c r="G2" s="11"/>
      <c r="H2" s="10"/>
      <c r="I2" s="10">
        <f>IF(H2&lt;&gt;"",H2,11230)</f>
        <v>11230</v>
      </c>
      <c r="J2" s="10">
        <f t="shared" ref="J2:J33" si="3">IF(I2="","",I2*C2)</f>
        <v>50800488681.264954</v>
      </c>
      <c r="K2" s="11">
        <f t="shared" ref="K2:K33" si="4">IFERROR(J2/J3-1,"")</f>
        <v>1.3600000000000056E-2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11"/>
      <c r="H3" s="10"/>
      <c r="I3" s="10">
        <f t="shared" ref="I3:I34" si="5">IF(H3&lt;&gt;"",H3,I2/(1+IF(G2="",0,G2)))</f>
        <v>11230</v>
      </c>
      <c r="J3" s="10">
        <f t="shared" si="3"/>
        <v>50118872021.76889</v>
      </c>
      <c r="K3" s="11">
        <f t="shared" si="4"/>
        <v>1.3700000000000045E-2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11"/>
      <c r="H4" s="10"/>
      <c r="I4" s="10">
        <f t="shared" si="5"/>
        <v>11230</v>
      </c>
      <c r="J4" s="10">
        <f t="shared" si="3"/>
        <v>49441523154.551529</v>
      </c>
      <c r="K4" s="11">
        <f t="shared" si="4"/>
        <v>1.3899999999999801E-2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11"/>
      <c r="H5" s="10"/>
      <c r="I5" s="10">
        <f t="shared" si="5"/>
        <v>11230</v>
      </c>
      <c r="J5" s="10">
        <f t="shared" si="3"/>
        <v>48763707618.652267</v>
      </c>
      <c r="K5" s="11">
        <f t="shared" si="4"/>
        <v>1.4000000000000012E-2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11"/>
      <c r="H6" s="10"/>
      <c r="I6" s="10">
        <f t="shared" si="5"/>
        <v>11230</v>
      </c>
      <c r="J6" s="10">
        <f t="shared" si="3"/>
        <v>48090441438.513084</v>
      </c>
      <c r="K6" s="11">
        <f t="shared" si="4"/>
        <v>1.4099999999999779E-2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11"/>
      <c r="H7" s="10"/>
      <c r="I7" s="10">
        <f t="shared" si="5"/>
        <v>11230</v>
      </c>
      <c r="J7" s="10">
        <f t="shared" si="3"/>
        <v>47421794141.123253</v>
      </c>
      <c r="K7" s="11">
        <f t="shared" si="4"/>
        <v>1.419999999999999E-2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11"/>
      <c r="H8" s="10"/>
      <c r="I8" s="10">
        <f t="shared" si="5"/>
        <v>11230</v>
      </c>
      <c r="J8" s="10">
        <f t="shared" si="3"/>
        <v>46757832913.748032</v>
      </c>
      <c r="K8" s="11">
        <f t="shared" si="4"/>
        <v>1.4200000000000212E-2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11"/>
      <c r="H9" s="10"/>
      <c r="I9" s="10">
        <f t="shared" si="5"/>
        <v>11230</v>
      </c>
      <c r="J9" s="10">
        <f t="shared" si="3"/>
        <v>46103167929.154037</v>
      </c>
      <c r="K9" s="11">
        <f t="shared" si="4"/>
        <v>1.4299999999999757E-2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11"/>
      <c r="H10" s="10"/>
      <c r="I10" s="10">
        <f t="shared" si="5"/>
        <v>11230</v>
      </c>
      <c r="J10" s="10">
        <f t="shared" si="3"/>
        <v>45453187350.048355</v>
      </c>
      <c r="K10" s="11">
        <f t="shared" si="4"/>
        <v>1.4399999999999968E-2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11"/>
      <c r="H11" s="10"/>
      <c r="I11" s="10">
        <f t="shared" si="5"/>
        <v>11230</v>
      </c>
      <c r="J11" s="10">
        <f t="shared" si="3"/>
        <v>44807952829.306343</v>
      </c>
      <c r="K11" s="11">
        <f t="shared" si="4"/>
        <v>1.4299999999999979E-2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11"/>
      <c r="H12" s="10"/>
      <c r="I12" s="10">
        <f t="shared" si="5"/>
        <v>11230</v>
      </c>
      <c r="J12" s="10">
        <f t="shared" si="3"/>
        <v>44176232701.672424</v>
      </c>
      <c r="K12" s="11">
        <f t="shared" si="4"/>
        <v>1.2999999999999678E-2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11"/>
      <c r="H13" s="10"/>
      <c r="I13" s="10">
        <f t="shared" si="5"/>
        <v>11230</v>
      </c>
      <c r="J13" s="10">
        <f t="shared" si="3"/>
        <v>43609311650.219582</v>
      </c>
      <c r="K13" s="11">
        <f t="shared" si="4"/>
        <v>1.1800000000000255E-2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11"/>
      <c r="H14" s="10"/>
      <c r="I14" s="10">
        <f t="shared" si="5"/>
        <v>11230</v>
      </c>
      <c r="J14" s="10">
        <f t="shared" si="3"/>
        <v>43100723117.433853</v>
      </c>
      <c r="K14" s="11">
        <f t="shared" si="4"/>
        <v>1.1799999999999811E-2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11"/>
      <c r="H15" s="10"/>
      <c r="I15" s="10">
        <f t="shared" si="5"/>
        <v>11230</v>
      </c>
      <c r="J15" s="10">
        <f t="shared" si="3"/>
        <v>42598065939.349533</v>
      </c>
      <c r="K15" s="11">
        <f t="shared" si="4"/>
        <v>1.21E-2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11"/>
      <c r="H16" s="10"/>
      <c r="I16" s="10">
        <f t="shared" si="5"/>
        <v>11230</v>
      </c>
      <c r="J16" s="10">
        <f t="shared" si="3"/>
        <v>42088791561.455917</v>
      </c>
      <c r="K16" s="11">
        <f t="shared" si="4"/>
        <v>1.2899999999999912E-2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11"/>
      <c r="H17" s="10"/>
      <c r="I17" s="10">
        <f t="shared" si="5"/>
        <v>11230</v>
      </c>
      <c r="J17" s="10">
        <f t="shared" si="3"/>
        <v>41552760945.262039</v>
      </c>
      <c r="K17" s="11">
        <f t="shared" si="4"/>
        <v>1.3800000000000034E-2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11"/>
      <c r="H18" s="10"/>
      <c r="I18" s="10">
        <f t="shared" si="5"/>
        <v>11230</v>
      </c>
      <c r="J18" s="10">
        <f t="shared" si="3"/>
        <v>40987138434.860954</v>
      </c>
      <c r="K18" s="11">
        <f t="shared" si="4"/>
        <v>1.4299999999999979E-2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11"/>
      <c r="H19" s="10"/>
      <c r="I19" s="10">
        <f t="shared" si="5"/>
        <v>11230</v>
      </c>
      <c r="J19" s="10">
        <f t="shared" si="3"/>
        <v>40409285650.065025</v>
      </c>
      <c r="K19" s="11">
        <f t="shared" si="4"/>
        <v>1.5300000000000091E-2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11"/>
      <c r="H20" s="10"/>
      <c r="I20" s="10">
        <f t="shared" si="5"/>
        <v>11230</v>
      </c>
      <c r="J20" s="10">
        <f t="shared" si="3"/>
        <v>39800340441.312935</v>
      </c>
      <c r="K20" s="11">
        <f t="shared" si="4"/>
        <v>1.6699999999999937E-2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11"/>
      <c r="H21" s="10"/>
      <c r="I21" s="10">
        <f t="shared" si="5"/>
        <v>11230</v>
      </c>
      <c r="J21" s="10">
        <f t="shared" si="3"/>
        <v>39146592349.083244</v>
      </c>
      <c r="K21" s="11">
        <f t="shared" si="4"/>
        <v>1.859999999999995E-2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11"/>
      <c r="H22" s="10"/>
      <c r="I22" s="10">
        <f t="shared" si="5"/>
        <v>11230</v>
      </c>
      <c r="J22" s="10">
        <f t="shared" si="3"/>
        <v>38431761583.627769</v>
      </c>
      <c r="K22" s="11">
        <f t="shared" si="4"/>
        <v>2.0399999999999974E-2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11"/>
      <c r="H23" s="10"/>
      <c r="I23" s="10">
        <f t="shared" si="5"/>
        <v>11230</v>
      </c>
      <c r="J23" s="10">
        <f t="shared" si="3"/>
        <v>37663427659.376488</v>
      </c>
      <c r="K23" s="11">
        <f t="shared" si="4"/>
        <v>2.1200000000000108E-2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11"/>
      <c r="H24" s="10"/>
      <c r="I24" s="10">
        <f t="shared" si="5"/>
        <v>11230</v>
      </c>
      <c r="J24" s="10">
        <f t="shared" si="3"/>
        <v>36881539031.9002</v>
      </c>
      <c r="K24" s="11">
        <f t="shared" si="4"/>
        <v>2.200000000000002E-2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11"/>
      <c r="H25" s="10"/>
      <c r="I25" s="10">
        <f t="shared" si="5"/>
        <v>11230</v>
      </c>
      <c r="J25" s="10">
        <f t="shared" si="3"/>
        <v>36087611577.201759</v>
      </c>
      <c r="K25" s="11">
        <f t="shared" si="4"/>
        <v>2.2599999999999953E-2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11"/>
      <c r="H26" s="10"/>
      <c r="I26" s="10">
        <f t="shared" si="5"/>
        <v>11230</v>
      </c>
      <c r="J26" s="10">
        <f t="shared" si="3"/>
        <v>35290056304.715195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11"/>
      <c r="H27" s="10"/>
      <c r="I27" s="10">
        <f t="shared" si="5"/>
        <v>11230</v>
      </c>
      <c r="J27" s="10">
        <f t="shared" si="3"/>
        <v>34493261953.587334</v>
      </c>
      <c r="K27" s="11">
        <f t="shared" si="4"/>
        <v>2.3400000000000087E-2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11"/>
      <c r="H28" s="10"/>
      <c r="I28" s="10">
        <f t="shared" si="5"/>
        <v>11230</v>
      </c>
      <c r="J28" s="10">
        <f t="shared" si="3"/>
        <v>33704574900.906124</v>
      </c>
      <c r="K28" s="11">
        <f t="shared" si="4"/>
        <v>2.3400000000000087E-2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11"/>
      <c r="H29" s="10"/>
      <c r="I29" s="10">
        <f t="shared" si="5"/>
        <v>11230</v>
      </c>
      <c r="J29" s="10">
        <f t="shared" si="3"/>
        <v>32933921146.087669</v>
      </c>
      <c r="K29" s="11">
        <f t="shared" si="4"/>
        <v>2.289999999999992E-2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11"/>
      <c r="H30" s="10"/>
      <c r="I30" s="10">
        <f t="shared" si="5"/>
        <v>11230</v>
      </c>
      <c r="J30" s="10">
        <f t="shared" si="3"/>
        <v>32196618580.592113</v>
      </c>
      <c r="K30" s="11">
        <f t="shared" si="4"/>
        <v>2.3400000000000087E-2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11"/>
      <c r="H31" s="10"/>
      <c r="I31" s="10">
        <f t="shared" si="5"/>
        <v>11230</v>
      </c>
      <c r="J31" s="10">
        <f t="shared" si="3"/>
        <v>31460444186.625084</v>
      </c>
      <c r="K31" s="11">
        <f t="shared" si="4"/>
        <v>2.3900000000000032E-2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11"/>
      <c r="H32" s="10"/>
      <c r="I32" s="10">
        <f t="shared" si="5"/>
        <v>11230</v>
      </c>
      <c r="J32" s="10">
        <f t="shared" si="3"/>
        <v>30726090620.788246</v>
      </c>
      <c r="K32" s="11">
        <f t="shared" si="4"/>
        <v>2.4799999999999933E-2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11"/>
      <c r="H33" s="10"/>
      <c r="I33" s="10">
        <f t="shared" si="5"/>
        <v>11230</v>
      </c>
      <c r="J33" s="10">
        <f t="shared" si="3"/>
        <v>29982524024.969017</v>
      </c>
      <c r="K33" s="11">
        <f t="shared" si="4"/>
        <v>2.6300000000000212E-2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11"/>
      <c r="H34" s="10"/>
      <c r="I34" s="10">
        <f t="shared" si="5"/>
        <v>11230</v>
      </c>
      <c r="J34" s="10">
        <f t="shared" ref="J34:J65" si="6">IF(I34="","",I34*C34)</f>
        <v>29214190806.75145</v>
      </c>
      <c r="K34" s="11">
        <f t="shared" ref="K34:K65" si="7">IFERROR(J34/J35-1,"")</f>
        <v>2.7400000000000091E-2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11"/>
      <c r="H35" s="10"/>
      <c r="I35" s="10">
        <f t="shared" ref="I35:I66" si="8">IF(H35&lt;&gt;"",H35,I34/(1+IF(G34="",0,G34)))</f>
        <v>11230</v>
      </c>
      <c r="J35" s="10">
        <f t="shared" si="6"/>
        <v>28435069891.718365</v>
      </c>
      <c r="K35" s="11">
        <f t="shared" si="7"/>
        <v>2.8299999999999992E-2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11"/>
      <c r="H36" s="10"/>
      <c r="I36" s="10">
        <f t="shared" si="8"/>
        <v>11230</v>
      </c>
      <c r="J36" s="10">
        <f t="shared" si="6"/>
        <v>27652504027.733509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11"/>
      <c r="H37" s="10"/>
      <c r="I37" s="10">
        <f t="shared" si="8"/>
        <v>11230</v>
      </c>
      <c r="J37" s="10">
        <f t="shared" si="6"/>
        <v>26915032146.908222</v>
      </c>
      <c r="K37" s="11">
        <f t="shared" si="7"/>
        <v>2.6999999999999913E-2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11"/>
      <c r="H38" s="10"/>
      <c r="I38" s="10">
        <f t="shared" si="8"/>
        <v>11230</v>
      </c>
      <c r="J38" s="10">
        <f t="shared" si="6"/>
        <v>26207431496.502651</v>
      </c>
      <c r="K38" s="11">
        <f t="shared" si="7"/>
        <v>2.8899999999999926E-2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11"/>
      <c r="H39" s="10"/>
      <c r="I39" s="10">
        <f t="shared" si="8"/>
        <v>11230</v>
      </c>
      <c r="J39" s="10">
        <f t="shared" si="6"/>
        <v>25471310619.596321</v>
      </c>
      <c r="K39" s="11">
        <f t="shared" si="7"/>
        <v>3.0100000000000016E-2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11"/>
      <c r="H40" s="10"/>
      <c r="I40" s="10">
        <f t="shared" si="8"/>
        <v>11230</v>
      </c>
      <c r="J40" s="10">
        <f t="shared" si="6"/>
        <v>24727027103.772758</v>
      </c>
      <c r="K40" s="11">
        <f t="shared" si="7"/>
        <v>3.0399999999999983E-2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11"/>
      <c r="H41" s="10"/>
      <c r="I41" s="10">
        <f t="shared" si="8"/>
        <v>11230</v>
      </c>
      <c r="J41" s="10">
        <f t="shared" si="6"/>
        <v>23997503012.201824</v>
      </c>
      <c r="K41" s="11">
        <f t="shared" si="7"/>
        <v>3.0599999999999961E-2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11"/>
      <c r="H42" s="10"/>
      <c r="I42" s="10">
        <f t="shared" si="8"/>
        <v>11230</v>
      </c>
      <c r="J42" s="10">
        <f t="shared" si="6"/>
        <v>23284982546.285488</v>
      </c>
      <c r="K42" s="11">
        <f t="shared" si="7"/>
        <v>3.0799999999999939E-2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11"/>
      <c r="H43" s="10"/>
      <c r="I43" s="10">
        <f t="shared" si="8"/>
        <v>11230</v>
      </c>
      <c r="J43" s="10">
        <f t="shared" si="6"/>
        <v>22589234134.929657</v>
      </c>
      <c r="K43" s="11">
        <f t="shared" si="7"/>
        <v>2.8999999999999915E-2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11"/>
      <c r="H44" s="10"/>
      <c r="I44" s="10">
        <f t="shared" si="8"/>
        <v>11230</v>
      </c>
      <c r="J44" s="10">
        <f t="shared" si="6"/>
        <v>21952608488.755741</v>
      </c>
      <c r="K44" s="11">
        <f t="shared" si="7"/>
        <v>2.9099999999999904E-2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11"/>
      <c r="H45" s="10"/>
      <c r="I45" s="10">
        <f t="shared" si="8"/>
        <v>11230</v>
      </c>
      <c r="J45" s="10">
        <f t="shared" si="6"/>
        <v>21331851606.992268</v>
      </c>
      <c r="K45" s="11">
        <f t="shared" si="7"/>
        <v>3.1199999999999894E-2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11"/>
      <c r="H46" s="10"/>
      <c r="I46" s="10">
        <f t="shared" si="8"/>
        <v>11230</v>
      </c>
      <c r="J46" s="10">
        <f t="shared" si="6"/>
        <v>20686434839.984745</v>
      </c>
      <c r="K46" s="11">
        <f t="shared" si="7"/>
        <v>3.1300000000000106E-2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11"/>
      <c r="H47" s="10"/>
      <c r="I47" s="10">
        <f t="shared" si="8"/>
        <v>11230</v>
      </c>
      <c r="J47" s="10">
        <f t="shared" si="6"/>
        <v>20058600639.954178</v>
      </c>
      <c r="K47" s="11">
        <f t="shared" si="7"/>
        <v>3.1400000000000095E-2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11"/>
      <c r="H48" s="10"/>
      <c r="I48" s="10">
        <f t="shared" si="8"/>
        <v>11230</v>
      </c>
      <c r="J48" s="10">
        <f t="shared" si="6"/>
        <v>19447935466.311981</v>
      </c>
      <c r="K48" s="11">
        <f t="shared" si="7"/>
        <v>3.1400000000000095E-2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11"/>
      <c r="H49" s="10"/>
      <c r="I49" s="10">
        <f t="shared" si="8"/>
        <v>11230</v>
      </c>
      <c r="J49" s="10">
        <f t="shared" si="6"/>
        <v>18855861417.79327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11"/>
      <c r="H50" s="10"/>
      <c r="I50" s="10">
        <f t="shared" si="8"/>
        <v>11230</v>
      </c>
      <c r="J50" s="10">
        <f t="shared" si="6"/>
        <v>18285358240.683933</v>
      </c>
      <c r="K50" s="11">
        <f t="shared" si="7"/>
        <v>3.090000000000015E-2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11"/>
      <c r="H51" s="10"/>
      <c r="I51" s="10">
        <f t="shared" si="8"/>
        <v>11230</v>
      </c>
      <c r="J51" s="10">
        <f t="shared" si="6"/>
        <v>17737276399.926212</v>
      </c>
      <c r="K51" s="11">
        <f t="shared" si="7"/>
        <v>3.0599999999999961E-2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11"/>
      <c r="H52" s="10"/>
      <c r="I52" s="10">
        <f t="shared" si="8"/>
        <v>11230</v>
      </c>
      <c r="J52" s="10">
        <f t="shared" si="6"/>
        <v>17210631088.614605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11"/>
      <c r="H53" s="10"/>
      <c r="I53" s="10">
        <f t="shared" si="8"/>
        <v>11230</v>
      </c>
      <c r="J53" s="10">
        <f t="shared" si="6"/>
        <v>16704485187.435316</v>
      </c>
      <c r="K53" s="11">
        <f t="shared" si="7"/>
        <v>3.0100000000000016E-2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11"/>
      <c r="H54" s="10"/>
      <c r="I54" s="10">
        <f t="shared" si="8"/>
        <v>11230</v>
      </c>
      <c r="J54" s="10">
        <f t="shared" si="6"/>
        <v>16216372378.832458</v>
      </c>
      <c r="K54" s="11">
        <f t="shared" si="7"/>
        <v>3.0000000000000027E-2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11"/>
      <c r="H55" s="10"/>
      <c r="I55" s="10">
        <f t="shared" si="8"/>
        <v>11230</v>
      </c>
      <c r="J55" s="10">
        <f t="shared" si="6"/>
        <v>15744050853.235397</v>
      </c>
      <c r="K55" s="11">
        <f t="shared" si="7"/>
        <v>2.9900000000000038E-2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11"/>
      <c r="H56" s="10"/>
      <c r="I56" s="10">
        <f t="shared" si="8"/>
        <v>11230</v>
      </c>
      <c r="J56" s="10">
        <f t="shared" si="6"/>
        <v>15286970437.164186</v>
      </c>
      <c r="K56" s="11">
        <f t="shared" si="7"/>
        <v>2.9900000000000038E-2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11"/>
      <c r="H57" s="10"/>
      <c r="I57" s="10">
        <f t="shared" si="8"/>
        <v>11230</v>
      </c>
      <c r="J57" s="10">
        <f t="shared" si="6"/>
        <v>14843159954.52392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11"/>
      <c r="H58" s="10"/>
      <c r="I58" s="10">
        <f t="shared" si="8"/>
        <v>11230</v>
      </c>
      <c r="J58" s="10">
        <f t="shared" si="6"/>
        <v>14410834907.304777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11"/>
      <c r="H59" s="10"/>
      <c r="I59" s="10">
        <f t="shared" si="8"/>
        <v>11230</v>
      </c>
      <c r="J59" s="10">
        <f t="shared" si="6"/>
        <v>13991101851.752211</v>
      </c>
      <c r="K59" s="11">
        <f t="shared" si="7"/>
        <v>2.9999999999999805E-2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11"/>
      <c r="H60" s="10"/>
      <c r="I60" s="10">
        <f t="shared" si="8"/>
        <v>11230</v>
      </c>
      <c r="J60" s="10">
        <f t="shared" si="6"/>
        <v>13583594030.827391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11"/>
      <c r="H61" s="10"/>
      <c r="I61" s="10">
        <f t="shared" si="8"/>
        <v>11230</v>
      </c>
      <c r="J61" s="10">
        <f t="shared" si="6"/>
        <v>13187955369.735331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11"/>
      <c r="H62" s="10"/>
      <c r="I62" s="10">
        <f t="shared" si="8"/>
        <v>11230</v>
      </c>
      <c r="J62" s="10">
        <f t="shared" si="6"/>
        <v>12803840164.791582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11"/>
      <c r="H63" s="10"/>
      <c r="I63" s="10">
        <f t="shared" si="8"/>
        <v>11230</v>
      </c>
      <c r="J63" s="10">
        <f t="shared" si="6"/>
        <v>12430912781.351051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11"/>
      <c r="H64" s="10"/>
      <c r="I64" s="10">
        <f t="shared" si="8"/>
        <v>11230</v>
      </c>
      <c r="J64" s="10">
        <f t="shared" si="6"/>
        <v>12068847360.535</v>
      </c>
      <c r="K64" s="11">
        <f t="shared" si="7"/>
        <v>3.0000000000000027E-2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11"/>
      <c r="H65" s="10"/>
      <c r="I65" s="10">
        <f t="shared" si="8"/>
        <v>11230</v>
      </c>
      <c r="J65" s="10">
        <f t="shared" si="6"/>
        <v>11717327534.5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11"/>
      <c r="H66" s="10"/>
      <c r="I66" s="10">
        <f t="shared" si="8"/>
        <v>11230</v>
      </c>
      <c r="J66" s="10">
        <f t="shared" ref="J66:J97" si="9">IF(I66="","",I66*C66)</f>
        <v>11376046150</v>
      </c>
      <c r="K66" s="11">
        <f t="shared" ref="K66:K97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11230</v>
      </c>
      <c r="J67" s="10">
        <f t="shared" si="9"/>
        <v>11044705000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117"/>
  <sheetViews>
    <sheetView tabSelected="1" workbookViewId="0">
      <selection activeCell="H21" sqref="H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17" t="s">
        <v>66</v>
      </c>
      <c r="B1" s="18" t="s">
        <v>67</v>
      </c>
      <c r="C1" s="18" t="s">
        <v>68</v>
      </c>
      <c r="D1" s="18" t="s">
        <v>69</v>
      </c>
      <c r="E1" s="18" t="s">
        <v>70</v>
      </c>
      <c r="F1" s="18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19">
        <f t="shared" ref="A2:A117" si="0">SUM(B2+250)</f>
        <v>2015</v>
      </c>
      <c r="B2" s="19">
        <v>1765</v>
      </c>
      <c r="C2" s="20">
        <f t="shared" ref="C2:C105" si="1">SUM(C3*(1+D2))</f>
        <v>890028339.57375264</v>
      </c>
      <c r="D2" s="21">
        <v>1.1999999999999999E-3</v>
      </c>
      <c r="E2" s="20">
        <f t="shared" ref="E2:E116" si="2">SUM(C2-C3)</f>
        <v>1066753.9028052092</v>
      </c>
      <c r="F2" s="19"/>
      <c r="G2" s="11">
        <v>2.12E-2</v>
      </c>
      <c r="H2" s="10"/>
      <c r="I2" s="10">
        <f>IF(H2&lt;&gt;"",H2,10755)</f>
        <v>10755</v>
      </c>
      <c r="J2" s="10">
        <f t="shared" ref="J2:J33" si="3">IF(I2="","",I2*C2)</f>
        <v>9572254792115.709</v>
      </c>
      <c r="K2" s="11">
        <f t="shared" ref="K2:K33" si="4">IFERROR(J2/J3-1,"")</f>
        <v>2.242544000000013E-2</v>
      </c>
    </row>
    <row r="3" spans="1:11" ht="22.5" customHeight="1">
      <c r="A3" s="19">
        <f t="shared" si="0"/>
        <v>2014</v>
      </c>
      <c r="B3" s="19">
        <v>1764</v>
      </c>
      <c r="C3" s="20">
        <f t="shared" si="1"/>
        <v>888961585.67094743</v>
      </c>
      <c r="D3" s="21">
        <v>1.1999999999999999E-3</v>
      </c>
      <c r="E3" s="20">
        <f t="shared" si="2"/>
        <v>1065475.3324062824</v>
      </c>
      <c r="F3" s="19"/>
      <c r="G3" s="11">
        <v>2.69E-2</v>
      </c>
      <c r="H3" s="10"/>
      <c r="I3" s="10">
        <f t="shared" ref="I3:I34" si="5">IF(H3&lt;&gt;"",H3,I2/(1+IF(G2="",0,G2)))</f>
        <v>10531.727379553466</v>
      </c>
      <c r="J3" s="10">
        <f t="shared" si="3"/>
        <v>9362301071181.9805</v>
      </c>
      <c r="K3" s="11">
        <f t="shared" si="4"/>
        <v>2.8132279999999898E-2</v>
      </c>
    </row>
    <row r="4" spans="1:11" ht="22.5" customHeight="1">
      <c r="A4" s="19">
        <f t="shared" si="0"/>
        <v>2013</v>
      </c>
      <c r="B4" s="19">
        <v>1763</v>
      </c>
      <c r="C4" s="20">
        <f t="shared" si="1"/>
        <v>887896110.33854115</v>
      </c>
      <c r="D4" s="21">
        <v>1.2999999999999999E-3</v>
      </c>
      <c r="E4" s="20">
        <f t="shared" si="2"/>
        <v>1152766.3471888304</v>
      </c>
      <c r="F4" s="19"/>
      <c r="G4" s="11">
        <v>3.0099999999999998E-2</v>
      </c>
      <c r="H4" s="10"/>
      <c r="I4" s="10">
        <f t="shared" si="5"/>
        <v>10255.84514514896</v>
      </c>
      <c r="J4" s="10">
        <f t="shared" si="3"/>
        <v>9106125012612.1719</v>
      </c>
      <c r="K4" s="11">
        <f t="shared" si="4"/>
        <v>3.1439130000000093E-2</v>
      </c>
    </row>
    <row r="5" spans="1:11" ht="22.5" customHeight="1">
      <c r="A5" s="19">
        <f t="shared" si="0"/>
        <v>2012</v>
      </c>
      <c r="B5" s="19">
        <v>1762</v>
      </c>
      <c r="C5" s="20">
        <f t="shared" si="1"/>
        <v>886743343.99135232</v>
      </c>
      <c r="D5" s="21">
        <v>1.4E-3</v>
      </c>
      <c r="E5" s="20">
        <f t="shared" si="2"/>
        <v>1239705.094455719</v>
      </c>
      <c r="F5" s="19"/>
      <c r="G5" s="11">
        <v>1.55E-2</v>
      </c>
      <c r="H5" s="10"/>
      <c r="I5" s="10">
        <f t="shared" si="5"/>
        <v>9956.1645909610324</v>
      </c>
      <c r="J5" s="10">
        <f t="shared" si="3"/>
        <v>8828562682717.0801</v>
      </c>
      <c r="K5" s="11">
        <f t="shared" si="4"/>
        <v>1.6921700000000151E-2</v>
      </c>
    </row>
    <row r="6" spans="1:11" ht="22.5" customHeight="1">
      <c r="A6" s="19">
        <f t="shared" si="0"/>
        <v>2011</v>
      </c>
      <c r="B6" s="19">
        <v>1761</v>
      </c>
      <c r="C6" s="20">
        <f t="shared" si="1"/>
        <v>885503638.8968966</v>
      </c>
      <c r="D6" s="21">
        <v>1.6000000000000001E-3</v>
      </c>
      <c r="E6" s="20">
        <f t="shared" si="2"/>
        <v>1414542.5541484356</v>
      </c>
      <c r="F6" s="19"/>
      <c r="G6" s="11">
        <v>1.54E-2</v>
      </c>
      <c r="H6" s="10"/>
      <c r="I6" s="10">
        <f t="shared" si="5"/>
        <v>9804.1994987307062</v>
      </c>
      <c r="J6" s="10">
        <f t="shared" si="3"/>
        <v>8681654332597.1699</v>
      </c>
      <c r="K6" s="11">
        <f t="shared" si="4"/>
        <v>1.7024640000000035E-2</v>
      </c>
    </row>
    <row r="7" spans="1:11" ht="22.5" customHeight="1">
      <c r="A7" s="19">
        <f t="shared" si="0"/>
        <v>2010</v>
      </c>
      <c r="B7" s="19">
        <v>1760</v>
      </c>
      <c r="C7" s="20">
        <f t="shared" si="1"/>
        <v>884089096.34274817</v>
      </c>
      <c r="D7" s="21">
        <v>1.6999999999999999E-3</v>
      </c>
      <c r="E7" s="20">
        <f t="shared" si="2"/>
        <v>1500400.7824525833</v>
      </c>
      <c r="F7" s="19"/>
      <c r="G7" s="11">
        <v>2.7799999999999998E-2</v>
      </c>
      <c r="H7" s="10"/>
      <c r="I7" s="10">
        <f t="shared" si="5"/>
        <v>9655.5047259510593</v>
      </c>
      <c r="J7" s="10">
        <f t="shared" si="3"/>
        <v>8536326447899.2061</v>
      </c>
      <c r="K7" s="11">
        <f t="shared" si="4"/>
        <v>2.9547260000000186E-2</v>
      </c>
    </row>
    <row r="8" spans="1:11" ht="22.5" customHeight="1">
      <c r="A8" s="19">
        <f t="shared" si="0"/>
        <v>2009</v>
      </c>
      <c r="B8" s="19">
        <v>1759</v>
      </c>
      <c r="C8" s="20">
        <f t="shared" si="1"/>
        <v>882588695.56029558</v>
      </c>
      <c r="D8" s="21">
        <v>1.9E-3</v>
      </c>
      <c r="E8" s="20">
        <f t="shared" si="2"/>
        <v>1673738.4185693264</v>
      </c>
      <c r="F8" s="19"/>
      <c r="G8" s="11">
        <v>1.1000000000000001E-3</v>
      </c>
      <c r="H8" s="10"/>
      <c r="I8" s="10">
        <f t="shared" si="5"/>
        <v>9394.3420178546985</v>
      </c>
      <c r="J8" s="10">
        <f t="shared" si="3"/>
        <v>8291340067185.6533</v>
      </c>
      <c r="K8" s="11">
        <f t="shared" si="4"/>
        <v>3.0020900000000683E-3</v>
      </c>
    </row>
    <row r="9" spans="1:11" ht="22.5" customHeight="1">
      <c r="A9" s="19">
        <f t="shared" si="0"/>
        <v>2008</v>
      </c>
      <c r="B9" s="19">
        <v>1758</v>
      </c>
      <c r="C9" s="20">
        <f t="shared" si="1"/>
        <v>880914957.14172626</v>
      </c>
      <c r="D9" s="21">
        <v>2.0999999999999999E-3</v>
      </c>
      <c r="E9" s="20">
        <f t="shared" si="2"/>
        <v>1846044.7160937786</v>
      </c>
      <c r="F9" s="19"/>
      <c r="G9" s="11">
        <v>-2.5399999999999999E-2</v>
      </c>
      <c r="H9" s="10"/>
      <c r="I9" s="10">
        <f t="shared" si="5"/>
        <v>9384.0195962987691</v>
      </c>
      <c r="J9" s="10">
        <f t="shared" si="3"/>
        <v>8266523220490.6494</v>
      </c>
      <c r="K9" s="11">
        <f t="shared" si="4"/>
        <v>-2.3353340000000111E-2</v>
      </c>
    </row>
    <row r="10" spans="1:11" ht="22.5" customHeight="1">
      <c r="A10" s="19">
        <f t="shared" si="0"/>
        <v>2007</v>
      </c>
      <c r="B10" s="19">
        <v>1757</v>
      </c>
      <c r="C10" s="20">
        <f t="shared" si="1"/>
        <v>879068912.42563248</v>
      </c>
      <c r="D10" s="21">
        <v>2.5000000000000001E-3</v>
      </c>
      <c r="E10" s="20">
        <f t="shared" si="2"/>
        <v>2192191.8015601635</v>
      </c>
      <c r="F10" s="19"/>
      <c r="G10" s="11">
        <v>2.1299999999999999E-2</v>
      </c>
      <c r="H10" s="10"/>
      <c r="I10" s="10">
        <f t="shared" si="5"/>
        <v>9628.5856723771485</v>
      </c>
      <c r="J10" s="10">
        <f t="shared" si="3"/>
        <v>8464190335213.6074</v>
      </c>
      <c r="K10" s="11">
        <f t="shared" si="4"/>
        <v>2.3853250000000159E-2</v>
      </c>
    </row>
    <row r="11" spans="1:11" ht="22.5" customHeight="1">
      <c r="A11" s="19">
        <f t="shared" si="0"/>
        <v>2006</v>
      </c>
      <c r="B11" s="19">
        <v>1756</v>
      </c>
      <c r="C11" s="20">
        <f t="shared" si="1"/>
        <v>876876720.62407231</v>
      </c>
      <c r="D11" s="21">
        <v>2.5999999999999999E-3</v>
      </c>
      <c r="E11" s="20">
        <f t="shared" si="2"/>
        <v>2273967.159009099</v>
      </c>
      <c r="F11" s="19"/>
      <c r="G11" s="11">
        <v>2.63E-2</v>
      </c>
      <c r="H11" s="10"/>
      <c r="I11" s="10">
        <f t="shared" si="5"/>
        <v>9427.7740843798565</v>
      </c>
      <c r="J11" s="10">
        <f t="shared" si="3"/>
        <v>8266995621895.625</v>
      </c>
      <c r="K11" s="11">
        <f t="shared" si="4"/>
        <v>2.8968380000000016E-2</v>
      </c>
    </row>
    <row r="12" spans="1:11" ht="22.5" customHeight="1">
      <c r="A12" s="19">
        <f t="shared" si="0"/>
        <v>2005</v>
      </c>
      <c r="B12" s="19">
        <v>1755</v>
      </c>
      <c r="C12" s="20">
        <f t="shared" si="1"/>
        <v>874602753.46506321</v>
      </c>
      <c r="D12" s="21">
        <v>2.8E-3</v>
      </c>
      <c r="E12" s="20">
        <f t="shared" si="2"/>
        <v>2442049.969786644</v>
      </c>
      <c r="F12" s="19"/>
      <c r="G12" s="11">
        <v>2.9700000000000001E-2</v>
      </c>
      <c r="H12" s="10"/>
      <c r="I12" s="10">
        <f t="shared" si="5"/>
        <v>9186.1776131539082</v>
      </c>
      <c r="J12" s="10">
        <f t="shared" si="3"/>
        <v>8034256234283.5303</v>
      </c>
      <c r="K12" s="11">
        <f t="shared" si="4"/>
        <v>3.2583159999999944E-2</v>
      </c>
    </row>
    <row r="13" spans="1:11" ht="22.5" customHeight="1">
      <c r="A13" s="19">
        <f t="shared" si="0"/>
        <v>2004</v>
      </c>
      <c r="B13" s="19">
        <v>1754</v>
      </c>
      <c r="C13" s="20">
        <f t="shared" si="1"/>
        <v>872160703.49527657</v>
      </c>
      <c r="D13" s="21">
        <v>3.0999999999999999E-3</v>
      </c>
      <c r="E13" s="20">
        <f t="shared" si="2"/>
        <v>2695342.618717432</v>
      </c>
      <c r="F13" s="19"/>
      <c r="G13" s="11">
        <v>3.3500000000000002E-2</v>
      </c>
      <c r="H13" s="10"/>
      <c r="I13" s="10">
        <f t="shared" si="5"/>
        <v>8921.2174547478953</v>
      </c>
      <c r="J13" s="10">
        <f t="shared" si="3"/>
        <v>7780735291367.2646</v>
      </c>
      <c r="K13" s="11">
        <f t="shared" si="4"/>
        <v>3.6703850000000093E-2</v>
      </c>
    </row>
    <row r="14" spans="1:11" ht="22.5" customHeight="1">
      <c r="A14" s="19">
        <f t="shared" si="0"/>
        <v>2003</v>
      </c>
      <c r="B14" s="19">
        <v>1753</v>
      </c>
      <c r="C14" s="20">
        <f t="shared" si="1"/>
        <v>869465360.87655914</v>
      </c>
      <c r="D14" s="21">
        <v>3.3E-3</v>
      </c>
      <c r="E14" s="20">
        <f t="shared" si="2"/>
        <v>2859798.3563169241</v>
      </c>
      <c r="F14" s="19"/>
      <c r="G14" s="11">
        <v>4.2999999999999997E-2</v>
      </c>
      <c r="H14" s="10"/>
      <c r="I14" s="10">
        <f t="shared" si="5"/>
        <v>8632.0439813719349</v>
      </c>
      <c r="J14" s="10">
        <f t="shared" si="3"/>
        <v>7505263235365.8799</v>
      </c>
      <c r="K14" s="11">
        <f t="shared" si="4"/>
        <v>4.6441900000000258E-2</v>
      </c>
    </row>
    <row r="15" spans="1:13" ht="22.5" customHeight="1">
      <c r="A15" s="19">
        <f t="shared" si="0"/>
        <v>2002</v>
      </c>
      <c r="B15" s="19">
        <v>1752</v>
      </c>
      <c r="C15" s="20">
        <f t="shared" si="1"/>
        <v>866605562.52024221</v>
      </c>
      <c r="D15" s="21">
        <v>3.5999999999999999E-3</v>
      </c>
      <c r="E15" s="20">
        <f t="shared" si="2"/>
        <v>3108589.1042973995</v>
      </c>
      <c r="F15" s="19"/>
      <c r="G15" s="11">
        <v>1.9900000000000001E-2</v>
      </c>
      <c r="H15" s="10"/>
      <c r="I15" s="10">
        <f t="shared" si="5"/>
        <v>8276.168726147589</v>
      </c>
      <c r="J15" s="10">
        <f t="shared" si="3"/>
        <v>7172173854435.5674</v>
      </c>
      <c r="K15" s="11">
        <f t="shared" si="4"/>
        <v>2.3571639999999894E-2</v>
      </c>
      <c r="L15" t="inlineStr">
        <is>
          <t xml:space="preserve">Rearmament Squeeze - Cold War military budgets crowd out civilian growth.</t>
        </is>
      </c>
      <c r="M15" t="inlineStr">
        <is>
          <t xml:space="preserve">Rearmament Squeeze (1751-53): the Cold War arms race that diverted spending from civilian growth, beginning Estijan's long stagnation.</t>
        </is>
      </c>
    </row>
    <row r="16" spans="1:11" ht="22.5" customHeight="1">
      <c r="A16" s="19">
        <f t="shared" si="0"/>
        <v>2001</v>
      </c>
      <c r="B16" s="19">
        <v>1751</v>
      </c>
      <c r="C16" s="20">
        <f t="shared" si="1"/>
        <v>863496973.41594481</v>
      </c>
      <c r="D16" s="21">
        <v>3.8E-3</v>
      </c>
      <c r="E16" s="20">
        <f t="shared" si="2"/>
        <v>3268866.8051211834</v>
      </c>
      <c r="F16" s="19"/>
      <c r="G16" s="11">
        <v>1.6999999999999999E-3</v>
      </c>
      <c r="H16" s="10"/>
      <c r="I16" s="10">
        <f t="shared" si="5"/>
        <v>8114.6864654844485</v>
      </c>
      <c r="J16" s="10">
        <f t="shared" si="3"/>
        <v>7007007203165.1523</v>
      </c>
      <c r="K16" s="11">
        <f t="shared" si="4"/>
        <v>5.5064600000001018E-3</v>
      </c>
    </row>
    <row r="17" spans="1:11" ht="22.5" customHeight="1">
      <c r="A17" s="19">
        <f t="shared" si="0"/>
        <v>2000</v>
      </c>
      <c r="B17" s="19">
        <v>1750</v>
      </c>
      <c r="C17" s="20">
        <f t="shared" si="1"/>
        <v>860228106.61082363</v>
      </c>
      <c r="D17" s="21">
        <v>4.0000000000000001E-3</v>
      </c>
      <c r="E17" s="20">
        <f t="shared" si="2"/>
        <v>3427203.6119953394</v>
      </c>
      <c r="F17" s="19"/>
      <c r="G17" s="11">
        <v>2.9100000000000001E-2</v>
      </c>
      <c r="H17" s="10"/>
      <c r="I17" s="10">
        <f t="shared" si="5"/>
        <v>8100.914910137215</v>
      </c>
      <c r="J17" s="10">
        <f t="shared" si="3"/>
        <v>6968634694962.7266</v>
      </c>
      <c r="K17" s="11">
        <f t="shared" si="4"/>
        <v>3.3216399999999924E-2</v>
      </c>
    </row>
    <row r="18" spans="1:11" ht="22.5" customHeight="1">
      <c r="A18" s="19">
        <f t="shared" si="0"/>
        <v>1999</v>
      </c>
      <c r="B18" s="19">
        <v>1749</v>
      </c>
      <c r="C18" s="20">
        <f t="shared" si="1"/>
        <v>856800902.99882829</v>
      </c>
      <c r="D18" s="21">
        <v>4.1999999999999997E-3</v>
      </c>
      <c r="E18" s="20">
        <f t="shared" si="2"/>
        <v>3583513.037836194</v>
      </c>
      <c r="F18" s="19"/>
      <c r="G18" s="11">
        <v>4.82E-2</v>
      </c>
      <c r="H18" s="10"/>
      <c r="I18" s="10">
        <f t="shared" si="5"/>
        <v>7871.8442426753627</v>
      </c>
      <c r="J18" s="10">
        <f t="shared" si="3"/>
        <v>6744603255390.3779</v>
      </c>
      <c r="K18" s="11">
        <f t="shared" si="4"/>
        <v>5.2602440000000028E-2</v>
      </c>
    </row>
    <row r="19" spans="1:11" ht="22.5" customHeight="1">
      <c r="A19" s="19">
        <f t="shared" si="0"/>
        <v>1998</v>
      </c>
      <c r="B19" s="19">
        <v>1748</v>
      </c>
      <c r="C19" s="20">
        <f t="shared" si="1"/>
        <v>853217389.9609921</v>
      </c>
      <c r="D19" s="21">
        <v>4.4999999999999997E-3</v>
      </c>
      <c r="E19" s="20">
        <f t="shared" si="2"/>
        <v>3822278.0038073063</v>
      </c>
      <c r="F19" s="19"/>
      <c r="G19" s="11">
        <v>4.8800000000000003E-2</v>
      </c>
      <c r="H19" s="10"/>
      <c r="I19" s="10">
        <f t="shared" si="5"/>
        <v>7509.8685772518247</v>
      </c>
      <c r="J19" s="10">
        <f t="shared" si="3"/>
        <v>6407550466432.8711</v>
      </c>
      <c r="K19" s="11">
        <f t="shared" si="4"/>
        <v>5.3519599999999778E-2</v>
      </c>
    </row>
    <row r="20" spans="1:11" ht="22.5" customHeight="1">
      <c r="A20" s="19">
        <f t="shared" si="0"/>
        <v>1997</v>
      </c>
      <c r="B20" s="19">
        <v>1747</v>
      </c>
      <c r="C20" s="20">
        <f t="shared" si="1"/>
        <v>849395111.95718479</v>
      </c>
      <c r="D20" s="21">
        <v>4.7999999999999996E-3</v>
      </c>
      <c r="E20" s="20">
        <f t="shared" si="2"/>
        <v>4057619.961578846</v>
      </c>
      <c r="F20" s="19"/>
      <c r="G20" s="11">
        <v>4.48E-2</v>
      </c>
      <c r="H20" s="10"/>
      <c r="I20" s="10">
        <f t="shared" si="5"/>
        <v>7160.4391468838912</v>
      </c>
      <c r="J20" s="10">
        <f t="shared" si="3"/>
        <v>6082042010830.0518</v>
      </c>
      <c r="K20" s="11">
        <f t="shared" si="4"/>
        <v>4.98150399999997E-2</v>
      </c>
    </row>
    <row r="21" spans="1:11" ht="22.5" customHeight="1">
      <c r="A21" s="19">
        <f t="shared" si="0"/>
        <v>1996</v>
      </c>
      <c r="B21" s="19">
        <v>1746</v>
      </c>
      <c r="C21" s="20">
        <f t="shared" si="1"/>
        <v>845337491.99560595</v>
      </c>
      <c r="D21" s="21">
        <v>5.1999999999999998E-3</v>
      </c>
      <c r="E21" s="20">
        <f t="shared" si="2"/>
        <v>4373015.2789268494</v>
      </c>
      <c r="F21" s="19"/>
      <c r="G21" s="11">
        <v>4.4200000000000003E-2</v>
      </c>
      <c r="H21" s="10"/>
      <c r="I21" s="10">
        <f t="shared" si="5"/>
        <v>6853.4065341538017</v>
      </c>
      <c r="J21" s="10">
        <f t="shared" si="3"/>
        <v>5793441491207.873</v>
      </c>
      <c r="K21" s="11">
        <f t="shared" si="4"/>
        <v>4.9629840000000147E-2</v>
      </c>
    </row>
    <row r="22" spans="1:11" ht="22.5" customHeight="1">
      <c r="A22" s="19">
        <f t="shared" si="0"/>
        <v>1995</v>
      </c>
      <c r="B22" s="19">
        <v>1745</v>
      </c>
      <c r="C22" s="20">
        <f t="shared" si="1"/>
        <v>840964476.7166791</v>
      </c>
      <c r="D22" s="21">
        <v>5.5999999999999999E-3</v>
      </c>
      <c r="E22" s="20">
        <f t="shared" si="2"/>
        <v>4683175.2880005836</v>
      </c>
      <c r="F22" s="19"/>
      <c r="G22" s="11">
        <v>2.1999999999999999E-2</v>
      </c>
      <c r="H22" s="10"/>
      <c r="I22" s="10">
        <f t="shared" si="5"/>
        <v>6563.3083069850618</v>
      </c>
      <c r="J22" s="10">
        <f t="shared" si="3"/>
        <v>5519509135913.9258</v>
      </c>
      <c r="K22" s="11">
        <f t="shared" si="4"/>
        <v>2.7723200000000059E-2</v>
      </c>
    </row>
    <row r="23" spans="1:11" ht="22.5" customHeight="1">
      <c r="A23" s="19">
        <f t="shared" si="0"/>
        <v>1994</v>
      </c>
      <c r="B23" s="19">
        <v>1744</v>
      </c>
      <c r="C23" s="20">
        <f t="shared" si="1"/>
        <v>836281301.42867851</v>
      </c>
      <c r="D23" s="21">
        <v>6.0000000000000001E-3</v>
      </c>
      <c r="E23" s="20">
        <f t="shared" si="2"/>
        <v>4987761.2411253452</v>
      </c>
      <c r="F23" s="19"/>
      <c r="G23" s="11">
        <v>4.1200000000000001E-2</v>
      </c>
      <c r="H23" s="10"/>
      <c r="I23" s="10">
        <f t="shared" si="5"/>
        <v>6422.0237837427221</v>
      </c>
      <c r="J23" s="10">
        <f t="shared" si="3"/>
        <v>5370618407674.29</v>
      </c>
      <c r="K23" s="11">
        <f t="shared" si="4"/>
        <v>4.7447199999999912E-2</v>
      </c>
    </row>
    <row r="24" spans="1:11" ht="22.5" customHeight="1">
      <c r="A24" s="19">
        <f t="shared" si="0"/>
        <v>1993</v>
      </c>
      <c r="B24" s="19">
        <v>1743</v>
      </c>
      <c r="C24" s="20">
        <f t="shared" si="1"/>
        <v>831293540.18755317</v>
      </c>
      <c r="D24" s="21">
        <v>6.3E-3</v>
      </c>
      <c r="E24" s="20">
        <f t="shared" si="2"/>
        <v>5204361.8236923218</v>
      </c>
      <c r="F24" s="19"/>
      <c r="G24" s="11">
        <v>2.6100000000000002E-2</v>
      </c>
      <c r="H24" s="10"/>
      <c r="I24" s="10">
        <f t="shared" si="5"/>
        <v>6167.9060543053429</v>
      </c>
      <c r="J24" s="10">
        <f t="shared" si="3"/>
        <v>5127340459427.7314</v>
      </c>
      <c r="K24" s="11">
        <f t="shared" si="4"/>
        <v>3.2564429999999867E-2</v>
      </c>
    </row>
    <row r="25" spans="1:11" ht="22.5" customHeight="1">
      <c r="A25" s="19">
        <f t="shared" si="0"/>
        <v>1992</v>
      </c>
      <c r="B25" s="19">
        <v>1742</v>
      </c>
      <c r="C25" s="20">
        <f t="shared" si="1"/>
        <v>826089178.36386085</v>
      </c>
      <c r="D25" s="21">
        <v>6.6E-3</v>
      </c>
      <c r="E25" s="20">
        <f t="shared" si="2"/>
        <v>5416440.0727214813</v>
      </c>
      <c r="F25" s="19"/>
      <c r="G25" s="11">
        <v>4.3799999999999999E-2</v>
      </c>
      <c r="H25" s="10"/>
      <c r="I25" s="10">
        <f t="shared" si="5"/>
        <v>6011.0184721814085</v>
      </c>
      <c r="J25" s="10">
        <f t="shared" si="3"/>
        <v>4965637310814.3301</v>
      </c>
      <c r="K25" s="11">
        <f t="shared" si="4"/>
        <v>5.0689080000000164E-2</v>
      </c>
    </row>
    <row r="26" spans="1:11" ht="22.5" customHeight="1">
      <c r="A26" s="19">
        <f t="shared" si="0"/>
        <v>1991</v>
      </c>
      <c r="B26" s="19">
        <v>1741</v>
      </c>
      <c r="C26" s="20">
        <f t="shared" si="1"/>
        <v>820672738.29113936</v>
      </c>
      <c r="D26" s="21">
        <v>6.7999999999999996E-3</v>
      </c>
      <c r="E26" s="20">
        <f t="shared" si="2"/>
        <v>5542883.0158717632</v>
      </c>
      <c r="F26" s="19"/>
      <c r="G26" s="11">
        <v>1.17E-2</v>
      </c>
      <c r="H26" s="10"/>
      <c r="I26" s="10">
        <f t="shared" si="5"/>
        <v>5758.7837441860584</v>
      </c>
      <c r="J26" s="10">
        <f t="shared" si="3"/>
        <v>4726076824567.6729</v>
      </c>
      <c r="K26" s="11">
        <f t="shared" si="4"/>
        <v>1.857956000000005E-2</v>
      </c>
    </row>
    <row r="27" spans="1:13" ht="22.5" customHeight="1">
      <c r="A27" s="19">
        <f t="shared" si="0"/>
        <v>1990</v>
      </c>
      <c r="B27" s="19">
        <v>1740</v>
      </c>
      <c r="C27" s="20">
        <f t="shared" si="1"/>
        <v>815129855.2752676</v>
      </c>
      <c r="D27" s="21">
        <v>7.0000000000000001E-3</v>
      </c>
      <c r="E27" s="20">
        <f t="shared" si="2"/>
        <v>5666245.2700365782</v>
      </c>
      <c r="F27" s="19"/>
      <c r="G27" s="11">
        <v>6.0000000000000001E-3</v>
      </c>
      <c r="H27" s="10"/>
      <c r="I27" s="10">
        <f t="shared" si="5"/>
        <v>5692.1851776080439</v>
      </c>
      <c r="J27" s="10">
        <f t="shared" si="3"/>
        <v>4639870080023.668</v>
      </c>
      <c r="K27" s="11">
        <f t="shared" si="4"/>
        <v>1.3041999999999776E-2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19">
        <f t="shared" si="0"/>
        <v>1989</v>
      </c>
      <c r="B28" s="19">
        <v>1739</v>
      </c>
      <c r="C28" s="20">
        <f t="shared" si="1"/>
        <v>809463610.00523102</v>
      </c>
      <c r="D28" s="21">
        <v>7.3000000000000001E-3</v>
      </c>
      <c r="E28" s="20">
        <f t="shared" si="2"/>
        <v>5866260.6502910852</v>
      </c>
      <c r="F28" s="19"/>
      <c r="G28" s="11">
        <v>2.7400000000000001E-2</v>
      </c>
      <c r="H28" s="10"/>
      <c r="I28" s="10">
        <f t="shared" si="5"/>
        <v>5658.2357630298648</v>
      </c>
      <c r="J28" s="10">
        <f t="shared" si="3"/>
        <v>4580135947002.8574</v>
      </c>
      <c r="K28" s="11">
        <f t="shared" si="4"/>
        <v>3.4900020000000254E-2</v>
      </c>
    </row>
    <row r="29" spans="1:11" ht="22.5" customHeight="1">
      <c r="A29" s="19">
        <f t="shared" si="0"/>
        <v>1988</v>
      </c>
      <c r="B29" s="19">
        <v>1738</v>
      </c>
      <c r="C29" s="20">
        <f t="shared" si="1"/>
        <v>803597349.35493994</v>
      </c>
      <c r="D29" s="21">
        <v>7.7000000000000002E-3</v>
      </c>
      <c r="E29" s="20">
        <f t="shared" si="2"/>
        <v>6140418.3685948849</v>
      </c>
      <c r="F29" s="19"/>
      <c r="G29" s="11">
        <v>3.7999999999999999E-2</v>
      </c>
      <c r="H29" s="10"/>
      <c r="I29" s="10">
        <f t="shared" si="5"/>
        <v>5507.3347897896283</v>
      </c>
      <c r="J29" s="10">
        <f t="shared" si="3"/>
        <v>4425679639085.1904</v>
      </c>
      <c r="K29" s="11">
        <f t="shared" si="4"/>
        <v>4.5992599999999939E-2</v>
      </c>
    </row>
    <row r="30" spans="1:11" ht="22.5" customHeight="1">
      <c r="A30" s="19">
        <f t="shared" si="0"/>
        <v>1987</v>
      </c>
      <c r="B30" s="19">
        <v>1737</v>
      </c>
      <c r="C30" s="20">
        <f t="shared" si="1"/>
        <v>797456930.98634505</v>
      </c>
      <c r="D30" s="22">
        <v>8.2000000000000007E-3</v>
      </c>
      <c r="E30" s="20">
        <f t="shared" si="2"/>
        <v>6485961.9461297989</v>
      </c>
      <c r="F30" s="19"/>
      <c r="G30" s="11">
        <v>4.4699999999999997E-2</v>
      </c>
      <c r="H30" s="10"/>
      <c r="I30" s="10">
        <f t="shared" si="5"/>
        <v>5305.7175238821083</v>
      </c>
      <c r="J30" s="10">
        <f t="shared" si="3"/>
        <v>4231081213275.4961</v>
      </c>
      <c r="K30" s="11">
        <f t="shared" si="4"/>
        <v>5.3266540000000084E-2</v>
      </c>
    </row>
    <row r="31" spans="1:11" ht="22.5" customHeight="1">
      <c r="A31" s="19">
        <f t="shared" si="0"/>
        <v>1986</v>
      </c>
      <c r="B31" s="19">
        <v>1736</v>
      </c>
      <c r="C31" s="20">
        <f t="shared" si="1"/>
        <v>790970969.04021525</v>
      </c>
      <c r="D31" s="23">
        <v>8.8000000000000005E-3</v>
      </c>
      <c r="E31" s="20">
        <f t="shared" si="2"/>
        <v>6899826.0582412481</v>
      </c>
      <c r="F31" s="19"/>
      <c r="G31" s="11">
        <v>2.9100000000000001E-2</v>
      </c>
      <c r="H31" s="10"/>
      <c r="I31" s="10">
        <f t="shared" si="5"/>
        <v>5078.6996495473422</v>
      </c>
      <c r="J31" s="10">
        <f t="shared" si="3"/>
        <v>4017103983266.6631</v>
      </c>
      <c r="K31" s="11">
        <f t="shared" si="4"/>
        <v>3.8156079999999815E-2</v>
      </c>
    </row>
    <row r="32" spans="1:11" ht="22.5" customHeight="1">
      <c r="A32" s="19">
        <f t="shared" si="0"/>
        <v>1985</v>
      </c>
      <c r="B32" s="19">
        <v>1735</v>
      </c>
      <c r="C32" s="20">
        <f t="shared" si="1"/>
        <v>784071142.98197401</v>
      </c>
      <c r="D32" s="22">
        <v>9.4000000000000004E-3</v>
      </c>
      <c r="E32" s="20">
        <f t="shared" si="2"/>
        <v>7301633.390163064</v>
      </c>
      <c r="F32" s="19"/>
      <c r="G32" s="11">
        <v>4.1799999999999997E-2</v>
      </c>
      <c r="H32" s="10"/>
      <c r="I32" s="10">
        <f t="shared" si="5"/>
        <v>4935.0885720992546</v>
      </c>
      <c r="J32" s="10">
        <f t="shared" si="3"/>
        <v>3869460537443.1406</v>
      </c>
      <c r="K32" s="11">
        <f t="shared" si="4"/>
        <v>5.1592920000000264E-2</v>
      </c>
    </row>
    <row r="33" spans="1:11" ht="22.5" customHeight="1">
      <c r="A33" s="19">
        <f t="shared" si="0"/>
        <v>1984</v>
      </c>
      <c r="B33" s="19">
        <v>1734</v>
      </c>
      <c r="C33" s="20">
        <f t="shared" si="1"/>
        <v>776769509.59181094</v>
      </c>
      <c r="D33" s="23">
        <v>9.9000000000000008E-3</v>
      </c>
      <c r="E33" s="20">
        <f t="shared" si="2"/>
        <v>7614633.2755311728</v>
      </c>
      <c r="F33" s="19"/>
      <c r="G33" s="11">
        <v>5.5800000000000002E-2</v>
      </c>
      <c r="H33" s="10"/>
      <c r="I33" s="10">
        <f t="shared" si="5"/>
        <v>4737.0786831438418</v>
      </c>
      <c r="J33" s="10">
        <f t="shared" si="3"/>
        <v>3679618285603.4634</v>
      </c>
      <c r="K33" s="11">
        <f t="shared" si="4"/>
        <v>6.625242000000009E-2</v>
      </c>
    </row>
    <row r="34" spans="1:11" ht="22.5" customHeight="1">
      <c r="A34" s="19">
        <f t="shared" si="0"/>
        <v>1983</v>
      </c>
      <c r="B34" s="19">
        <v>1733</v>
      </c>
      <c r="C34" s="20">
        <f t="shared" si="1"/>
        <v>769154876.31627977</v>
      </c>
      <c r="D34" s="22">
        <v>1.03E-2</v>
      </c>
      <c r="E34" s="20">
        <f t="shared" si="2"/>
        <v>7841527.4928809404</v>
      </c>
      <c r="F34" s="19"/>
      <c r="G34" s="11">
        <v>7.9000000000000001E-2</v>
      </c>
      <c r="H34" s="10"/>
      <c r="I34" s="10">
        <f t="shared" si="5"/>
        <v>4486.7197226215585</v>
      </c>
      <c r="J34" s="10">
        <f t="shared" ref="J34:J65" si="6">IF(I34="","",I34*C34)</f>
        <v>3450982353318.7979</v>
      </c>
      <c r="K34" s="11">
        <f t="shared" ref="K34:K65" si="7">IFERROR(J34/J35-1,"")</f>
        <v>9.0113699999999852E-2</v>
      </c>
    </row>
    <row r="35" spans="1:11" ht="22.5" customHeight="1">
      <c r="A35" s="19">
        <f t="shared" si="0"/>
        <v>1982</v>
      </c>
      <c r="B35" s="19">
        <v>1732</v>
      </c>
      <c r="C35" s="20">
        <f t="shared" si="1"/>
        <v>761313348.82339883</v>
      </c>
      <c r="D35" s="21">
        <v>1.06E-2</v>
      </c>
      <c r="E35" s="20">
        <f t="shared" si="2"/>
        <v>7985277.5554403067</v>
      </c>
      <c r="F35" s="19"/>
      <c r="G35" s="11">
        <v>-1.44E-2</v>
      </c>
      <c r="H35" s="10"/>
      <c r="I35" s="10">
        <f t="shared" ref="I35:I66" si="8">IF(H35&lt;&gt;"",H35,I34/(1+IF(G34="",0,G34)))</f>
        <v>4158.2203175361992</v>
      </c>
      <c r="J35" s="10">
        <f t="shared" si="6"/>
        <v>3165708635088.9805</v>
      </c>
      <c r="K35" s="11">
        <f t="shared" si="7"/>
        <v>-3.9526399999999517E-3</v>
      </c>
    </row>
    <row r="36" spans="1:13" ht="22.5" customHeight="1">
      <c r="A36" s="19">
        <f t="shared" si="0"/>
        <v>1981</v>
      </c>
      <c r="B36" s="19">
        <v>1731</v>
      </c>
      <c r="C36" s="20">
        <f t="shared" si="1"/>
        <v>753328071.26795852</v>
      </c>
      <c r="D36" s="21">
        <v>1.09E-2</v>
      </c>
      <c r="E36" s="20">
        <f t="shared" si="2"/>
        <v>8122738.1311906576</v>
      </c>
      <c r="F36" s="19"/>
      <c r="G36" s="11">
        <v>1.2999999999999999E-2</v>
      </c>
      <c r="H36" s="10"/>
      <c r="I36" s="10">
        <f t="shared" si="8"/>
        <v>4218.9735364612407</v>
      </c>
      <c r="J36" s="10">
        <f t="shared" si="6"/>
        <v>3178271196952.9043</v>
      </c>
      <c r="K36" s="11">
        <f t="shared" si="7"/>
        <v>2.4041699999999722E-2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19">
        <f t="shared" si="0"/>
        <v>1980</v>
      </c>
      <c r="B37" s="19">
        <v>1730</v>
      </c>
      <c r="C37" s="20">
        <f t="shared" si="1"/>
        <v>745205333.13676786</v>
      </c>
      <c r="D37" s="21">
        <v>1.12E-2</v>
      </c>
      <c r="E37" s="20">
        <f t="shared" si="2"/>
        <v>8253856.537907362</v>
      </c>
      <c r="F37" s="19"/>
      <c r="G37" s="11">
        <v>-4.0000000000000002E-4</v>
      </c>
      <c r="H37" s="10"/>
      <c r="I37" s="10">
        <f t="shared" si="8"/>
        <v>4164.8307368817777</v>
      </c>
      <c r="J37" s="10">
        <f t="shared" si="6"/>
        <v>3103654076736.2354</v>
      </c>
      <c r="K37" s="11">
        <f t="shared" si="7"/>
        <v>1.0795520000000058E-2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19">
        <f t="shared" si="0"/>
        <v>1979</v>
      </c>
      <c r="B38" s="19">
        <v>1729</v>
      </c>
      <c r="C38" s="20">
        <f t="shared" si="1"/>
        <v>736951476.5988605</v>
      </c>
      <c r="D38" s="21">
        <v>1.1299999999999999E-2</v>
      </c>
      <c r="E38" s="20">
        <f t="shared" si="2"/>
        <v>8234501.8150570393</v>
      </c>
      <c r="F38" s="19"/>
      <c r="G38" s="11">
        <v>1.2800000000000001E-2</v>
      </c>
      <c r="H38" s="10"/>
      <c r="I38" s="10">
        <f t="shared" si="8"/>
        <v>4166.4973358161042</v>
      </c>
      <c r="J38" s="10">
        <f t="shared" si="6"/>
        <v>3070506363874.8965</v>
      </c>
      <c r="K38" s="11">
        <f t="shared" si="7"/>
        <v>2.4244640000000039E-2</v>
      </c>
      <c r="L38" t="inlineStr">
        <is>
          <t xml:space="preserve">Massiran Credit Crisis - epicentre: banking sector collapsed, saved only by government bailouts.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19">
        <f t="shared" si="0"/>
        <v>1978</v>
      </c>
      <c r="B39" s="19">
        <v>1728</v>
      </c>
      <c r="C39" s="20">
        <f t="shared" si="1"/>
        <v>728716974.78380346</v>
      </c>
      <c r="D39" s="21">
        <v>1.14E-2</v>
      </c>
      <c r="E39" s="20">
        <f t="shared" si="2"/>
        <v>8213736.9117416143</v>
      </c>
      <c r="F39" s="19"/>
      <c r="G39" s="11">
        <v>6.6600000000000006E-2</v>
      </c>
      <c r="H39" s="10"/>
      <c r="I39" s="10">
        <f t="shared" si="8"/>
        <v>4113.8401814929939</v>
      </c>
      <c r="J39" s="10">
        <f t="shared" si="6"/>
        <v>2997825171801.6274</v>
      </c>
      <c r="K39" s="11">
        <f t="shared" si="7"/>
        <v>7.8759240000000119E-2</v>
      </c>
    </row>
    <row r="40" spans="1:11" ht="22.5" customHeight="1">
      <c r="A40" s="19">
        <f t="shared" si="0"/>
        <v>1977</v>
      </c>
      <c r="B40" s="19">
        <v>1727</v>
      </c>
      <c r="C40" s="20">
        <f t="shared" si="1"/>
        <v>720503237.87206185</v>
      </c>
      <c r="D40" s="21">
        <v>1.1299999999999999E-2</v>
      </c>
      <c r="E40" s="20">
        <f t="shared" si="2"/>
        <v>8050713.5251204967</v>
      </c>
      <c r="F40" s="19"/>
      <c r="G40" s="11">
        <v>5.0099999999999999E-2</v>
      </c>
      <c r="H40" s="10"/>
      <c r="I40" s="10">
        <f t="shared" si="8"/>
        <v>3856.9662305390907</v>
      </c>
      <c r="J40" s="10">
        <f t="shared" si="6"/>
        <v>2778956657466.6162</v>
      </c>
      <c r="K40" s="11">
        <f t="shared" si="7"/>
        <v>6.1966130000000064E-2</v>
      </c>
    </row>
    <row r="41" spans="1:11" ht="22.5" customHeight="1">
      <c r="A41" s="19">
        <f t="shared" si="0"/>
        <v>1976</v>
      </c>
      <c r="B41" s="19">
        <v>1726</v>
      </c>
      <c r="C41" s="20">
        <f t="shared" si="1"/>
        <v>712452524.34694135</v>
      </c>
      <c r="D41" s="21">
        <v>1.12E-2</v>
      </c>
      <c r="E41" s="20">
        <f t="shared" si="2"/>
        <v>7891088.0861212015</v>
      </c>
      <c r="F41" s="19"/>
      <c r="G41" s="11">
        <v>4.3099999999999999E-2</v>
      </c>
      <c r="H41" s="10"/>
      <c r="I41" s="10">
        <f t="shared" si="8"/>
        <v>3672.9513670498909</v>
      </c>
      <c r="J41" s="10">
        <f t="shared" si="6"/>
        <v>2616803473258.2441</v>
      </c>
      <c r="K41" s="11">
        <f t="shared" si="7"/>
        <v>5.4782720000000173E-2</v>
      </c>
    </row>
    <row r="42" spans="1:13" ht="22.5" customHeight="1">
      <c r="A42" s="19">
        <f t="shared" si="0"/>
        <v>1975</v>
      </c>
      <c r="B42" s="19">
        <v>1725</v>
      </c>
      <c r="C42" s="20">
        <f t="shared" si="1"/>
        <v>704561436.26082015</v>
      </c>
      <c r="D42" s="21">
        <v>1.11E-2</v>
      </c>
      <c r="E42" s="20">
        <f t="shared" si="2"/>
        <v>7734775.9296758175</v>
      </c>
      <c r="F42" s="19"/>
      <c r="G42" s="11">
        <v>2.5499999999999998E-2</v>
      </c>
      <c r="H42" s="10"/>
      <c r="I42" s="10">
        <f t="shared" si="8"/>
        <v>3521.1881574632262</v>
      </c>
      <c r="J42" s="10">
        <f t="shared" si="6"/>
        <v>2480893385566.8813</v>
      </c>
      <c r="K42" s="11">
        <f t="shared" si="7"/>
        <v>3.6883050000000139E-2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19">
        <f t="shared" si="0"/>
        <v>1974</v>
      </c>
      <c r="B43" s="19">
        <v>1724</v>
      </c>
      <c r="C43" s="20">
        <f t="shared" si="1"/>
        <v>696826660.33114433</v>
      </c>
      <c r="D43" s="21">
        <v>1.0999999999999999E-2</v>
      </c>
      <c r="E43" s="20">
        <f t="shared" si="2"/>
        <v>7581694.6227917671</v>
      </c>
      <c r="F43" s="19"/>
      <c r="G43" s="11">
        <v>-1.95E-2</v>
      </c>
      <c r="H43" s="10"/>
      <c r="I43" s="10">
        <f t="shared" si="8"/>
        <v>3433.6305777310831</v>
      </c>
      <c r="J43" s="10">
        <f t="shared" si="6"/>
        <v>2392645328291.2485</v>
      </c>
      <c r="K43" s="11">
        <f t="shared" si="7"/>
        <v>-8.7145000000000694E-3</v>
      </c>
    </row>
    <row r="44" spans="1:11" ht="22.5" customHeight="1">
      <c r="A44" s="19">
        <f t="shared" si="0"/>
        <v>1973</v>
      </c>
      <c r="B44" s="19">
        <v>1723</v>
      </c>
      <c r="C44" s="20">
        <f t="shared" si="1"/>
        <v>689244965.70835257</v>
      </c>
      <c r="D44" s="21">
        <v>1.0999999999999999E-2</v>
      </c>
      <c r="E44" s="20">
        <f t="shared" si="2"/>
        <v>7499203.3855507374</v>
      </c>
      <c r="F44" s="19"/>
      <c r="G44" s="11">
        <v>4.02E-2</v>
      </c>
      <c r="H44" s="10"/>
      <c r="I44" s="10">
        <f t="shared" si="8"/>
        <v>3501.9179783080908</v>
      </c>
      <c r="J44" s="10">
        <f t="shared" si="6"/>
        <v>2413679336872.4233</v>
      </c>
      <c r="K44" s="11">
        <f t="shared" si="7"/>
        <v>5.164219999999986E-2</v>
      </c>
    </row>
    <row r="45" spans="1:11" ht="22.5" customHeight="1">
      <c r="A45" s="19">
        <f t="shared" si="0"/>
        <v>1972</v>
      </c>
      <c r="B45" s="19">
        <v>1722</v>
      </c>
      <c r="C45" s="20">
        <f t="shared" si="1"/>
        <v>681745762.32280183</v>
      </c>
      <c r="D45" s="21">
        <v>1.0999999999999999E-2</v>
      </c>
      <c r="E45" s="20">
        <f t="shared" si="2"/>
        <v>7417609.6790808439</v>
      </c>
      <c r="F45" s="19"/>
      <c r="G45" s="11">
        <v>6.8900000000000003E-2</v>
      </c>
      <c r="H45" s="10"/>
      <c r="I45" s="10">
        <f t="shared" si="8"/>
        <v>3366.5814057951266</v>
      </c>
      <c r="J45" s="10">
        <f t="shared" si="6"/>
        <v>2295152606915.5684</v>
      </c>
      <c r="K45" s="11">
        <f t="shared" si="7"/>
        <v>8.0657899999999838E-2</v>
      </c>
    </row>
    <row r="46" spans="1:11" ht="22.5" customHeight="1">
      <c r="A46" s="19">
        <f t="shared" si="0"/>
        <v>1971</v>
      </c>
      <c r="B46" s="19">
        <v>1721</v>
      </c>
      <c r="C46" s="20">
        <f t="shared" si="1"/>
        <v>674328152.64372098</v>
      </c>
      <c r="D46" s="21">
        <v>1.0999999999999999E-2</v>
      </c>
      <c r="E46" s="20">
        <f t="shared" si="2"/>
        <v>7336903.7379633188</v>
      </c>
      <c r="F46" s="19"/>
      <c r="G46" s="11">
        <v>4.3700000000000003E-2</v>
      </c>
      <c r="H46" s="10"/>
      <c r="I46" s="10">
        <f t="shared" si="8"/>
        <v>3149.575643928456</v>
      </c>
      <c r="J46" s="10">
        <f t="shared" si="6"/>
        <v>2123847525581.9336</v>
      </c>
      <c r="K46" s="11">
        <f t="shared" si="7"/>
        <v>5.5180699999999971E-2</v>
      </c>
    </row>
    <row r="47" spans="1:11" ht="22.5" customHeight="1">
      <c r="A47" s="19">
        <f t="shared" si="0"/>
        <v>1970</v>
      </c>
      <c r="B47" s="19">
        <v>1720</v>
      </c>
      <c r="C47" s="20">
        <f t="shared" si="1"/>
        <v>666991248.90575767</v>
      </c>
      <c r="D47" s="21">
        <v>1.0999999999999999E-2</v>
      </c>
      <c r="E47" s="20">
        <f t="shared" si="2"/>
        <v>7257075.9030299187</v>
      </c>
      <c r="F47" s="19"/>
      <c r="G47" s="11">
        <v>-1.6999999999999999E-3</v>
      </c>
      <c r="H47" s="10"/>
      <c r="I47" s="10">
        <f t="shared" si="8"/>
        <v>3017.7020637428914</v>
      </c>
      <c r="J47" s="10">
        <f t="shared" si="6"/>
        <v>2012780868321.3535</v>
      </c>
      <c r="K47" s="11">
        <f t="shared" si="7"/>
        <v>9.2812999999998258E-3</v>
      </c>
    </row>
    <row r="48" spans="1:11" ht="22.5" customHeight="1">
      <c r="A48" s="19">
        <f t="shared" si="0"/>
        <v>1969</v>
      </c>
      <c r="B48" s="19">
        <v>1719</v>
      </c>
      <c r="C48" s="20">
        <f t="shared" si="1"/>
        <v>659734173.00272775</v>
      </c>
      <c r="D48" s="21">
        <v>1.0999999999999999E-2</v>
      </c>
      <c r="E48" s="20">
        <f t="shared" si="2"/>
        <v>7178116.6202076674</v>
      </c>
      <c r="F48" s="19"/>
      <c r="G48" s="11">
        <v>2.0400000000000001E-2</v>
      </c>
      <c r="H48" s="10"/>
      <c r="I48" s="10">
        <f t="shared" si="8"/>
        <v>3022.8408932614361</v>
      </c>
      <c r="J48" s="10">
        <f t="shared" si="6"/>
        <v>1994271436834.6604</v>
      </c>
      <c r="K48" s="11">
        <f t="shared" si="7"/>
        <v>3.1624399999999886E-2</v>
      </c>
    </row>
    <row r="49" spans="1:11" ht="22.5" customHeight="1">
      <c r="A49" s="19">
        <f t="shared" si="0"/>
        <v>1968</v>
      </c>
      <c r="B49" s="19">
        <v>1718</v>
      </c>
      <c r="C49" s="20">
        <f t="shared" si="1"/>
        <v>652556056.38252008</v>
      </c>
      <c r="D49" s="21">
        <v>1.11E-2</v>
      </c>
      <c r="E49" s="20">
        <f t="shared" si="2"/>
        <v>7163853.4525229931</v>
      </c>
      <c r="F49" s="19"/>
      <c r="G49" s="11">
        <v>4.9599999999999998E-2</v>
      </c>
      <c r="H49" s="10"/>
      <c r="I49" s="10">
        <f t="shared" si="8"/>
        <v>2962.4077746584048</v>
      </c>
      <c r="J49" s="10">
        <f t="shared" si="6"/>
        <v>1933137134828.0059</v>
      </c>
      <c r="K49" s="11">
        <f t="shared" si="7"/>
        <v>6.1250560000000176E-2</v>
      </c>
    </row>
    <row r="50" spans="1:11" ht="22.5" customHeight="1">
      <c r="A50" s="19">
        <f t="shared" si="0"/>
        <v>1967</v>
      </c>
      <c r="B50" s="19">
        <v>1717</v>
      </c>
      <c r="C50" s="20">
        <f t="shared" si="1"/>
        <v>645392202.92999709</v>
      </c>
      <c r="D50" s="21">
        <v>1.12E-2</v>
      </c>
      <c r="E50" s="20">
        <f t="shared" si="2"/>
        <v>7148331.3615665436</v>
      </c>
      <c r="F50" s="19"/>
      <c r="G50" s="11">
        <v>2.6700000000000002E-2</v>
      </c>
      <c r="H50" s="10"/>
      <c r="I50" s="10">
        <f t="shared" si="8"/>
        <v>2822.4159438437546</v>
      </c>
      <c r="J50" s="10">
        <f t="shared" si="6"/>
        <v>1821565243582.0676</v>
      </c>
      <c r="K50" s="11">
        <f t="shared" si="7"/>
        <v>3.8199040000000073E-2</v>
      </c>
    </row>
    <row r="51" spans="1:11" ht="22.5" customHeight="1">
      <c r="A51" s="19">
        <f t="shared" si="0"/>
        <v>1966</v>
      </c>
      <c r="B51" s="19">
        <v>1716</v>
      </c>
      <c r="C51" s="20">
        <f t="shared" si="1"/>
        <v>638243871.56843054</v>
      </c>
      <c r="D51" s="21">
        <v>1.14E-2</v>
      </c>
      <c r="E51" s="20">
        <f t="shared" si="2"/>
        <v>7193968.8905280828</v>
      </c>
      <c r="F51" s="19"/>
      <c r="G51" s="11">
        <v>4.4999999999999998E-2</v>
      </c>
      <c r="H51" s="10"/>
      <c r="I51" s="10">
        <f t="shared" si="8"/>
        <v>2749.0171850041443</v>
      </c>
      <c r="J51" s="10">
        <f t="shared" si="6"/>
        <v>1754543371165.1936</v>
      </c>
      <c r="K51" s="11">
        <f t="shared" si="7"/>
        <v>5.6912999999999991E-2</v>
      </c>
    </row>
    <row r="52" spans="1:11" ht="22.5" customHeight="1">
      <c r="A52" s="19">
        <f t="shared" si="0"/>
        <v>1965</v>
      </c>
      <c r="B52" s="19">
        <v>1715</v>
      </c>
      <c r="C52" s="20">
        <f t="shared" si="1"/>
        <v>631049902.67790246</v>
      </c>
      <c r="D52" s="21">
        <v>1.17E-2</v>
      </c>
      <c r="E52" s="20">
        <f t="shared" si="2"/>
        <v>7297898.4494726658</v>
      </c>
      <c r="F52" s="19"/>
      <c r="G52" s="11">
        <v>8.4599999999999995E-2</v>
      </c>
      <c r="H52" s="10"/>
      <c r="I52" s="10">
        <f t="shared" si="8"/>
        <v>2630.6384545494207</v>
      </c>
      <c r="J52" s="10">
        <f t="shared" si="6"/>
        <v>1660064140724.1597</v>
      </c>
      <c r="K52" s="11">
        <f t="shared" si="7"/>
        <v>9.7289820000000304E-2</v>
      </c>
    </row>
    <row r="53" spans="1:11" ht="22.5" customHeight="1">
      <c r="A53" s="19">
        <f t="shared" si="0"/>
        <v>1964</v>
      </c>
      <c r="B53" s="19">
        <v>1714</v>
      </c>
      <c r="C53" s="20">
        <f t="shared" si="1"/>
        <v>623752004.22842979</v>
      </c>
      <c r="D53" s="21">
        <v>1.2E-2</v>
      </c>
      <c r="E53" s="20">
        <f t="shared" si="2"/>
        <v>7396268.824843049</v>
      </c>
      <c r="F53" s="19"/>
      <c r="G53" s="11">
        <v>5.16E-2</v>
      </c>
      <c r="H53" s="10"/>
      <c r="I53" s="10">
        <f t="shared" si="8"/>
        <v>2425.4457445596722</v>
      </c>
      <c r="J53" s="10">
        <f t="shared" si="6"/>
        <v>1512876644316.4116</v>
      </c>
      <c r="K53" s="11">
        <f t="shared" si="7"/>
        <v>6.4219200000000143E-2</v>
      </c>
    </row>
    <row r="54" spans="1:11" ht="22.5" customHeight="1">
      <c r="A54" s="19">
        <f t="shared" si="0"/>
        <v>1963</v>
      </c>
      <c r="B54" s="19">
        <v>1713</v>
      </c>
      <c r="C54" s="20">
        <f t="shared" si="1"/>
        <v>616355735.40358675</v>
      </c>
      <c r="D54" s="21">
        <v>1.23E-2</v>
      </c>
      <c r="E54" s="20">
        <f t="shared" si="2"/>
        <v>7489060.1061583757</v>
      </c>
      <c r="F54" s="19"/>
      <c r="G54" s="11">
        <v>5.16E-2</v>
      </c>
      <c r="H54" s="10"/>
      <c r="I54" s="10">
        <f t="shared" si="8"/>
        <v>2306.4337624188588</v>
      </c>
      <c r="J54" s="10">
        <f t="shared" si="6"/>
        <v>1421583677795.3372</v>
      </c>
      <c r="K54" s="11">
        <f t="shared" si="7"/>
        <v>6.4534680000000177E-2</v>
      </c>
    </row>
    <row r="55" spans="1:11" ht="22.5" customHeight="1">
      <c r="A55" s="19">
        <f t="shared" si="0"/>
        <v>1962</v>
      </c>
      <c r="B55" s="19">
        <v>1712</v>
      </c>
      <c r="C55" s="20">
        <f t="shared" si="1"/>
        <v>608866675.29742837</v>
      </c>
      <c r="D55" s="21">
        <v>1.26E-2</v>
      </c>
      <c r="E55" s="20">
        <f t="shared" si="2"/>
        <v>7576259.2422946692</v>
      </c>
      <c r="F55" s="19"/>
      <c r="G55" s="11">
        <v>4.3099999999999999E-2</v>
      </c>
      <c r="H55" s="10"/>
      <c r="I55" s="10">
        <f t="shared" si="8"/>
        <v>2193.2614705390438</v>
      </c>
      <c r="J55" s="10">
        <f t="shared" si="6"/>
        <v>1335403819625.0562</v>
      </c>
      <c r="K55" s="11">
        <f t="shared" si="7"/>
        <v>5.62430599999999E-2</v>
      </c>
    </row>
    <row r="56" spans="1:11" ht="22.5" customHeight="1">
      <c r="A56" s="19">
        <f t="shared" si="0"/>
        <v>1961</v>
      </c>
      <c r="B56" s="19">
        <v>1711</v>
      </c>
      <c r="C56" s="20">
        <f t="shared" si="1"/>
        <v>601290416.0551337</v>
      </c>
      <c r="D56" s="21">
        <v>1.2800000000000001E-2</v>
      </c>
      <c r="E56" s="20">
        <f t="shared" si="2"/>
        <v>7599246.9643617868</v>
      </c>
      <c r="F56" s="19"/>
      <c r="G56" s="11">
        <v>6.4000000000000001E-2</v>
      </c>
      <c r="H56" s="10"/>
      <c r="I56" s="10">
        <f t="shared" si="8"/>
        <v>2102.6377821292722</v>
      </c>
      <c r="J56" s="10">
        <f t="shared" si="6"/>
        <v>1264295946829.7537</v>
      </c>
      <c r="K56" s="11">
        <f t="shared" si="7"/>
        <v>7.7619199999999999E-2</v>
      </c>
    </row>
    <row r="57" spans="1:11" ht="22.5" customHeight="1">
      <c r="A57" s="19">
        <f t="shared" si="0"/>
        <v>1960</v>
      </c>
      <c r="B57" s="19">
        <v>1710</v>
      </c>
      <c r="C57" s="20">
        <f t="shared" si="1"/>
        <v>593691169.09077191</v>
      </c>
      <c r="D57" s="21">
        <v>1.2999999999999999E-2</v>
      </c>
      <c r="E57" s="20">
        <f t="shared" si="2"/>
        <v>7618938.9912931919</v>
      </c>
      <c r="F57" s="19"/>
      <c r="G57" s="11">
        <v>8.8999999999999999E-3</v>
      </c>
      <c r="H57" s="10"/>
      <c r="I57" s="10">
        <f t="shared" si="8"/>
        <v>1976.1633290688646</v>
      </c>
      <c r="J57" s="10">
        <f t="shared" si="6"/>
        <v>1173230717149.2061</v>
      </c>
      <c r="K57" s="11">
        <f t="shared" si="7"/>
        <v>2.201569999999986E-2</v>
      </c>
    </row>
    <row r="58" spans="1:11" ht="22.5" customHeight="1">
      <c r="A58" s="19">
        <f t="shared" si="0"/>
        <v>1959</v>
      </c>
      <c r="B58" s="19">
        <v>1709</v>
      </c>
      <c r="C58" s="20">
        <f t="shared" si="1"/>
        <v>586072230.09947872</v>
      </c>
      <c r="D58" s="21">
        <v>1.32E-2</v>
      </c>
      <c r="E58" s="20">
        <f t="shared" si="2"/>
        <v>7635366.5982167721</v>
      </c>
      <c r="F58" s="19"/>
      <c r="G58" s="11">
        <v>4.58E-2</v>
      </c>
      <c r="H58" s="10"/>
      <c r="I58" s="10">
        <f t="shared" si="8"/>
        <v>1958.7306264930764</v>
      </c>
      <c r="J58" s="10">
        <f t="shared" si="6"/>
        <v>1147957626432.9463</v>
      </c>
      <c r="K58" s="11">
        <f t="shared" si="7"/>
        <v>5.960456000000014E-2</v>
      </c>
    </row>
    <row r="59" spans="1:11" ht="22.5" customHeight="1">
      <c r="A59" s="19">
        <f t="shared" si="0"/>
        <v>1958</v>
      </c>
      <c r="B59" s="19">
        <v>1708</v>
      </c>
      <c r="C59" s="20">
        <f t="shared" si="1"/>
        <v>578436863.50126195</v>
      </c>
      <c r="D59" s="21">
        <v>1.34E-2</v>
      </c>
      <c r="E59" s="20">
        <f t="shared" si="2"/>
        <v>7648563.22371912</v>
      </c>
      <c r="F59" s="19"/>
      <c r="G59" s="11">
        <v>2.6599999999999999E-2</v>
      </c>
      <c r="H59" s="10"/>
      <c r="I59" s="10">
        <f t="shared" si="8"/>
        <v>1872.9495376678872</v>
      </c>
      <c r="J59" s="10">
        <f t="shared" si="6"/>
        <v>1083383056064.7513</v>
      </c>
      <c r="K59" s="11">
        <f t="shared" si="7"/>
        <v>4.0356440000000049E-2</v>
      </c>
    </row>
    <row r="60" spans="1:11" ht="22.5" customHeight="1">
      <c r="A60" s="19">
        <f t="shared" si="0"/>
        <v>1957</v>
      </c>
      <c r="B60" s="19">
        <v>1707</v>
      </c>
      <c r="C60" s="20">
        <f t="shared" si="1"/>
        <v>570788300.27754283</v>
      </c>
      <c r="D60" s="21">
        <v>1.37E-2</v>
      </c>
      <c r="E60" s="20">
        <f t="shared" si="2"/>
        <v>7714116.3202154636</v>
      </c>
      <c r="F60" s="19"/>
      <c r="G60" s="11">
        <v>3.5000000000000001E-3</v>
      </c>
      <c r="H60" s="10"/>
      <c r="I60" s="10">
        <f t="shared" si="8"/>
        <v>1824.4199665574588</v>
      </c>
      <c r="J60" s="10">
        <f t="shared" si="6"/>
        <v>1041357571703.7434</v>
      </c>
      <c r="K60" s="11">
        <f t="shared" si="7"/>
        <v>1.7247950000000234E-2</v>
      </c>
    </row>
    <row r="61" spans="1:11" ht="22.5" customHeight="1">
      <c r="A61" s="19">
        <f t="shared" si="0"/>
        <v>1956</v>
      </c>
      <c r="B61" s="19">
        <v>1706</v>
      </c>
      <c r="C61" s="20">
        <f t="shared" si="1"/>
        <v>563074183.95732737</v>
      </c>
      <c r="D61" s="21">
        <v>1.4E-2</v>
      </c>
      <c r="E61" s="20">
        <f t="shared" si="2"/>
        <v>7774199.7785035372</v>
      </c>
      <c r="F61" s="19"/>
      <c r="G61" s="11">
        <v>0.02</v>
      </c>
      <c r="H61" s="10"/>
      <c r="I61" s="10">
        <f t="shared" si="8"/>
        <v>1818.056767869914</v>
      </c>
      <c r="J61" s="10">
        <f t="shared" si="6"/>
        <v>1023700830956.448</v>
      </c>
      <c r="K61" s="11">
        <f t="shared" si="7"/>
        <v>3.4280000000000088E-2</v>
      </c>
    </row>
    <row r="62" spans="1:11" ht="22.5" customHeight="1">
      <c r="A62" s="19">
        <f t="shared" si="0"/>
        <v>1955</v>
      </c>
      <c r="B62" s="19">
        <v>1705</v>
      </c>
      <c r="C62" s="20">
        <f t="shared" si="1"/>
        <v>555299984.17882383</v>
      </c>
      <c r="D62" s="21">
        <v>1.43E-2</v>
      </c>
      <c r="E62" s="20">
        <f t="shared" si="2"/>
        <v>7828837.3989521265</v>
      </c>
      <c r="F62" s="19"/>
      <c r="G62" s="11">
        <v>6.5799999999999997E-2</v>
      </c>
      <c r="H62" s="10"/>
      <c r="I62" s="10">
        <f t="shared" si="8"/>
        <v>1782.4085959508961</v>
      </c>
      <c r="J62" s="10">
        <f t="shared" si="6"/>
        <v>989771465131.73218</v>
      </c>
      <c r="K62" s="11">
        <f t="shared" si="7"/>
        <v>8.1040940000000061E-2</v>
      </c>
    </row>
    <row r="63" spans="1:11" ht="22.5" customHeight="1">
      <c r="A63" s="19">
        <f t="shared" si="0"/>
        <v>1954</v>
      </c>
      <c r="B63" s="19">
        <v>1704</v>
      </c>
      <c r="C63" s="20">
        <f t="shared" si="1"/>
        <v>547471146.7798717</v>
      </c>
      <c r="D63" s="21">
        <v>1.4500000000000001E-2</v>
      </c>
      <c r="E63" s="20">
        <f t="shared" si="2"/>
        <v>7824870.9988251925</v>
      </c>
      <c r="F63" s="19"/>
      <c r="G63" s="11">
        <v>2.7300000000000001E-2</v>
      </c>
      <c r="H63" s="10"/>
      <c r="I63" s="10">
        <f t="shared" si="8"/>
        <v>1672.3668567750947</v>
      </c>
      <c r="J63" s="10">
        <f t="shared" si="6"/>
        <v>915572600915.31055</v>
      </c>
      <c r="K63" s="11">
        <f t="shared" si="7"/>
        <v>4.2195850000000146E-2</v>
      </c>
    </row>
    <row r="64" spans="1:11" ht="22.5" customHeight="1">
      <c r="A64" s="19">
        <f t="shared" si="0"/>
        <v>1953</v>
      </c>
      <c r="B64" s="19">
        <v>1703</v>
      </c>
      <c r="C64" s="20">
        <f t="shared" si="1"/>
        <v>539646275.78104651</v>
      </c>
      <c r="D64" s="21">
        <v>1.47E-2</v>
      </c>
      <c r="E64" s="20">
        <f t="shared" si="2"/>
        <v>7817877.4553871155</v>
      </c>
      <c r="F64" s="19"/>
      <c r="G64" s="11">
        <v>5.1999999999999998E-3</v>
      </c>
      <c r="H64" s="10"/>
      <c r="I64" s="10">
        <f t="shared" si="8"/>
        <v>1627.9245174487437</v>
      </c>
      <c r="J64" s="10">
        <f t="shared" si="6"/>
        <v>878503403093.87183</v>
      </c>
      <c r="K64" s="11">
        <f t="shared" si="7"/>
        <v>1.9976439999999984E-2</v>
      </c>
    </row>
    <row r="65" spans="1:11" ht="22.5" customHeight="1">
      <c r="A65" s="19">
        <f t="shared" si="0"/>
        <v>1952</v>
      </c>
      <c r="B65" s="19">
        <v>1702</v>
      </c>
      <c r="C65" s="20">
        <f t="shared" si="1"/>
        <v>531828398.32565939</v>
      </c>
      <c r="D65" s="21">
        <v>1.49E-2</v>
      </c>
      <c r="E65" s="20">
        <f t="shared" si="2"/>
        <v>7807905.3454057574</v>
      </c>
      <c r="F65" s="19"/>
      <c r="G65" s="11">
        <v>5.3600000000000002E-2</v>
      </c>
      <c r="H65" s="10"/>
      <c r="I65" s="10">
        <f t="shared" si="8"/>
        <v>1619.5031013218697</v>
      </c>
      <c r="J65" s="10">
        <f t="shared" si="6"/>
        <v>861297740459.44812</v>
      </c>
      <c r="K65" s="11">
        <f t="shared" si="7"/>
        <v>6.9298640000000189E-2</v>
      </c>
    </row>
    <row r="66" spans="1:11" ht="22.5" customHeight="1">
      <c r="A66" s="19">
        <f t="shared" si="0"/>
        <v>1951</v>
      </c>
      <c r="B66" s="19">
        <v>1701</v>
      </c>
      <c r="C66" s="20">
        <f t="shared" si="1"/>
        <v>524020492.98025364</v>
      </c>
      <c r="D66" s="21">
        <v>1.5100000000000001E-2</v>
      </c>
      <c r="E66" s="20">
        <f t="shared" si="2"/>
        <v>7795004.8704578876</v>
      </c>
      <c r="F66" s="19"/>
      <c r="G66" s="11">
        <v>5.4699999999999999E-2</v>
      </c>
      <c r="H66" s="10"/>
      <c r="I66" s="10">
        <f t="shared" si="8"/>
        <v>1537.1138015583424</v>
      </c>
      <c r="J66" s="10">
        <f t="shared" ref="J66:J97" si="9">IF(I66="","",I66*C66)</f>
        <v>805479132059.35437</v>
      </c>
      <c r="K66" s="11">
        <f t="shared" ref="K66:K97" si="10">IFERROR(J66/J67-1,"")</f>
        <v>7.0625969999999816E-2</v>
      </c>
    </row>
    <row r="67" spans="1:11" ht="22.5" customHeight="1">
      <c r="A67" s="19">
        <f t="shared" si="0"/>
        <v>1950</v>
      </c>
      <c r="B67" s="19">
        <v>1700</v>
      </c>
      <c r="C67" s="20">
        <f t="shared" si="1"/>
        <v>516225488.10979575</v>
      </c>
      <c r="D67" s="21">
        <v>1.55E-2</v>
      </c>
      <c r="E67" s="20">
        <f t="shared" si="2"/>
        <v>7879364.9096029997</v>
      </c>
      <c r="F67" s="19"/>
      <c r="G67" s="11">
        <v>0.13370000000000001</v>
      </c>
      <c r="H67" s="10"/>
      <c r="I67" s="10">
        <f t="shared" ref="I67:I98" si="11">IF(H67&lt;&gt;"",H67,I66/(1+IF(G66="",0,G66)))</f>
        <v>1457.3943316187945</v>
      </c>
      <c r="J67" s="10">
        <f t="shared" si="9"/>
        <v>752344100208.36169</v>
      </c>
      <c r="K67" s="11">
        <f t="shared" si="10"/>
        <v>0.15127234999999994</v>
      </c>
    </row>
    <row r="68" spans="1:11" ht="22.5" customHeight="1">
      <c r="A68" s="19">
        <f t="shared" si="0"/>
        <v>1949</v>
      </c>
      <c r="B68" s="19">
        <v>1699</v>
      </c>
      <c r="C68" s="20">
        <f t="shared" si="1"/>
        <v>508346123.20019275</v>
      </c>
      <c r="D68" s="21">
        <v>1.5699999999999999E-2</v>
      </c>
      <c r="E68" s="20">
        <f t="shared" si="2"/>
        <v>7857668.7351019382</v>
      </c>
      <c r="F68" s="19"/>
      <c r="G68" s="11"/>
      <c r="H68" s="10"/>
      <c r="I68" s="10">
        <f t="shared" si="11"/>
        <v>1285.5202713405615</v>
      </c>
      <c r="J68" s="10">
        <f t="shared" si="9"/>
        <v>653489246231.23425</v>
      </c>
      <c r="K68" s="11">
        <f t="shared" si="10"/>
        <v>1.5699999999999825E-2</v>
      </c>
    </row>
    <row r="69" spans="1:11" ht="22.5" customHeight="1">
      <c r="A69" s="19">
        <f t="shared" si="0"/>
        <v>1948</v>
      </c>
      <c r="B69" s="19">
        <v>1698</v>
      </c>
      <c r="C69" s="20">
        <f t="shared" si="1"/>
        <v>500488454.46509081</v>
      </c>
      <c r="D69" s="21">
        <v>1.52E-2</v>
      </c>
      <c r="E69" s="20">
        <f t="shared" si="2"/>
        <v>7493522.9588942528</v>
      </c>
      <c r="F69" s="19"/>
      <c r="G69" s="11"/>
      <c r="H69" s="10"/>
      <c r="I69" s="10">
        <f t="shared" si="11"/>
        <v>1285.5202713405615</v>
      </c>
      <c r="J69" s="10">
        <f t="shared" si="9"/>
        <v>643388053786.78186</v>
      </c>
      <c r="K69" s="11">
        <f t="shared" si="10"/>
        <v>1.5200000000000324E-2</v>
      </c>
    </row>
    <row r="70" spans="1:11" ht="22.5" customHeight="1">
      <c r="A70" s="19">
        <f t="shared" si="0"/>
        <v>1947</v>
      </c>
      <c r="B70" s="19">
        <v>1697</v>
      </c>
      <c r="C70" s="20">
        <f t="shared" si="1"/>
        <v>492994931.50619656</v>
      </c>
      <c r="D70" s="21">
        <v>1.3100000000000001E-2</v>
      </c>
      <c r="E70" s="20">
        <f t="shared" si="2"/>
        <v>6374724.7090427876</v>
      </c>
      <c r="F70" s="19"/>
      <c r="G70" s="11"/>
      <c r="H70" s="10"/>
      <c r="I70" s="10">
        <f t="shared" si="11"/>
        <v>1285.5202713405615</v>
      </c>
      <c r="J70" s="10">
        <f t="shared" si="9"/>
        <v>633754978119.36731</v>
      </c>
      <c r="K70" s="11">
        <f t="shared" si="10"/>
        <v>1.3100000000000112E-2</v>
      </c>
    </row>
    <row r="71" spans="1:11" ht="22.5" customHeight="1">
      <c r="A71" s="19">
        <f t="shared" si="0"/>
        <v>1946</v>
      </c>
      <c r="B71" s="19">
        <v>1696</v>
      </c>
      <c r="C71" s="20">
        <f t="shared" si="1"/>
        <v>486620206.79715377</v>
      </c>
      <c r="D71" s="21">
        <v>9.1000000000000004E-3</v>
      </c>
      <c r="E71" s="20">
        <f t="shared" si="2"/>
        <v>4388310.2585017681</v>
      </c>
      <c r="F71" s="19"/>
      <c r="G71" s="11"/>
      <c r="H71" s="10"/>
      <c r="I71" s="10">
        <f t="shared" si="11"/>
        <v>1285.5202713405615</v>
      </c>
      <c r="J71" s="10">
        <f t="shared" si="9"/>
        <v>625560140281.67725</v>
      </c>
      <c r="K71" s="11">
        <f t="shared" si="10"/>
        <v>9.100000000000108E-3</v>
      </c>
    </row>
    <row r="72" spans="1:11" ht="22.5" customHeight="1">
      <c r="A72" s="19">
        <f t="shared" si="0"/>
        <v>1945</v>
      </c>
      <c r="B72" s="19">
        <v>1695</v>
      </c>
      <c r="C72" s="20">
        <f t="shared" si="1"/>
        <v>482231896.538652</v>
      </c>
      <c r="D72" s="21">
        <v>4.1999999999999997E-3</v>
      </c>
      <c r="E72" s="20">
        <f t="shared" si="2"/>
        <v>2016902.9729758501</v>
      </c>
      <c r="F72" s="19"/>
      <c r="G72" s="11"/>
      <c r="H72" s="10"/>
      <c r="I72" s="10">
        <f t="shared" si="11"/>
        <v>1285.5202713405615</v>
      </c>
      <c r="J72" s="10">
        <f t="shared" si="9"/>
        <v>619918878487.44153</v>
      </c>
      <c r="K72" s="11">
        <f t="shared" si="10"/>
        <v>4.1999999999999815E-3</v>
      </c>
    </row>
    <row r="73" spans="1:11" ht="22.5" customHeight="1">
      <c r="A73" s="19">
        <f t="shared" si="0"/>
        <v>1944</v>
      </c>
      <c r="B73" s="19">
        <v>1694</v>
      </c>
      <c r="C73" s="20">
        <f t="shared" si="1"/>
        <v>480214993.56567615</v>
      </c>
      <c r="D73" s="21">
        <v>2.9999999999999997E-4</v>
      </c>
      <c r="E73" s="20">
        <f t="shared" si="2"/>
        <v>144021.29168218374</v>
      </c>
      <c r="F73" s="19"/>
      <c r="G73" s="11"/>
      <c r="H73" s="10"/>
      <c r="I73" s="10">
        <f t="shared" si="11"/>
        <v>1285.5202713405615</v>
      </c>
      <c r="J73" s="10">
        <f t="shared" si="9"/>
        <v>617326108830.354</v>
      </c>
      <c r="K73" s="11">
        <f t="shared" si="10"/>
        <v>2.9999999999996696E-4</v>
      </c>
    </row>
    <row r="74" spans="1:11" ht="22.5" customHeight="1">
      <c r="A74" s="19">
        <f t="shared" si="0"/>
        <v>1943</v>
      </c>
      <c r="B74" s="19">
        <v>1693</v>
      </c>
      <c r="C74" s="20">
        <f t="shared" si="1"/>
        <v>480070972.27399397</v>
      </c>
      <c r="D74" s="21">
        <v>-1.1999999999999999E-3</v>
      </c>
      <c r="E74" s="20">
        <f t="shared" si="2"/>
        <v>-576777.29948818684</v>
      </c>
      <c r="F74" s="19"/>
      <c r="G74" s="11"/>
      <c r="H74" s="10"/>
      <c r="I74" s="10">
        <f t="shared" si="11"/>
        <v>1285.5202713405615</v>
      </c>
      <c r="J74" s="10">
        <f t="shared" si="9"/>
        <v>617140966540.39197</v>
      </c>
      <c r="K74" s="11">
        <f t="shared" si="10"/>
        <v>-1.1999999999998678E-3</v>
      </c>
    </row>
    <row r="75" spans="1:11" ht="22.5" customHeight="1">
      <c r="A75" s="19">
        <f t="shared" si="0"/>
        <v>1942</v>
      </c>
      <c r="B75" s="19">
        <v>1692</v>
      </c>
      <c r="C75" s="20">
        <f t="shared" si="1"/>
        <v>480647749.57348216</v>
      </c>
      <c r="D75" s="21">
        <v>1.45E-4</v>
      </c>
      <c r="E75" s="20">
        <f t="shared" si="2"/>
        <v>69683.819534361362</v>
      </c>
      <c r="F75" s="19"/>
      <c r="G75" s="11"/>
      <c r="H75" s="10"/>
      <c r="I75" s="10">
        <f t="shared" si="11"/>
        <v>1285.5202713405615</v>
      </c>
      <c r="J75" s="10">
        <f t="shared" si="9"/>
        <v>617882425450.93298</v>
      </c>
      <c r="K75" s="11">
        <f t="shared" si="10"/>
        <v>1.4500000000006175E-4</v>
      </c>
    </row>
    <row r="76" spans="1:11" ht="22.5" customHeight="1">
      <c r="A76" s="19">
        <f t="shared" si="0"/>
        <v>1941</v>
      </c>
      <c r="B76" s="19">
        <v>1691</v>
      </c>
      <c r="C76" s="20">
        <f t="shared" si="1"/>
        <v>480578065.75394779</v>
      </c>
      <c r="D76" s="21">
        <v>2.5999999999999999E-3</v>
      </c>
      <c r="E76" s="20">
        <f t="shared" si="2"/>
        <v>1246262.6879715323</v>
      </c>
      <c r="F76" s="19"/>
      <c r="G76" s="11"/>
      <c r="H76" s="10"/>
      <c r="I76" s="10">
        <f t="shared" si="11"/>
        <v>1285.5202713405615</v>
      </c>
      <c r="J76" s="10">
        <f t="shared" si="9"/>
        <v>617792845488.33716</v>
      </c>
      <c r="K76" s="11">
        <f t="shared" si="10"/>
        <v>2.5999999999999357E-3</v>
      </c>
    </row>
    <row r="77" spans="1:11" ht="22.5" customHeight="1">
      <c r="A77" s="19">
        <f t="shared" si="0"/>
        <v>1940</v>
      </c>
      <c r="B77" s="19">
        <v>1690</v>
      </c>
      <c r="C77" s="20">
        <f t="shared" si="1"/>
        <v>479331803.06597626</v>
      </c>
      <c r="D77" s="21">
        <v>5.5999999999999999E-3</v>
      </c>
      <c r="E77" s="20">
        <f t="shared" si="2"/>
        <v>2669309.9613857269</v>
      </c>
      <c r="F77" s="19"/>
      <c r="G77" s="11"/>
      <c r="H77" s="10"/>
      <c r="I77" s="10">
        <f t="shared" si="11"/>
        <v>1285.5202713405615</v>
      </c>
      <c r="J77" s="10">
        <f t="shared" si="9"/>
        <v>616190749539.53442</v>
      </c>
      <c r="K77" s="11">
        <f t="shared" si="10"/>
        <v>5.6000000000000494E-3</v>
      </c>
    </row>
    <row r="78" spans="1:11" ht="22.5" customHeight="1">
      <c r="A78" s="19">
        <f t="shared" si="0"/>
        <v>1939</v>
      </c>
      <c r="B78" s="19">
        <v>1689</v>
      </c>
      <c r="C78" s="20">
        <f t="shared" si="1"/>
        <v>476662493.10459054</v>
      </c>
      <c r="D78" s="21">
        <v>8.0000000000000002E-3</v>
      </c>
      <c r="E78" s="20">
        <f t="shared" si="2"/>
        <v>3783035.6595602632</v>
      </c>
      <c r="F78" s="19"/>
      <c r="G78" s="11"/>
      <c r="H78" s="10"/>
      <c r="I78" s="10">
        <f t="shared" si="11"/>
        <v>1285.5202713405615</v>
      </c>
      <c r="J78" s="10">
        <f t="shared" si="9"/>
        <v>612759297473.68176</v>
      </c>
      <c r="K78" s="11">
        <f t="shared" si="10"/>
        <v>8.0000000000000071E-3</v>
      </c>
    </row>
    <row r="79" spans="1:11" ht="22.5" customHeight="1">
      <c r="A79" s="19">
        <f t="shared" si="0"/>
        <v>1938</v>
      </c>
      <c r="B79" s="19">
        <v>1688</v>
      </c>
      <c r="C79" s="20">
        <f t="shared" si="1"/>
        <v>472879457.44503027</v>
      </c>
      <c r="D79" s="21">
        <v>9.7000000000000003E-3</v>
      </c>
      <c r="E79" s="20">
        <f t="shared" si="2"/>
        <v>4542864.9472286701</v>
      </c>
      <c r="F79" s="19"/>
      <c r="G79" s="11"/>
      <c r="H79" s="10"/>
      <c r="I79" s="10">
        <f t="shared" si="11"/>
        <v>1285.5202713405615</v>
      </c>
      <c r="J79" s="10">
        <f t="shared" si="9"/>
        <v>607896128446.11279</v>
      </c>
      <c r="K79" s="11">
        <f t="shared" si="10"/>
        <v>9.6999999999998199E-3</v>
      </c>
    </row>
    <row r="80" spans="1:11" ht="22.5" customHeight="1">
      <c r="A80" s="19">
        <f t="shared" si="0"/>
        <v>1937</v>
      </c>
      <c r="B80" s="19">
        <v>1687</v>
      </c>
      <c r="C80" s="20">
        <f t="shared" si="1"/>
        <v>468336592.4978016</v>
      </c>
      <c r="D80" s="21">
        <v>1.0699999999999999E-2</v>
      </c>
      <c r="E80" s="20">
        <f t="shared" si="2"/>
        <v>4958149.3417695165</v>
      </c>
      <c r="F80" s="19"/>
      <c r="G80" s="11"/>
      <c r="H80" s="10"/>
      <c r="I80" s="10">
        <f t="shared" si="11"/>
        <v>1285.5202713405615</v>
      </c>
      <c r="J80" s="10">
        <f t="shared" si="9"/>
        <v>602056183466.48792</v>
      </c>
      <c r="K80" s="11">
        <f t="shared" si="10"/>
        <v>1.0699999999999932E-2</v>
      </c>
    </row>
    <row r="81" spans="1:11" ht="22.5" customHeight="1">
      <c r="A81" s="19">
        <f t="shared" si="0"/>
        <v>1936</v>
      </c>
      <c r="B81" s="19">
        <v>1686</v>
      </c>
      <c r="C81" s="20">
        <f t="shared" si="1"/>
        <v>463378443.15603209</v>
      </c>
      <c r="D81" s="21">
        <v>1.12E-2</v>
      </c>
      <c r="E81" s="20">
        <f t="shared" si="2"/>
        <v>5132356.1741966009</v>
      </c>
      <c r="F81" s="19"/>
      <c r="G81" s="11"/>
      <c r="H81" s="10"/>
      <c r="I81" s="10">
        <f t="shared" si="11"/>
        <v>1285.5202713405615</v>
      </c>
      <c r="J81" s="10">
        <f t="shared" si="9"/>
        <v>595682381979.30933</v>
      </c>
      <c r="K81" s="11">
        <f t="shared" si="10"/>
        <v>1.1200000000000099E-2</v>
      </c>
    </row>
    <row r="82" spans="1:11" ht="22.5" customHeight="1">
      <c r="A82" s="19">
        <f t="shared" si="0"/>
        <v>1935</v>
      </c>
      <c r="B82" s="19">
        <v>1685</v>
      </c>
      <c r="C82" s="20">
        <f t="shared" si="1"/>
        <v>458246086.98183548</v>
      </c>
      <c r="D82" s="21">
        <v>1.1299999999999999E-2</v>
      </c>
      <c r="E82" s="20">
        <f t="shared" si="2"/>
        <v>5120321.1538562179</v>
      </c>
      <c r="F82" s="19"/>
      <c r="G82" s="11"/>
      <c r="H82" s="10"/>
      <c r="I82" s="10">
        <f t="shared" si="11"/>
        <v>1285.5202713405615</v>
      </c>
      <c r="J82" s="10">
        <f t="shared" si="9"/>
        <v>589084634077.63965</v>
      </c>
      <c r="K82" s="11">
        <f t="shared" si="10"/>
        <v>1.1300000000000088E-2</v>
      </c>
    </row>
    <row r="83" spans="1:11" ht="22.5" customHeight="1">
      <c r="A83" s="19">
        <f t="shared" si="0"/>
        <v>1934</v>
      </c>
      <c r="B83" s="19">
        <v>1684</v>
      </c>
      <c r="C83" s="20">
        <f t="shared" si="1"/>
        <v>453125765.82797927</v>
      </c>
      <c r="D83" s="21">
        <v>1.12E-2</v>
      </c>
      <c r="E83" s="20">
        <f t="shared" si="2"/>
        <v>5018798.0392339826</v>
      </c>
      <c r="F83" s="19"/>
      <c r="G83" s="11"/>
      <c r="H83" s="10"/>
      <c r="I83" s="10">
        <f t="shared" si="11"/>
        <v>1285.5202713405615</v>
      </c>
      <c r="J83" s="10">
        <f t="shared" si="9"/>
        <v>582502357438.58362</v>
      </c>
      <c r="K83" s="11">
        <f t="shared" si="10"/>
        <v>1.1199999999999877E-2</v>
      </c>
    </row>
    <row r="84" spans="1:11" ht="22.5" customHeight="1">
      <c r="A84" s="19">
        <f t="shared" si="0"/>
        <v>1933</v>
      </c>
      <c r="B84" s="19">
        <v>1683</v>
      </c>
      <c r="C84" s="20">
        <f t="shared" si="1"/>
        <v>448106967.78874528</v>
      </c>
      <c r="D84" s="21">
        <v>1.0999999999999999E-2</v>
      </c>
      <c r="E84" s="20">
        <f t="shared" si="2"/>
        <v>4875545.6435965896</v>
      </c>
      <c r="F84" s="19"/>
      <c r="G84" s="11"/>
      <c r="H84" s="10"/>
      <c r="I84" s="10">
        <f t="shared" si="11"/>
        <v>1285.5202713405615</v>
      </c>
      <c r="J84" s="10">
        <f t="shared" si="9"/>
        <v>576050590821.38416</v>
      </c>
      <c r="K84" s="11">
        <f t="shared" si="10"/>
        <v>1.1000000000000121E-2</v>
      </c>
    </row>
    <row r="85" spans="1:11" ht="22.5" customHeight="1">
      <c r="A85" s="19">
        <f t="shared" si="0"/>
        <v>1932</v>
      </c>
      <c r="B85" s="19">
        <v>1682</v>
      </c>
      <c r="C85" s="20">
        <f t="shared" si="1"/>
        <v>443231422.14514869</v>
      </c>
      <c r="D85" s="21">
        <v>1.0699999999999999E-2</v>
      </c>
      <c r="E85" s="20">
        <f t="shared" si="2"/>
        <v>4692367.8806303144</v>
      </c>
      <c r="F85" s="19"/>
      <c r="G85" s="11"/>
      <c r="H85" s="10"/>
      <c r="I85" s="10">
        <f t="shared" si="11"/>
        <v>1285.5202713405615</v>
      </c>
      <c r="J85" s="10">
        <f t="shared" si="9"/>
        <v>569782978062.69446</v>
      </c>
      <c r="K85" s="11">
        <f t="shared" si="10"/>
        <v>1.0699999999999932E-2</v>
      </c>
    </row>
    <row r="86" spans="1:11" ht="22.5" customHeight="1">
      <c r="A86" s="19">
        <f t="shared" si="0"/>
        <v>1931</v>
      </c>
      <c r="B86" s="19">
        <v>1681</v>
      </c>
      <c r="C86" s="20">
        <f t="shared" si="1"/>
        <v>438539054.26451838</v>
      </c>
      <c r="D86" s="21">
        <v>1.04E-2</v>
      </c>
      <c r="E86" s="20">
        <f t="shared" si="2"/>
        <v>4513861.9995555878</v>
      </c>
      <c r="F86" s="19"/>
      <c r="G86" s="11"/>
      <c r="H86" s="10"/>
      <c r="I86" s="10">
        <f t="shared" si="11"/>
        <v>1285.5202713405615</v>
      </c>
      <c r="J86" s="10">
        <f t="shared" si="9"/>
        <v>563750844031.55688</v>
      </c>
      <c r="K86" s="11">
        <f t="shared" si="10"/>
        <v>1.0399999999999965E-2</v>
      </c>
    </row>
    <row r="87" spans="1:11" ht="22.5" customHeight="1">
      <c r="A87" s="19">
        <f t="shared" si="0"/>
        <v>1930</v>
      </c>
      <c r="B87" s="19">
        <v>1680</v>
      </c>
      <c r="C87" s="20">
        <f t="shared" si="1"/>
        <v>434025192.26496279</v>
      </c>
      <c r="D87" s="21">
        <v>1.0200000000000001E-2</v>
      </c>
      <c r="E87" s="20">
        <f t="shared" si="2"/>
        <v>4382356.9205133915</v>
      </c>
      <c r="F87" s="19"/>
      <c r="G87" s="11"/>
      <c r="H87" s="10"/>
      <c r="I87" s="10">
        <f t="shared" si="11"/>
        <v>1285.5202713405615</v>
      </c>
      <c r="J87" s="10">
        <f t="shared" si="9"/>
        <v>557948182929.09436</v>
      </c>
      <c r="K87" s="11">
        <f t="shared" si="10"/>
        <v>1.0199999999999987E-2</v>
      </c>
    </row>
    <row r="88" spans="1:11" ht="22.5" customHeight="1">
      <c r="A88" s="19">
        <f t="shared" si="0"/>
        <v>1929</v>
      </c>
      <c r="B88" s="19">
        <v>1679</v>
      </c>
      <c r="C88" s="20">
        <f t="shared" si="1"/>
        <v>429642835.3444494</v>
      </c>
      <c r="D88" s="21">
        <v>1.01E-2</v>
      </c>
      <c r="E88" s="20">
        <f t="shared" si="2"/>
        <v>4296003.0066121817</v>
      </c>
      <c r="F88" s="19"/>
      <c r="G88" s="11"/>
      <c r="H88" s="10"/>
      <c r="I88" s="10">
        <f t="shared" si="11"/>
        <v>1285.5202713405615</v>
      </c>
      <c r="J88" s="10">
        <f t="shared" si="9"/>
        <v>552314574271.52478</v>
      </c>
      <c r="K88" s="11">
        <f t="shared" si="10"/>
        <v>1.0099999999999998E-2</v>
      </c>
    </row>
    <row r="89" spans="1:11" ht="22.5" customHeight="1">
      <c r="A89" s="19">
        <f t="shared" si="0"/>
        <v>1928</v>
      </c>
      <c r="B89" s="19">
        <v>1678</v>
      </c>
      <c r="C89" s="20">
        <f t="shared" si="1"/>
        <v>425346832.33783722</v>
      </c>
      <c r="D89" s="21">
        <v>0.01</v>
      </c>
      <c r="E89" s="20">
        <f t="shared" si="2"/>
        <v>4211354.7756221294</v>
      </c>
      <c r="F89" s="19"/>
      <c r="G89" s="11"/>
      <c r="H89" s="10"/>
      <c r="I89" s="10">
        <f t="shared" si="11"/>
        <v>1285.5202713405615</v>
      </c>
      <c r="J89" s="10">
        <f t="shared" si="9"/>
        <v>546791975320.78485</v>
      </c>
      <c r="K89" s="11">
        <f t="shared" si="10"/>
        <v>1.0000000000000009E-2</v>
      </c>
    </row>
    <row r="90" spans="1:11" ht="22.5" customHeight="1">
      <c r="A90" s="19">
        <f t="shared" si="0"/>
        <v>1927</v>
      </c>
      <c r="B90" s="19">
        <v>1677</v>
      </c>
      <c r="C90" s="20">
        <f t="shared" si="1"/>
        <v>421135477.56221509</v>
      </c>
      <c r="D90" s="21">
        <v>0.01</v>
      </c>
      <c r="E90" s="20">
        <f t="shared" si="2"/>
        <v>4169658.1936852932</v>
      </c>
      <c r="F90" s="19"/>
      <c r="G90" s="11"/>
      <c r="H90" s="10"/>
      <c r="I90" s="10">
        <f t="shared" si="11"/>
        <v>1285.5202713405615</v>
      </c>
      <c r="J90" s="10">
        <f t="shared" si="9"/>
        <v>541378193386.91571</v>
      </c>
      <c r="K90" s="11">
        <f t="shared" si="10"/>
        <v>1.0000000000000009E-2</v>
      </c>
    </row>
    <row r="91" spans="1:11" ht="22.5" customHeight="1">
      <c r="A91" s="19">
        <f t="shared" si="0"/>
        <v>1926</v>
      </c>
      <c r="B91" s="19">
        <v>1676</v>
      </c>
      <c r="C91" s="20">
        <f t="shared" si="1"/>
        <v>416965819.3685298</v>
      </c>
      <c r="D91" s="21">
        <v>0.01</v>
      </c>
      <c r="E91" s="20">
        <f t="shared" si="2"/>
        <v>4128374.4491933584</v>
      </c>
      <c r="F91" s="19"/>
      <c r="G91" s="11"/>
      <c r="H91" s="10"/>
      <c r="I91" s="10">
        <f t="shared" si="11"/>
        <v>1285.5202713405615</v>
      </c>
      <c r="J91" s="10">
        <f t="shared" si="9"/>
        <v>536018013254.37201</v>
      </c>
      <c r="K91" s="11">
        <f t="shared" si="10"/>
        <v>1.0000000000000009E-2</v>
      </c>
    </row>
    <row r="92" spans="1:11" ht="22.5" customHeight="1">
      <c r="A92" s="19">
        <f t="shared" si="0"/>
        <v>1925</v>
      </c>
      <c r="B92" s="19">
        <v>1675</v>
      </c>
      <c r="C92" s="20">
        <f t="shared" si="1"/>
        <v>412837444.91933644</v>
      </c>
      <c r="D92" s="21">
        <v>0.01</v>
      </c>
      <c r="E92" s="20">
        <f t="shared" si="2"/>
        <v>4087499.4546468854</v>
      </c>
      <c r="F92" s="19"/>
      <c r="G92" s="11"/>
      <c r="H92" s="10"/>
      <c r="I92" s="10">
        <f t="shared" si="11"/>
        <v>1285.5202713405615</v>
      </c>
      <c r="J92" s="10">
        <f t="shared" si="9"/>
        <v>530710904212.24951</v>
      </c>
      <c r="K92" s="11">
        <f t="shared" si="10"/>
        <v>1.0000000000000009E-2</v>
      </c>
    </row>
    <row r="93" spans="1:11" ht="22.5" customHeight="1">
      <c r="A93" s="19">
        <f t="shared" si="0"/>
        <v>1924</v>
      </c>
      <c r="B93" s="19">
        <v>1674</v>
      </c>
      <c r="C93" s="20">
        <f t="shared" si="1"/>
        <v>408749945.46468955</v>
      </c>
      <c r="D93" s="21">
        <v>0.01</v>
      </c>
      <c r="E93" s="20">
        <f t="shared" si="2"/>
        <v>4047029.1630167365</v>
      </c>
      <c r="F93" s="19"/>
      <c r="G93" s="11"/>
      <c r="H93" s="10"/>
      <c r="I93" s="10">
        <f t="shared" si="11"/>
        <v>1285.5202713405615</v>
      </c>
      <c r="J93" s="10">
        <f t="shared" si="9"/>
        <v>525456340804.20746</v>
      </c>
      <c r="K93" s="11">
        <f t="shared" si="10"/>
        <v>1.0000000000000009E-2</v>
      </c>
    </row>
    <row r="94" spans="1:11" ht="22.5" customHeight="1">
      <c r="A94" s="19">
        <f t="shared" si="0"/>
        <v>1923</v>
      </c>
      <c r="B94" s="19">
        <v>1673</v>
      </c>
      <c r="C94" s="20">
        <f t="shared" si="1"/>
        <v>404702916.30167282</v>
      </c>
      <c r="D94" s="21">
        <v>9.9000000000000008E-3</v>
      </c>
      <c r="E94" s="20">
        <f t="shared" si="2"/>
        <v>3967282.771944344</v>
      </c>
      <c r="F94" s="19"/>
      <c r="G94" s="11"/>
      <c r="H94" s="10"/>
      <c r="I94" s="10">
        <f t="shared" si="11"/>
        <v>1285.5202713405615</v>
      </c>
      <c r="J94" s="10">
        <f t="shared" si="9"/>
        <v>520253802776.44299</v>
      </c>
      <c r="K94" s="11">
        <f t="shared" si="10"/>
        <v>9.9000000000000199E-3</v>
      </c>
    </row>
    <row r="95" spans="1:11" ht="22.5" customHeight="1">
      <c r="A95" s="19">
        <f t="shared" si="0"/>
        <v>1922</v>
      </c>
      <c r="B95" s="19">
        <v>1672</v>
      </c>
      <c r="C95" s="20">
        <f t="shared" si="1"/>
        <v>400735633.52972847</v>
      </c>
      <c r="D95" s="21">
        <v>9.7000000000000003E-3</v>
      </c>
      <c r="E95" s="20">
        <f t="shared" si="2"/>
        <v>3849792.6564705968</v>
      </c>
      <c r="F95" s="19"/>
      <c r="G95" s="11"/>
      <c r="H95" s="10"/>
      <c r="I95" s="10">
        <f t="shared" si="11"/>
        <v>1285.5202713405615</v>
      </c>
      <c r="J95" s="10">
        <f t="shared" si="9"/>
        <v>515153780350.96838</v>
      </c>
      <c r="K95" s="11">
        <f t="shared" si="10"/>
        <v>9.7000000000000419E-3</v>
      </c>
    </row>
    <row r="96" spans="1:11" ht="22.5" customHeight="1">
      <c r="A96" s="19">
        <f t="shared" si="0"/>
        <v>1921</v>
      </c>
      <c r="B96" s="19">
        <v>1671</v>
      </c>
      <c r="C96" s="20">
        <f t="shared" si="1"/>
        <v>396885840.87325788</v>
      </c>
      <c r="D96" s="21">
        <v>9.4999999999999998E-3</v>
      </c>
      <c r="E96" s="20">
        <f t="shared" si="2"/>
        <v>3734933.6189162731</v>
      </c>
      <c r="F96" s="19"/>
      <c r="G96" s="11"/>
      <c r="H96" s="10"/>
      <c r="I96" s="10">
        <f t="shared" si="11"/>
        <v>1285.5202713405615</v>
      </c>
      <c r="J96" s="10">
        <f t="shared" si="9"/>
        <v>510204793850.61737</v>
      </c>
      <c r="K96" s="11">
        <f t="shared" si="10"/>
        <v>9.5000000000000639E-3</v>
      </c>
    </row>
    <row r="97" spans="1:11" ht="22.5" customHeight="1">
      <c r="A97" s="19">
        <f t="shared" si="0"/>
        <v>1920</v>
      </c>
      <c r="B97" s="19">
        <v>1670</v>
      </c>
      <c r="C97" s="20">
        <f t="shared" si="1"/>
        <v>393150907.2543416</v>
      </c>
      <c r="D97" s="21">
        <v>9.1999999999999998E-3</v>
      </c>
      <c r="E97" s="20">
        <f t="shared" si="2"/>
        <v>3584015.4050138593</v>
      </c>
      <c r="F97" s="19"/>
      <c r="G97" s="11"/>
      <c r="H97" s="10"/>
      <c r="I97" s="10">
        <f t="shared" si="11"/>
        <v>1285.5202713405615</v>
      </c>
      <c r="J97" s="10">
        <f t="shared" si="9"/>
        <v>505403460971.38916</v>
      </c>
      <c r="K97" s="11">
        <f t="shared" si="10"/>
        <v>9.200000000000097E-3</v>
      </c>
    </row>
    <row r="98" spans="1:11" ht="22.5" customHeight="1">
      <c r="A98" s="19">
        <f t="shared" si="0"/>
        <v>1919</v>
      </c>
      <c r="B98" s="19">
        <v>1669</v>
      </c>
      <c r="C98" s="20">
        <f t="shared" si="1"/>
        <v>389566891.84932774</v>
      </c>
      <c r="D98" s="21">
        <v>8.8000000000000005E-3</v>
      </c>
      <c r="E98" s="20">
        <f t="shared" si="2"/>
        <v>3398283.7512629628</v>
      </c>
      <c r="F98" s="19"/>
      <c r="G98" s="11"/>
      <c r="H98" s="10"/>
      <c r="I98" s="10">
        <f t="shared" si="11"/>
        <v>1285.5202713405615</v>
      </c>
      <c r="J98" s="10">
        <f t="shared" ref="J98:J129" si="12">IF(I98="","",I98*C98)</f>
        <v>500796136515.44696</v>
      </c>
      <c r="K98" s="11">
        <f t="shared" ref="K98:K129" si="13">IFERROR(J98/J99-1,"")</f>
        <v>8.799999999999919E-3</v>
      </c>
    </row>
    <row r="99" spans="1:11" ht="22.5" customHeight="1">
      <c r="A99" s="19">
        <f t="shared" si="0"/>
        <v>1918</v>
      </c>
      <c r="B99" s="19">
        <v>1668</v>
      </c>
      <c r="C99" s="20">
        <f t="shared" si="1"/>
        <v>386168608.09806478</v>
      </c>
      <c r="D99" s="21">
        <v>8.5000000000000006E-3</v>
      </c>
      <c r="E99" s="20">
        <f t="shared" si="2"/>
        <v>3254767.6438606977</v>
      </c>
      <c r="F99" s="19"/>
      <c r="G99" s="11"/>
      <c r="H99" s="10"/>
      <c r="I99" s="10">
        <f t="shared" ref="I99:I130" si="14">IF(H99&lt;&gt;"",H99,I98/(1+IF(G98="",0,G98)))</f>
        <v>1285.5202713405615</v>
      </c>
      <c r="J99" s="10">
        <f t="shared" si="12"/>
        <v>496427573865.43121</v>
      </c>
      <c r="K99" s="11">
        <f t="shared" si="13"/>
        <v>8.499999999999952E-3</v>
      </c>
    </row>
    <row r="100" spans="1:11" ht="22.5" customHeight="1">
      <c r="A100" s="19">
        <f t="shared" si="0"/>
        <v>1917</v>
      </c>
      <c r="B100" s="19">
        <v>1667</v>
      </c>
      <c r="C100" s="20">
        <f t="shared" si="1"/>
        <v>382913840.45420408</v>
      </c>
      <c r="D100" s="21">
        <v>8.3000000000000001E-3</v>
      </c>
      <c r="E100" s="20">
        <f t="shared" si="2"/>
        <v>3152023.0841712356</v>
      </c>
      <c r="F100" s="19"/>
      <c r="G100" s="11"/>
      <c r="H100" s="10"/>
      <c r="I100" s="10">
        <f t="shared" si="14"/>
        <v>1285.5202713405615</v>
      </c>
      <c r="J100" s="10">
        <f t="shared" si="12"/>
        <v>492243504080.74493</v>
      </c>
      <c r="K100" s="11">
        <f t="shared" si="13"/>
        <v>8.2999999999999741E-3</v>
      </c>
    </row>
    <row r="101" spans="1:11" ht="22.5" customHeight="1">
      <c r="A101" s="19">
        <f t="shared" si="0"/>
        <v>1916</v>
      </c>
      <c r="B101" s="19">
        <v>1666</v>
      </c>
      <c r="C101" s="20">
        <f t="shared" si="1"/>
        <v>379761817.37003285</v>
      </c>
      <c r="D101" s="21">
        <v>8.0999999999999996E-3</v>
      </c>
      <c r="E101" s="20">
        <f t="shared" si="2"/>
        <v>3051354.7472445965</v>
      </c>
      <c r="F101" s="19"/>
      <c r="G101" s="11"/>
      <c r="H101" s="10"/>
      <c r="I101" s="10">
        <f t="shared" si="14"/>
        <v>1285.5202713405615</v>
      </c>
      <c r="J101" s="10">
        <f t="shared" si="12"/>
        <v>488191514510.30939</v>
      </c>
      <c r="K101" s="11">
        <f t="shared" si="13"/>
        <v>8.0999999999999961E-3</v>
      </c>
    </row>
    <row r="102" spans="1:11" ht="22.5" customHeight="1">
      <c r="A102" s="19">
        <f t="shared" si="0"/>
        <v>1915</v>
      </c>
      <c r="B102" s="19">
        <v>1665</v>
      </c>
      <c r="C102" s="20">
        <f t="shared" si="1"/>
        <v>376710462.62278825</v>
      </c>
      <c r="D102" s="21">
        <v>8.0000000000000002E-3</v>
      </c>
      <c r="E102" s="20">
        <f t="shared" si="2"/>
        <v>2989765.5763713121</v>
      </c>
      <c r="F102" s="19"/>
      <c r="G102" s="11"/>
      <c r="H102" s="10"/>
      <c r="I102" s="10">
        <f t="shared" si="14"/>
        <v>1285.5202713405615</v>
      </c>
      <c r="J102" s="10">
        <f t="shared" si="12"/>
        <v>484268936127.67523</v>
      </c>
      <c r="K102" s="11">
        <f t="shared" si="13"/>
        <v>8.0000000000000071E-3</v>
      </c>
    </row>
    <row r="103" spans="1:11" ht="22.5" customHeight="1">
      <c r="A103" s="19">
        <f t="shared" si="0"/>
        <v>1914</v>
      </c>
      <c r="B103" s="19">
        <v>1664</v>
      </c>
      <c r="C103" s="20">
        <f t="shared" si="1"/>
        <v>373720697.04641694</v>
      </c>
      <c r="D103" s="21">
        <v>7.9000000000000008E-3</v>
      </c>
      <c r="E103" s="20">
        <f t="shared" si="2"/>
        <v>2929252.4126071334</v>
      </c>
      <c r="F103" s="19"/>
      <c r="G103" s="11"/>
      <c r="H103" s="10"/>
      <c r="I103" s="10">
        <f t="shared" si="14"/>
        <v>1285.5202713405615</v>
      </c>
      <c r="J103" s="10">
        <f t="shared" si="12"/>
        <v>480425531872.69366</v>
      </c>
      <c r="K103" s="11">
        <f t="shared" si="13"/>
        <v>7.9000000000000181E-3</v>
      </c>
    </row>
    <row r="104" spans="1:11" ht="22.5" customHeight="1">
      <c r="A104" s="19">
        <f t="shared" si="0"/>
        <v>1913</v>
      </c>
      <c r="B104" s="19">
        <v>1663</v>
      </c>
      <c r="C104" s="20">
        <f t="shared" si="1"/>
        <v>370791444.6338098</v>
      </c>
      <c r="D104" s="21">
        <v>7.7999999999999996E-3</v>
      </c>
      <c r="E104" s="20">
        <f t="shared" si="2"/>
        <v>2869788.9146097898</v>
      </c>
      <c r="F104" s="19"/>
      <c r="G104" s="11"/>
      <c r="H104" s="10"/>
      <c r="I104" s="10">
        <f t="shared" si="14"/>
        <v>1285.5202713405615</v>
      </c>
      <c r="J104" s="10">
        <f t="shared" si="12"/>
        <v>476659918516.414</v>
      </c>
      <c r="K104" s="11">
        <f t="shared" si="13"/>
        <v>7.8000000000002512E-3</v>
      </c>
    </row>
    <row r="105" spans="1:11" ht="22.5" customHeight="1">
      <c r="A105" s="19">
        <f t="shared" si="0"/>
        <v>1912</v>
      </c>
      <c r="B105" s="19">
        <v>1662</v>
      </c>
      <c r="C105" s="20">
        <f t="shared" si="1"/>
        <v>367921655.71920002</v>
      </c>
      <c r="D105" s="21">
        <v>7.6E-3</v>
      </c>
      <c r="E105" s="20">
        <f t="shared" si="2"/>
        <v>2775113.7192000151</v>
      </c>
      <c r="F105" s="19"/>
      <c r="G105" s="11"/>
      <c r="H105" s="10"/>
      <c r="I105" s="10">
        <f t="shared" si="14"/>
        <v>1285.5202713405615</v>
      </c>
      <c r="J105" s="10">
        <f t="shared" si="12"/>
        <v>472970746692.21466</v>
      </c>
      <c r="K105" s="11">
        <f t="shared" si="13"/>
        <v>7.6000000000000512E-3</v>
      </c>
    </row>
    <row r="106" spans="1:11" ht="22.5" customHeight="1">
      <c r="A106" s="24">
        <f t="shared" si="0"/>
        <v>1911</v>
      </c>
      <c r="B106" s="19">
        <v>1661</v>
      </c>
      <c r="C106" s="20">
        <v>365146542</v>
      </c>
      <c r="D106" s="25">
        <v>7.3000000000000001E-3</v>
      </c>
      <c r="E106" s="20">
        <f t="shared" si="2"/>
        <v>2138674.7523101568</v>
      </c>
      <c r="F106" s="24"/>
      <c r="G106" s="11"/>
      <c r="H106" s="10"/>
      <c r="I106" s="10">
        <f t="shared" si="14"/>
        <v>1285.5202713405615</v>
      </c>
      <c r="J106" s="10">
        <f t="shared" si="12"/>
        <v>469403281750.90771</v>
      </c>
      <c r="K106" s="11">
        <f t="shared" si="13"/>
        <v>5.8915382978486086E-3</v>
      </c>
    </row>
    <row r="107" spans="1:11" ht="22.5" customHeight="1">
      <c r="A107" s="19">
        <f t="shared" si="0"/>
        <v>1910</v>
      </c>
      <c r="B107" s="19">
        <v>1660</v>
      </c>
      <c r="C107" s="20">
        <f t="shared" ref="C107:C116" si="15">SUM(C108*(1+D107))</f>
        <v>363007867.24768984</v>
      </c>
      <c r="D107" s="21">
        <v>6.7999999999999996E-3</v>
      </c>
      <c r="E107" s="20">
        <f t="shared" si="2"/>
        <v>2451781.3838739395</v>
      </c>
      <c r="F107" s="19"/>
      <c r="G107" s="11"/>
      <c r="H107" s="10"/>
      <c r="I107" s="10">
        <f t="shared" si="14"/>
        <v>1285.5202713405615</v>
      </c>
      <c r="J107" s="10">
        <f t="shared" si="12"/>
        <v>466653972003.00879</v>
      </c>
      <c r="K107" s="11">
        <f t="shared" si="13"/>
        <v>6.7999999999999172E-3</v>
      </c>
    </row>
    <row r="108" spans="1:11" ht="22.5" customHeight="1">
      <c r="A108" s="19">
        <f t="shared" si="0"/>
        <v>1909</v>
      </c>
      <c r="B108" s="19">
        <v>1659</v>
      </c>
      <c r="C108" s="20">
        <f t="shared" si="15"/>
        <v>360556085.8638159</v>
      </c>
      <c r="D108" s="21">
        <v>6.1000000000000004E-3</v>
      </c>
      <c r="E108" s="20">
        <f t="shared" si="2"/>
        <v>2186057.1750017405</v>
      </c>
      <c r="F108" s="19"/>
      <c r="G108" s="11"/>
      <c r="H108" s="10"/>
      <c r="I108" s="10">
        <f t="shared" si="14"/>
        <v>1285.5202713405615</v>
      </c>
      <c r="J108" s="10">
        <f t="shared" si="12"/>
        <v>463502157333.14343</v>
      </c>
      <c r="K108" s="11">
        <f t="shared" si="13"/>
        <v>6.0999999999999943E-3</v>
      </c>
    </row>
    <row r="109" spans="1:11" ht="22.5" customHeight="1">
      <c r="A109" s="19">
        <f t="shared" si="0"/>
        <v>1908</v>
      </c>
      <c r="B109" s="19">
        <v>1658</v>
      </c>
      <c r="C109" s="20">
        <f t="shared" si="15"/>
        <v>358370028.68881416</v>
      </c>
      <c r="D109" s="21">
        <v>5.1000000000000004E-3</v>
      </c>
      <c r="E109" s="20">
        <f t="shared" si="2"/>
        <v>1818413.2387951612</v>
      </c>
      <c r="F109" s="19"/>
      <c r="G109" s="11"/>
      <c r="H109" s="10"/>
      <c r="I109" s="10">
        <f t="shared" si="14"/>
        <v>1285.5202713405615</v>
      </c>
      <c r="J109" s="10">
        <f t="shared" si="12"/>
        <v>460691936520.3692</v>
      </c>
      <c r="K109" s="11">
        <f t="shared" si="13"/>
        <v>5.1000000000001044E-3</v>
      </c>
    </row>
    <row r="110" spans="1:11" ht="22.5" customHeight="1">
      <c r="A110" s="19">
        <f t="shared" si="0"/>
        <v>1907</v>
      </c>
      <c r="B110" s="19">
        <v>1657</v>
      </c>
      <c r="C110" s="20">
        <f t="shared" si="15"/>
        <v>356551615.450019</v>
      </c>
      <c r="D110" s="21">
        <v>3.8E-3</v>
      </c>
      <c r="E110" s="20">
        <f t="shared" si="2"/>
        <v>1349767.0240188241</v>
      </c>
      <c r="F110" s="19"/>
      <c r="G110" s="11"/>
      <c r="H110" s="10"/>
      <c r="I110" s="10">
        <f t="shared" si="14"/>
        <v>1285.5202713405615</v>
      </c>
      <c r="J110" s="10">
        <f t="shared" si="12"/>
        <v>458354329440.224</v>
      </c>
      <c r="K110" s="11">
        <f t="shared" si="13"/>
        <v>3.8000000000002476E-3</v>
      </c>
    </row>
    <row r="111" spans="1:11" ht="22.5" customHeight="1">
      <c r="A111" s="19">
        <f t="shared" si="0"/>
        <v>1906</v>
      </c>
      <c r="B111" s="19">
        <v>1656</v>
      </c>
      <c r="C111" s="20">
        <f t="shared" si="15"/>
        <v>355201848.42600018</v>
      </c>
      <c r="D111" s="21">
        <v>2.7000000000000001E-3</v>
      </c>
      <c r="E111" s="20">
        <f t="shared" si="2"/>
        <v>956462.54188710451</v>
      </c>
      <c r="F111" s="19"/>
      <c r="G111" s="11"/>
      <c r="H111" s="10"/>
      <c r="I111" s="10">
        <f t="shared" si="14"/>
        <v>1285.5202713405615</v>
      </c>
      <c r="J111" s="10">
        <f t="shared" si="12"/>
        <v>456619176569.26074</v>
      </c>
      <c r="K111" s="11">
        <f t="shared" si="13"/>
        <v>2.6999999999999247E-3</v>
      </c>
    </row>
    <row r="112" spans="1:11" ht="22.5" customHeight="1">
      <c r="A112" s="19">
        <f t="shared" si="0"/>
        <v>1905</v>
      </c>
      <c r="B112" s="19">
        <v>1655</v>
      </c>
      <c r="C112" s="20">
        <f t="shared" si="15"/>
        <v>354245385.88411307</v>
      </c>
      <c r="D112" s="21">
        <v>2.0999999999999999E-3</v>
      </c>
      <c r="E112" s="20">
        <f t="shared" si="2"/>
        <v>742356.36199641228</v>
      </c>
      <c r="F112" s="19"/>
      <c r="G112" s="11"/>
      <c r="H112" s="10"/>
      <c r="I112" s="10">
        <f t="shared" si="14"/>
        <v>1285.5202713405615</v>
      </c>
      <c r="J112" s="10">
        <f t="shared" si="12"/>
        <v>455389624582.88696</v>
      </c>
      <c r="K112" s="11">
        <f t="shared" si="13"/>
        <v>2.0999999999999908E-3</v>
      </c>
    </row>
    <row r="113" spans="1:11" ht="22.5" customHeight="1">
      <c r="A113" s="19">
        <f t="shared" si="0"/>
        <v>1904</v>
      </c>
      <c r="B113" s="19">
        <v>1654</v>
      </c>
      <c r="C113" s="20">
        <f t="shared" si="15"/>
        <v>353503029.52211666</v>
      </c>
      <c r="D113" s="21">
        <v>2.3999999999999998E-3</v>
      </c>
      <c r="E113" s="20">
        <f t="shared" si="2"/>
        <v>846375.96852856874</v>
      </c>
      <c r="F113" s="19"/>
      <c r="G113" s="11"/>
      <c r="H113" s="10"/>
      <c r="I113" s="10">
        <f t="shared" si="14"/>
        <v>1285.5202713405615</v>
      </c>
      <c r="J113" s="10">
        <f t="shared" si="12"/>
        <v>454435310430.98193</v>
      </c>
      <c r="K113" s="11">
        <f t="shared" si="13"/>
        <v>2.3999999999999577E-3</v>
      </c>
    </row>
    <row r="114" spans="1:11" ht="22.5" customHeight="1">
      <c r="A114" s="19">
        <f t="shared" si="0"/>
        <v>1903</v>
      </c>
      <c r="B114" s="19">
        <v>1653</v>
      </c>
      <c r="C114" s="20">
        <f t="shared" si="15"/>
        <v>352656653.55358809</v>
      </c>
      <c r="D114" s="21">
        <v>3.3E-3</v>
      </c>
      <c r="E114" s="20">
        <f t="shared" si="2"/>
        <v>1159939.1575071216</v>
      </c>
      <c r="F114" s="19"/>
      <c r="G114" s="11"/>
      <c r="H114" s="10"/>
      <c r="I114" s="10">
        <f t="shared" si="14"/>
        <v>1285.5202713405615</v>
      </c>
      <c r="J114" s="10">
        <f t="shared" si="12"/>
        <v>453347276966.26294</v>
      </c>
      <c r="K114" s="11">
        <f t="shared" si="13"/>
        <v>3.3000000000000806E-3</v>
      </c>
    </row>
    <row r="115" spans="1:11" ht="22.5" customHeight="1">
      <c r="A115" s="19">
        <f t="shared" si="0"/>
        <v>1902</v>
      </c>
      <c r="B115" s="19">
        <v>1652</v>
      </c>
      <c r="C115" s="20">
        <f t="shared" si="15"/>
        <v>351496714.39608097</v>
      </c>
      <c r="D115" s="21">
        <v>4.4000000000000003E-3</v>
      </c>
      <c r="E115" s="20">
        <f t="shared" si="2"/>
        <v>1539810.3776809573</v>
      </c>
      <c r="F115" s="19"/>
      <c r="G115" s="11"/>
      <c r="H115" s="10"/>
      <c r="I115" s="10">
        <f t="shared" si="14"/>
        <v>1285.5202713405615</v>
      </c>
      <c r="J115" s="10">
        <f t="shared" si="12"/>
        <v>451856151665.76587</v>
      </c>
      <c r="K115" s="11">
        <f t="shared" si="13"/>
        <v>4.3999999999999595E-3</v>
      </c>
    </row>
    <row r="116" spans="1:11" ht="22.5" customHeight="1">
      <c r="A116" s="19">
        <f t="shared" si="0"/>
        <v>1901</v>
      </c>
      <c r="B116" s="19">
        <v>1651</v>
      </c>
      <c r="C116" s="20">
        <f t="shared" si="15"/>
        <v>349956904.01840001</v>
      </c>
      <c r="D116" s="21">
        <v>5.1999999999999998E-3</v>
      </c>
      <c r="E116" s="20">
        <f t="shared" si="2"/>
        <v>1810362.0184000134</v>
      </c>
      <c r="F116" s="19"/>
      <c r="G116" s="11"/>
      <c r="H116" s="10"/>
      <c r="I116" s="10">
        <f t="shared" si="14"/>
        <v>1285.5202713405615</v>
      </c>
      <c r="J116" s="10">
        <f t="shared" si="12"/>
        <v>449876694211.23645</v>
      </c>
      <c r="K116" s="11">
        <f t="shared" si="13"/>
        <v>5.2000000000000934E-3</v>
      </c>
    </row>
    <row r="117" spans="1:11" ht="22.5" customHeight="1">
      <c r="A117" s="19">
        <f t="shared" si="0"/>
        <v>1900</v>
      </c>
      <c r="B117" s="19">
        <v>1650</v>
      </c>
      <c r="C117" s="20">
        <v>348146542</v>
      </c>
      <c r="D117" s="21">
        <v>5.5999999999999999E-3</v>
      </c>
      <c r="E117" s="20">
        <v>2000879.2519999701</v>
      </c>
      <c r="F117" s="19"/>
      <c r="G117" s="11"/>
      <c r="H117" s="10"/>
      <c r="I117" s="10">
        <f t="shared" si="14"/>
        <v>1285.5202713405615</v>
      </c>
      <c r="J117" s="10">
        <f t="shared" si="12"/>
        <v>447549437138.11823</v>
      </c>
      <c r="K117" s="11"/>
    </row>
  </sheetData>
  <dataValidations count="1">
    <dataValidation type="custom" allowBlank="1" showDropDown="1" sqref="D2:D11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5">
        <v>2020940</v>
      </c>
      <c r="G2" s="11"/>
      <c r="H2" s="10"/>
      <c r="I2" s="10">
        <f>IF(H2&lt;&gt;"",H2,2698)</f>
        <v>2698</v>
      </c>
      <c r="J2" s="10">
        <f t="shared" ref="J2:J33" si="3">IF(I2="","",I2*C2)</f>
        <v>5452514423.4868727</v>
      </c>
      <c r="K2" s="11">
        <f t="shared" ref="K2:K33" si="4">IFERROR(J2/J3-1,"")</f>
        <v>-2.8000000000001357E-3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11"/>
      <c r="H3" s="10"/>
      <c r="I3" s="10">
        <f t="shared" ref="I3:I34" si="5">IF(H3&lt;&gt;"",H3,I2/(1+IF(G2="",0,G2)))</f>
        <v>2698</v>
      </c>
      <c r="J3" s="10">
        <f t="shared" si="3"/>
        <v>5467824331.6153965</v>
      </c>
      <c r="K3" s="11">
        <f t="shared" si="4"/>
        <v>-3.0999999999999917E-3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11"/>
      <c r="H4" s="10"/>
      <c r="I4" s="10">
        <f t="shared" si="5"/>
        <v>2698</v>
      </c>
      <c r="J4" s="10">
        <f t="shared" si="3"/>
        <v>5484827296.2337208</v>
      </c>
      <c r="K4" s="11">
        <f t="shared" si="4"/>
        <v>-2.9999999999998916E-3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11"/>
      <c r="H5" s="10"/>
      <c r="I5" s="10">
        <f t="shared" si="5"/>
        <v>2698</v>
      </c>
      <c r="J5" s="10">
        <f t="shared" si="3"/>
        <v>5501331290.1040325</v>
      </c>
      <c r="K5" s="11">
        <f t="shared" si="4"/>
        <v>5.9999999999993392E-4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11"/>
      <c r="H6" s="10"/>
      <c r="I6" s="10">
        <f t="shared" si="5"/>
        <v>2698</v>
      </c>
      <c r="J6" s="10">
        <f t="shared" si="3"/>
        <v>5498032470.6216602</v>
      </c>
      <c r="K6" s="11">
        <f t="shared" si="4"/>
        <v>3.6000000000000476E-3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11"/>
      <c r="H7" s="10"/>
      <c r="I7" s="10">
        <f t="shared" si="5"/>
        <v>2698</v>
      </c>
      <c r="J7" s="10">
        <f t="shared" si="3"/>
        <v>5478310552.632184</v>
      </c>
      <c r="K7" s="11">
        <f t="shared" si="4"/>
        <v>4.5999999999999375E-3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11"/>
      <c r="H8" s="10"/>
      <c r="I8" s="10">
        <f t="shared" si="5"/>
        <v>2698</v>
      </c>
      <c r="J8" s="10">
        <f t="shared" si="3"/>
        <v>5453225714.3461914</v>
      </c>
      <c r="K8" s="11">
        <f t="shared" si="4"/>
        <v>8.899999999999908E-3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11"/>
      <c r="H9" s="10"/>
      <c r="I9" s="10">
        <f t="shared" si="5"/>
        <v>2698</v>
      </c>
      <c r="J9" s="10">
        <f t="shared" si="3"/>
        <v>5405120145.0552006</v>
      </c>
      <c r="K9" s="11">
        <f t="shared" si="4"/>
        <v>1.6000000000000014E-2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11"/>
      <c r="H10" s="10"/>
      <c r="I10" s="10">
        <f t="shared" si="5"/>
        <v>2698</v>
      </c>
      <c r="J10" s="10">
        <f t="shared" si="3"/>
        <v>5320000142.7708664</v>
      </c>
      <c r="K10" s="11">
        <f t="shared" si="4"/>
        <v>1.8499999999999961E-2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11"/>
      <c r="H11" s="10"/>
      <c r="I11" s="10">
        <f t="shared" si="5"/>
        <v>2698</v>
      </c>
      <c r="J11" s="10">
        <f t="shared" si="3"/>
        <v>5223367837.7720833</v>
      </c>
      <c r="K11" s="11">
        <f t="shared" si="4"/>
        <v>1.6899999999999915E-2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11"/>
      <c r="H12" s="10"/>
      <c r="I12" s="10">
        <f t="shared" si="5"/>
        <v>2698</v>
      </c>
      <c r="J12" s="10">
        <f t="shared" si="3"/>
        <v>5136559974.2079687</v>
      </c>
      <c r="K12" s="11">
        <f t="shared" si="4"/>
        <v>1.6899999999999915E-2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11"/>
      <c r="H13" s="10"/>
      <c r="I13" s="10">
        <f t="shared" si="5"/>
        <v>2698</v>
      </c>
      <c r="J13" s="10">
        <f t="shared" si="3"/>
        <v>5051194782.3856516</v>
      </c>
      <c r="K13" s="11">
        <f t="shared" si="4"/>
        <v>1.7299999999999871E-2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11"/>
      <c r="H14" s="10"/>
      <c r="I14" s="10">
        <f t="shared" si="5"/>
        <v>2698</v>
      </c>
      <c r="J14" s="10">
        <f t="shared" si="3"/>
        <v>4965295175.8435583</v>
      </c>
      <c r="K14" s="11">
        <f t="shared" si="4"/>
        <v>1.8100000000000005E-2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11"/>
      <c r="H15" s="10"/>
      <c r="I15" s="10">
        <f t="shared" si="5"/>
        <v>2698</v>
      </c>
      <c r="J15" s="10">
        <f t="shared" si="3"/>
        <v>4877021094.0414085</v>
      </c>
      <c r="K15" s="11">
        <f t="shared" si="4"/>
        <v>1.4100000000000001E-2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11"/>
      <c r="H16" s="10"/>
      <c r="I16" s="10">
        <f t="shared" si="5"/>
        <v>2698</v>
      </c>
      <c r="J16" s="10">
        <f t="shared" si="3"/>
        <v>4809211215.8972569</v>
      </c>
      <c r="K16" s="11">
        <f t="shared" si="4"/>
        <v>6.8999999999999062E-3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11"/>
      <c r="H17" s="10"/>
      <c r="I17" s="10">
        <f t="shared" si="5"/>
        <v>2698</v>
      </c>
      <c r="J17" s="10">
        <f t="shared" si="3"/>
        <v>4776255056.0107832</v>
      </c>
      <c r="K17" s="11">
        <f t="shared" si="4"/>
        <v>4.4999999999999485E-3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11"/>
      <c r="H18" s="10"/>
      <c r="I18" s="10">
        <f t="shared" si="5"/>
        <v>2698</v>
      </c>
      <c r="J18" s="10">
        <f t="shared" si="3"/>
        <v>4754858194.137166</v>
      </c>
      <c r="K18" s="11">
        <f t="shared" si="4"/>
        <v>4.0999999999999925E-3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11"/>
      <c r="H19" s="10"/>
      <c r="I19" s="10">
        <f t="shared" si="5"/>
        <v>2698</v>
      </c>
      <c r="J19" s="10">
        <f t="shared" si="3"/>
        <v>4735442878.335989</v>
      </c>
      <c r="K19" s="11">
        <f t="shared" si="4"/>
        <v>4.0999999999999925E-3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11"/>
      <c r="H20" s="10"/>
      <c r="I20" s="10">
        <f t="shared" si="5"/>
        <v>2698</v>
      </c>
      <c r="J20" s="10">
        <f t="shared" si="3"/>
        <v>4716106840.2907972</v>
      </c>
      <c r="K20" s="11">
        <f t="shared" si="4"/>
        <v>4.1999999999999815E-3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11"/>
      <c r="H21" s="10"/>
      <c r="I21" s="10">
        <f t="shared" si="5"/>
        <v>2698</v>
      </c>
      <c r="J21" s="10">
        <f t="shared" si="3"/>
        <v>4696382035.7406864</v>
      </c>
      <c r="K21" s="11">
        <f t="shared" si="4"/>
        <v>4.1999999999999815E-3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11"/>
      <c r="H22" s="10"/>
      <c r="I22" s="10">
        <f t="shared" si="5"/>
        <v>2698</v>
      </c>
      <c r="J22" s="10">
        <f t="shared" si="3"/>
        <v>4676739728.8793926</v>
      </c>
      <c r="K22" s="11">
        <f t="shared" si="4"/>
        <v>4.3999999999999595E-3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11"/>
      <c r="H23" s="10"/>
      <c r="I23" s="10">
        <f t="shared" si="5"/>
        <v>2698</v>
      </c>
      <c r="J23" s="10">
        <f t="shared" si="3"/>
        <v>4656252219.1152859</v>
      </c>
      <c r="K23" s="11">
        <f t="shared" si="4"/>
        <v>4.7999999999999154E-3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11"/>
      <c r="H24" s="10"/>
      <c r="I24" s="10">
        <f t="shared" si="5"/>
        <v>2698</v>
      </c>
      <c r="J24" s="10">
        <f t="shared" si="3"/>
        <v>4634008976.0303402</v>
      </c>
      <c r="K24" s="11">
        <f t="shared" si="4"/>
        <v>5.2000000000000934E-3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11"/>
      <c r="H25" s="10"/>
      <c r="I25" s="10">
        <f t="shared" si="5"/>
        <v>2698</v>
      </c>
      <c r="J25" s="10">
        <f t="shared" si="3"/>
        <v>4610036784.7496414</v>
      </c>
      <c r="K25" s="11">
        <f t="shared" si="4"/>
        <v>4.8999999999999044E-3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11"/>
      <c r="H26" s="10"/>
      <c r="I26" s="10">
        <f t="shared" si="5"/>
        <v>2698</v>
      </c>
      <c r="J26" s="10">
        <f t="shared" si="3"/>
        <v>4587557751.7659883</v>
      </c>
      <c r="K26" s="11">
        <f t="shared" si="4"/>
        <v>2.4999999999999467E-3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11"/>
      <c r="H27" s="10"/>
      <c r="I27" s="10">
        <f t="shared" si="5"/>
        <v>2698</v>
      </c>
      <c r="J27" s="10">
        <f t="shared" si="3"/>
        <v>4576117458.1206865</v>
      </c>
      <c r="K27" s="11">
        <f t="shared" si="4"/>
        <v>9.9999999999988987E-4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11"/>
      <c r="H28" s="10"/>
      <c r="I28" s="10">
        <f t="shared" si="5"/>
        <v>2698</v>
      </c>
      <c r="J28" s="10">
        <f t="shared" si="3"/>
        <v>4571545912.2084789</v>
      </c>
      <c r="K28" s="11">
        <f t="shared" si="4"/>
        <v>1.6000000000002679E-3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11"/>
      <c r="H29" s="10"/>
      <c r="I29" s="10">
        <f t="shared" si="5"/>
        <v>2698</v>
      </c>
      <c r="J29" s="10">
        <f t="shared" si="3"/>
        <v>4564243123.21134</v>
      </c>
      <c r="K29" s="11">
        <f t="shared" si="4"/>
        <v>2.0999999999999908E-3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11"/>
      <c r="H30" s="10"/>
      <c r="I30" s="10">
        <f t="shared" si="5"/>
        <v>2698</v>
      </c>
      <c r="J30" s="10">
        <f t="shared" si="3"/>
        <v>4554678298.7838936</v>
      </c>
      <c r="K30" s="11">
        <f t="shared" si="4"/>
        <v>2.5999999999999357E-3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11"/>
      <c r="H31" s="10"/>
      <c r="I31" s="10">
        <f t="shared" si="5"/>
        <v>2698</v>
      </c>
      <c r="J31" s="10">
        <f t="shared" si="3"/>
        <v>4542866844.986928</v>
      </c>
      <c r="K31" s="11">
        <f t="shared" si="4"/>
        <v>2.9999999999998916E-3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11"/>
      <c r="H32" s="10"/>
      <c r="I32" s="10">
        <f t="shared" si="5"/>
        <v>2698</v>
      </c>
      <c r="J32" s="10">
        <f t="shared" si="3"/>
        <v>4529279007.9630394</v>
      </c>
      <c r="K32" s="11">
        <f t="shared" si="4"/>
        <v>3.6000000000000476E-3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11"/>
      <c r="H33" s="10"/>
      <c r="I33" s="10">
        <f t="shared" si="5"/>
        <v>2698</v>
      </c>
      <c r="J33" s="10">
        <f t="shared" si="3"/>
        <v>4513032092.4302902</v>
      </c>
      <c r="K33" s="11">
        <f t="shared" si="4"/>
        <v>4.1999999999997595E-3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11"/>
      <c r="H34" s="10"/>
      <c r="I34" s="10">
        <f t="shared" si="5"/>
        <v>2698</v>
      </c>
      <c r="J34" s="10">
        <f t="shared" ref="J34:J65" si="6">IF(I34="","",I34*C34)</f>
        <v>4494156634.5651178</v>
      </c>
      <c r="K34" s="11">
        <f t="shared" ref="K34:K65" si="7">IFERROR(J34/J35-1,"")</f>
        <v>4.9000000000001265E-3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11"/>
      <c r="H35" s="10"/>
      <c r="I35" s="10">
        <f t="shared" ref="I35:I66" si="8">IF(H35&lt;&gt;"",H35,I34/(1+IF(G34="",0,G34)))</f>
        <v>2698</v>
      </c>
      <c r="J35" s="10">
        <f t="shared" si="6"/>
        <v>4472242645.6016693</v>
      </c>
      <c r="K35" s="11">
        <f t="shared" si="7"/>
        <v>6.0000000000000053E-3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11"/>
      <c r="H36" s="10"/>
      <c r="I36" s="10">
        <f t="shared" si="8"/>
        <v>2698</v>
      </c>
      <c r="J36" s="10">
        <f t="shared" si="6"/>
        <v>4445569230.2203474</v>
      </c>
      <c r="K36" s="11">
        <f t="shared" si="7"/>
        <v>7.1000000000001062E-3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11"/>
      <c r="H37" s="10"/>
      <c r="I37" s="10">
        <f t="shared" si="8"/>
        <v>2698</v>
      </c>
      <c r="J37" s="10">
        <f t="shared" si="6"/>
        <v>4414228209.9298449</v>
      </c>
      <c r="K37" s="11">
        <f t="shared" si="7"/>
        <v>8.0000000000000071E-3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11"/>
      <c r="H38" s="10"/>
      <c r="I38" s="10">
        <f t="shared" si="8"/>
        <v>2698</v>
      </c>
      <c r="J38" s="10">
        <f t="shared" si="6"/>
        <v>4379194652.7081795</v>
      </c>
      <c r="K38" s="11">
        <f t="shared" si="7"/>
        <v>8.800000000000141E-3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11"/>
      <c r="H39" s="10"/>
      <c r="I39" s="10">
        <f t="shared" si="8"/>
        <v>2698</v>
      </c>
      <c r="J39" s="10">
        <f t="shared" si="6"/>
        <v>4340993906.3324537</v>
      </c>
      <c r="K39" s="11">
        <f t="shared" si="7"/>
        <v>9.6000000000000529E-3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11"/>
      <c r="H40" s="10"/>
      <c r="I40" s="10">
        <f t="shared" si="8"/>
        <v>2698</v>
      </c>
      <c r="J40" s="10">
        <f t="shared" si="6"/>
        <v>4299716626.7159805</v>
      </c>
      <c r="K40" s="11">
        <f t="shared" si="7"/>
        <v>1.0299999999999976E-2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11"/>
      <c r="H41" s="10"/>
      <c r="I41" s="10">
        <f t="shared" si="8"/>
        <v>2698</v>
      </c>
      <c r="J41" s="10">
        <f t="shared" si="6"/>
        <v>4255881051.8815999</v>
      </c>
      <c r="K41" s="11">
        <f t="shared" si="7"/>
        <v>1.0599999999999943E-2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11"/>
      <c r="H42" s="10"/>
      <c r="I42" s="10">
        <f t="shared" si="8"/>
        <v>2698</v>
      </c>
      <c r="J42" s="10">
        <f t="shared" si="6"/>
        <v>4211241887.8701763</v>
      </c>
      <c r="K42" s="11">
        <f t="shared" si="7"/>
        <v>1.0799999999999921E-2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11"/>
      <c r="H43" s="10"/>
      <c r="I43" s="10">
        <f t="shared" si="8"/>
        <v>2698</v>
      </c>
      <c r="J43" s="10">
        <f t="shared" si="6"/>
        <v>4166246426.4643617</v>
      </c>
      <c r="K43" s="11">
        <f t="shared" si="7"/>
        <v>1.089999999999991E-2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11"/>
      <c r="H44" s="10"/>
      <c r="I44" s="10">
        <f t="shared" si="8"/>
        <v>2698</v>
      </c>
      <c r="J44" s="10">
        <f t="shared" si="6"/>
        <v>4121323994.9197373</v>
      </c>
      <c r="K44" s="11">
        <f t="shared" si="7"/>
        <v>1.0999999999999899E-2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11"/>
      <c r="H45" s="10"/>
      <c r="I45" s="10">
        <f t="shared" si="8"/>
        <v>2698</v>
      </c>
      <c r="J45" s="10">
        <f t="shared" si="6"/>
        <v>4076482685.3805513</v>
      </c>
      <c r="K45" s="11">
        <f t="shared" si="7"/>
        <v>1.0999999999999899E-2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11"/>
      <c r="H46" s="10"/>
      <c r="I46" s="10">
        <f t="shared" si="8"/>
        <v>2698</v>
      </c>
      <c r="J46" s="10">
        <f t="shared" si="6"/>
        <v>4032129263.4822469</v>
      </c>
      <c r="K46" s="11">
        <f t="shared" si="7"/>
        <v>1.21E-2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11"/>
      <c r="H47" s="10"/>
      <c r="I47" s="10">
        <f t="shared" si="8"/>
        <v>2698</v>
      </c>
      <c r="J47" s="10">
        <f t="shared" si="6"/>
        <v>3983923785.6755724</v>
      </c>
      <c r="K47" s="11">
        <f t="shared" si="7"/>
        <v>1.110000000000011E-2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11"/>
      <c r="H48" s="10"/>
      <c r="I48" s="10">
        <f t="shared" si="8"/>
        <v>2698</v>
      </c>
      <c r="J48" s="10">
        <f t="shared" si="6"/>
        <v>3940187702.1813588</v>
      </c>
      <c r="K48" s="11">
        <f t="shared" si="7"/>
        <v>9.9000000000002419E-3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11"/>
      <c r="H49" s="10"/>
      <c r="I49" s="10">
        <f t="shared" si="8"/>
        <v>2698</v>
      </c>
      <c r="J49" s="10">
        <f t="shared" si="6"/>
        <v>3901562236.0445175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11"/>
      <c r="H50" s="10"/>
      <c r="I50" s="10">
        <f t="shared" si="8"/>
        <v>2698</v>
      </c>
      <c r="J50" s="10">
        <f t="shared" si="6"/>
        <v>3851112660.1959505</v>
      </c>
      <c r="K50" s="11">
        <f t="shared" si="7"/>
        <v>1.2299999999999978E-2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11"/>
      <c r="H51" s="10"/>
      <c r="I51" s="10">
        <f t="shared" si="8"/>
        <v>2698</v>
      </c>
      <c r="J51" s="10">
        <f t="shared" si="6"/>
        <v>3804319529.9772305</v>
      </c>
      <c r="K51" s="11">
        <f t="shared" si="7"/>
        <v>1.0199999999999987E-2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11"/>
      <c r="H52" s="10"/>
      <c r="I52" s="10">
        <f t="shared" si="8"/>
        <v>2698</v>
      </c>
      <c r="J52" s="10">
        <f t="shared" si="6"/>
        <v>3765907275.7644334</v>
      </c>
      <c r="K52" s="11">
        <f t="shared" si="7"/>
        <v>1.089999999999991E-2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11"/>
      <c r="H53" s="10"/>
      <c r="I53" s="10">
        <f t="shared" si="8"/>
        <v>2698</v>
      </c>
      <c r="J53" s="10">
        <f t="shared" si="6"/>
        <v>3725301489.5285721</v>
      </c>
      <c r="K53" s="11">
        <f t="shared" si="7"/>
        <v>9.8999999999997979E-3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11"/>
      <c r="H54" s="10"/>
      <c r="I54" s="10">
        <f t="shared" si="8"/>
        <v>2698</v>
      </c>
      <c r="J54" s="10">
        <f t="shared" si="6"/>
        <v>3688782542.3592162</v>
      </c>
      <c r="K54" s="11">
        <f t="shared" si="7"/>
        <v>8.799999999999919E-3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11"/>
      <c r="H55" s="10"/>
      <c r="I55" s="10">
        <f t="shared" si="8"/>
        <v>2698</v>
      </c>
      <c r="J55" s="10">
        <f t="shared" si="6"/>
        <v>3656604423.4330058</v>
      </c>
      <c r="K55" s="11">
        <f t="shared" si="7"/>
        <v>9.200000000000097E-3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11"/>
      <c r="H56" s="10"/>
      <c r="I56" s="10">
        <f t="shared" si="8"/>
        <v>2698</v>
      </c>
      <c r="J56" s="10">
        <f t="shared" si="6"/>
        <v>3623270336.3386898</v>
      </c>
      <c r="K56" s="11">
        <f t="shared" si="7"/>
        <v>9.300000000000086E-3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11"/>
      <c r="H57" s="10"/>
      <c r="I57" s="10">
        <f t="shared" si="8"/>
        <v>2698</v>
      </c>
      <c r="J57" s="10">
        <f t="shared" si="6"/>
        <v>3589884411.3134742</v>
      </c>
      <c r="K57" s="11">
        <f t="shared" si="7"/>
        <v>8.999999999999897E-3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11"/>
      <c r="H58" s="10"/>
      <c r="I58" s="10">
        <f t="shared" si="8"/>
        <v>2698</v>
      </c>
      <c r="J58" s="10">
        <f t="shared" si="6"/>
        <v>3557863638.5663772</v>
      </c>
      <c r="K58" s="11">
        <f t="shared" si="7"/>
        <v>8.49999999999973E-3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11"/>
      <c r="H59" s="10"/>
      <c r="I59" s="10">
        <f t="shared" si="8"/>
        <v>2698</v>
      </c>
      <c r="J59" s="10">
        <f t="shared" si="6"/>
        <v>3527876686.7291799</v>
      </c>
      <c r="K59" s="11">
        <f t="shared" si="7"/>
        <v>8.5000000000001741E-3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11"/>
      <c r="H60" s="10"/>
      <c r="I60" s="10">
        <f t="shared" si="8"/>
        <v>2698</v>
      </c>
      <c r="J60" s="10">
        <f t="shared" si="6"/>
        <v>3498142475.6858497</v>
      </c>
      <c r="K60" s="11">
        <f t="shared" si="7"/>
        <v>8.499999999999952E-3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11"/>
      <c r="H61" s="10"/>
      <c r="I61" s="10">
        <f t="shared" si="8"/>
        <v>2698</v>
      </c>
      <c r="J61" s="10">
        <f t="shared" si="6"/>
        <v>3468658875.2462564</v>
      </c>
      <c r="K61" s="11">
        <f t="shared" si="7"/>
        <v>8.49999999999973E-3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11"/>
      <c r="H62" s="10"/>
      <c r="I62" s="10">
        <f t="shared" si="8"/>
        <v>2698</v>
      </c>
      <c r="J62" s="10">
        <f t="shared" si="6"/>
        <v>3439423773.1742759</v>
      </c>
      <c r="K62" s="11">
        <f t="shared" si="7"/>
        <v>8.5000000000001741E-3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11"/>
      <c r="H63" s="10"/>
      <c r="I63" s="10">
        <f t="shared" si="8"/>
        <v>2698</v>
      </c>
      <c r="J63" s="10">
        <f t="shared" si="6"/>
        <v>3410435075.0364656</v>
      </c>
      <c r="K63" s="11">
        <f t="shared" si="7"/>
        <v>8.499999999999952E-3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11"/>
      <c r="H64" s="10"/>
      <c r="I64" s="10">
        <f t="shared" si="8"/>
        <v>2698</v>
      </c>
      <c r="J64" s="10">
        <f t="shared" si="6"/>
        <v>3381690704.0520239</v>
      </c>
      <c r="K64" s="11">
        <f t="shared" si="7"/>
        <v>8.499999999999952E-3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11"/>
      <c r="H65" s="10"/>
      <c r="I65" s="10">
        <f t="shared" si="8"/>
        <v>2698</v>
      </c>
      <c r="J65" s="10">
        <f t="shared" si="6"/>
        <v>3353188600.9439998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11"/>
      <c r="H66" s="10"/>
      <c r="I66" s="10">
        <f t="shared" si="8"/>
        <v>2698</v>
      </c>
      <c r="J66" s="10">
        <f t="shared" ref="J66:J97" si="9">IF(I66="","",I66*C66)</f>
        <v>3326575993</v>
      </c>
      <c r="K66" s="11">
        <f t="shared" ref="K66:K97" si="10">IFERROR(J66/J67-1,"")</f>
        <v>7.5000000000000622E-3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2698</v>
      </c>
      <c r="J67" s="10">
        <f t="shared" si="9"/>
        <v>3301812400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5">
        <v>19678480</v>
      </c>
      <c r="G2" s="11"/>
      <c r="H2" s="10"/>
      <c r="I2" s="10">
        <f>IF(H2&lt;&gt;"",H2,11230)</f>
        <v>11230</v>
      </c>
      <c r="J2" s="10">
        <f t="shared" ref="J2:J33" si="3">IF(I2="","",I2*C2)</f>
        <v>220996667380.97992</v>
      </c>
      <c r="K2" s="11">
        <f t="shared" ref="K2:K33" si="4">IFERROR(J2/J3-1,"")</f>
        <v>-3.6000000000000476E-3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11"/>
      <c r="H3" s="10"/>
      <c r="I3" s="10">
        <f t="shared" ref="I3:I34" si="5">IF(H3&lt;&gt;"",H3,I2/(1+IF(G2="",0,G2)))</f>
        <v>11230</v>
      </c>
      <c r="J3" s="10">
        <f t="shared" si="3"/>
        <v>221795129848.4343</v>
      </c>
      <c r="K3" s="11">
        <f t="shared" si="4"/>
        <v>-4.0000000000000036E-3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11"/>
      <c r="H4" s="10"/>
      <c r="I4" s="10">
        <f t="shared" si="5"/>
        <v>11230</v>
      </c>
      <c r="J4" s="10">
        <f t="shared" si="3"/>
        <v>222685873341.80151</v>
      </c>
      <c r="K4" s="11">
        <f t="shared" si="4"/>
        <v>-4.7999999999999154E-3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11"/>
      <c r="H5" s="10"/>
      <c r="I5" s="10">
        <f t="shared" si="5"/>
        <v>11230</v>
      </c>
      <c r="J5" s="10">
        <f t="shared" si="3"/>
        <v>223759920962.42111</v>
      </c>
      <c r="K5" s="11">
        <f t="shared" si="4"/>
        <v>-5.2000000000000934E-3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11"/>
      <c r="H6" s="10"/>
      <c r="I6" s="10">
        <f t="shared" si="5"/>
        <v>11230</v>
      </c>
      <c r="J6" s="10">
        <f t="shared" si="3"/>
        <v>224929554646.58337</v>
      </c>
      <c r="K6" s="11">
        <f t="shared" si="4"/>
        <v>-2.8000000000000247E-3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11"/>
      <c r="H7" s="10"/>
      <c r="I7" s="10">
        <f t="shared" si="5"/>
        <v>11230</v>
      </c>
      <c r="J7" s="10">
        <f t="shared" si="3"/>
        <v>225561125798.82007</v>
      </c>
      <c r="K7" s="11">
        <f t="shared" si="4"/>
        <v>-2.2999999999998577E-3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11"/>
      <c r="H8" s="10"/>
      <c r="I8" s="10">
        <f t="shared" si="5"/>
        <v>11230</v>
      </c>
      <c r="J8" s="10">
        <f t="shared" si="3"/>
        <v>226081112357.2417</v>
      </c>
      <c r="K8" s="11">
        <f t="shared" si="4"/>
        <v>-1.4999999999998348E-3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11"/>
      <c r="H9" s="10"/>
      <c r="I9" s="10">
        <f t="shared" si="5"/>
        <v>11230</v>
      </c>
      <c r="J9" s="10">
        <f t="shared" si="3"/>
        <v>226420743472.45035</v>
      </c>
      <c r="K9" s="11">
        <f t="shared" si="4"/>
        <v>-1.8000000000000238E-3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11"/>
      <c r="H10" s="10"/>
      <c r="I10" s="10">
        <f t="shared" si="5"/>
        <v>11230</v>
      </c>
      <c r="J10" s="10">
        <f t="shared" si="3"/>
        <v>226829035736.77655</v>
      </c>
      <c r="K10" s="11">
        <f t="shared" si="4"/>
        <v>-1.4999999999999458E-3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11"/>
      <c r="H11" s="10"/>
      <c r="I11" s="10">
        <f t="shared" si="5"/>
        <v>11230</v>
      </c>
      <c r="J11" s="10">
        <f t="shared" si="3"/>
        <v>227169790422.41016</v>
      </c>
      <c r="K11" s="11">
        <f t="shared" si="4"/>
        <v>-1.5999999999999348E-3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11"/>
      <c r="H12" s="10"/>
      <c r="I12" s="10">
        <f t="shared" si="5"/>
        <v>11230</v>
      </c>
      <c r="J12" s="10">
        <f t="shared" si="3"/>
        <v>227533844573.72812</v>
      </c>
      <c r="K12" s="11">
        <f t="shared" si="4"/>
        <v>-2.0000000000000018E-3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11"/>
      <c r="H13" s="10"/>
      <c r="I13" s="10">
        <f t="shared" si="5"/>
        <v>11230</v>
      </c>
      <c r="J13" s="10">
        <f t="shared" si="3"/>
        <v>227989824222.17245</v>
      </c>
      <c r="K13" s="11">
        <f t="shared" si="4"/>
        <v>-2.1999999999999797E-3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11"/>
      <c r="H14" s="10"/>
      <c r="I14" s="10">
        <f t="shared" si="5"/>
        <v>11230</v>
      </c>
      <c r="J14" s="10">
        <f t="shared" si="3"/>
        <v>228492507739.1987</v>
      </c>
      <c r="K14" s="11">
        <f t="shared" si="4"/>
        <v>-2.9000000000001247E-3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11"/>
      <c r="H15" s="10"/>
      <c r="I15" s="10">
        <f t="shared" si="5"/>
        <v>11230</v>
      </c>
      <c r="J15" s="10">
        <f t="shared" si="3"/>
        <v>229157063222.5441</v>
      </c>
      <c r="K15" s="11">
        <f t="shared" si="4"/>
        <v>-2.8000000000000247E-3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11"/>
      <c r="H16" s="10"/>
      <c r="I16" s="10">
        <f t="shared" si="5"/>
        <v>11230</v>
      </c>
      <c r="J16" s="10">
        <f t="shared" si="3"/>
        <v>229800504635.52356</v>
      </c>
      <c r="K16" s="11">
        <f t="shared" si="4"/>
        <v>-2.2999999999999687E-3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11"/>
      <c r="H17" s="10"/>
      <c r="I17" s="10">
        <f t="shared" si="5"/>
        <v>11230</v>
      </c>
      <c r="J17" s="10">
        <f t="shared" si="3"/>
        <v>230330264243.28311</v>
      </c>
      <c r="K17" s="11">
        <f t="shared" si="4"/>
        <v>-2.6000000000000467E-3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11"/>
      <c r="H18" s="10"/>
      <c r="I18" s="10">
        <f t="shared" si="5"/>
        <v>11230</v>
      </c>
      <c r="J18" s="10">
        <f t="shared" si="3"/>
        <v>230930684021.73965</v>
      </c>
      <c r="K18" s="11">
        <f t="shared" si="4"/>
        <v>-2.8000000000000247E-3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11"/>
      <c r="H19" s="10"/>
      <c r="I19" s="10">
        <f t="shared" si="5"/>
        <v>11230</v>
      </c>
      <c r="J19" s="10">
        <f t="shared" si="3"/>
        <v>231579105517.18777</v>
      </c>
      <c r="K19" s="11">
        <f t="shared" si="4"/>
        <v>-2.2999999999998577E-3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11"/>
      <c r="H20" s="10"/>
      <c r="I20" s="10">
        <f t="shared" si="5"/>
        <v>11230</v>
      </c>
      <c r="J20" s="10">
        <f t="shared" si="3"/>
        <v>232112965337.4639</v>
      </c>
      <c r="K20" s="11">
        <f t="shared" si="4"/>
        <v>-2.0000000000000018E-3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11"/>
      <c r="H21" s="10"/>
      <c r="I21" s="10">
        <f t="shared" si="5"/>
        <v>11230</v>
      </c>
      <c r="J21" s="10">
        <f t="shared" si="3"/>
        <v>232578121580.62515</v>
      </c>
      <c r="K21" s="11">
        <f t="shared" si="4"/>
        <v>-1.7000000000000348E-3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11"/>
      <c r="H22" s="10"/>
      <c r="I22" s="10">
        <f t="shared" si="5"/>
        <v>11230</v>
      </c>
      <c r="J22" s="10">
        <f t="shared" si="3"/>
        <v>232974177682.68573</v>
      </c>
      <c r="K22" s="11">
        <f t="shared" si="4"/>
        <v>-1.3999999999998458E-3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11"/>
      <c r="H23" s="10"/>
      <c r="I23" s="10">
        <f t="shared" si="5"/>
        <v>11230</v>
      </c>
      <c r="J23" s="10">
        <f t="shared" si="3"/>
        <v>233300798801.00711</v>
      </c>
      <c r="K23" s="11">
        <f t="shared" si="4"/>
        <v>-1.4000000000000679E-3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11"/>
      <c r="H24" s="10"/>
      <c r="I24" s="10">
        <f t="shared" si="5"/>
        <v>11230</v>
      </c>
      <c r="J24" s="10">
        <f t="shared" si="3"/>
        <v>233627877829.96909</v>
      </c>
      <c r="K24" s="11">
        <f t="shared" si="4"/>
        <v>-1.0999999999999899E-3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11"/>
      <c r="H25" s="10"/>
      <c r="I25" s="10">
        <f t="shared" si="5"/>
        <v>11230</v>
      </c>
      <c r="J25" s="10">
        <f t="shared" si="3"/>
        <v>233885151496.61536</v>
      </c>
      <c r="K25" s="11">
        <f t="shared" si="4"/>
        <v>-3.9999999999995595E-4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11"/>
      <c r="H26" s="10"/>
      <c r="I26" s="10">
        <f t="shared" si="5"/>
        <v>11230</v>
      </c>
      <c r="J26" s="10">
        <f t="shared" si="3"/>
        <v>233978742993.81287</v>
      </c>
      <c r="K26" s="11">
        <f t="shared" si="4"/>
        <v>-9.9999999999988987E-5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11"/>
      <c r="H27" s="10"/>
      <c r="I27" s="10">
        <f t="shared" si="5"/>
        <v>11230</v>
      </c>
      <c r="J27" s="10">
        <f t="shared" si="3"/>
        <v>234002143208.13367</v>
      </c>
      <c r="K27" s="11">
        <f t="shared" si="4"/>
        <v>-1.0299999999999976E-2</v>
      </c>
      <c r="L27" t="inlineStr">
        <is>
          <t xml:space="preserve">Collapse of the Huan - secession &amp; transition shock.</t>
        </is>
      </c>
      <c r="M27" t="inlineStr">
        <is>
          <t xml:space="preserve">Collapse of the Huan (1740): dissolution of the Estijan Huan, hyperinflating its currency and breaking the empire apart.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11"/>
      <c r="H28" s="10"/>
      <c r="I28" s="10">
        <f t="shared" si="5"/>
        <v>11230</v>
      </c>
      <c r="J28" s="10">
        <f t="shared" si="3"/>
        <v>236437448932.13464</v>
      </c>
      <c r="K28" s="11">
        <f t="shared" si="4"/>
        <v>-1.0900000000000021E-2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11"/>
      <c r="H29" s="10"/>
      <c r="I29" s="10">
        <f t="shared" si="5"/>
        <v>11230</v>
      </c>
      <c r="J29" s="10">
        <f t="shared" si="3"/>
        <v>239043017826.44287</v>
      </c>
      <c r="K29" s="11">
        <f t="shared" si="4"/>
        <v>-1.4999999999998348E-3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11"/>
      <c r="H30" s="10"/>
      <c r="I30" s="10">
        <f t="shared" si="5"/>
        <v>11230</v>
      </c>
      <c r="J30" s="10">
        <f t="shared" si="3"/>
        <v>239402121007.95477</v>
      </c>
      <c r="K30" s="11">
        <f t="shared" si="4"/>
        <v>-1.7000000000000348E-3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11"/>
      <c r="H31" s="10"/>
      <c r="I31" s="10">
        <f t="shared" si="5"/>
        <v>11230</v>
      </c>
      <c r="J31" s="10">
        <f t="shared" si="3"/>
        <v>239809797663.98355</v>
      </c>
      <c r="K31" s="11">
        <f t="shared" si="4"/>
        <v>-1.7000000000000348E-3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11"/>
      <c r="H32" s="10"/>
      <c r="I32" s="10">
        <f t="shared" si="5"/>
        <v>11230</v>
      </c>
      <c r="J32" s="10">
        <f t="shared" si="3"/>
        <v>240218168550.51944</v>
      </c>
      <c r="K32" s="11">
        <f t="shared" si="4"/>
        <v>-1.8000000000000238E-3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11"/>
      <c r="H33" s="10"/>
      <c r="I33" s="10">
        <f t="shared" si="5"/>
        <v>11230</v>
      </c>
      <c r="J33" s="10">
        <f t="shared" si="3"/>
        <v>240651340964.2551</v>
      </c>
      <c r="K33" s="11">
        <f t="shared" si="4"/>
        <v>-2.0000000000000018E-3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11"/>
      <c r="H34" s="10"/>
      <c r="I34" s="10">
        <f t="shared" si="5"/>
        <v>11230</v>
      </c>
      <c r="J34" s="10">
        <f t="shared" ref="J34:J65" si="6">IF(I34="","",I34*C34)</f>
        <v>241133608180.61633</v>
      </c>
      <c r="K34" s="11">
        <f t="shared" ref="K34:K65" si="7">IFERROR(J34/J35-1,"")</f>
        <v>-1.5000000000000568E-3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11"/>
      <c r="H35" s="10"/>
      <c r="I35" s="10">
        <f t="shared" ref="I35:I66" si="8">IF(H35&lt;&gt;"",H35,I34/(1+IF(G34="",0,G34)))</f>
        <v>11230</v>
      </c>
      <c r="J35" s="10">
        <f t="shared" si="6"/>
        <v>241495851958.55417</v>
      </c>
      <c r="K35" s="11">
        <f t="shared" si="7"/>
        <v>-5.9999999999993392E-4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11"/>
      <c r="H36" s="10"/>
      <c r="I36" s="10">
        <f t="shared" si="8"/>
        <v>11230</v>
      </c>
      <c r="J36" s="10">
        <f t="shared" si="6"/>
        <v>241640836460.43042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11"/>
      <c r="H37" s="10"/>
      <c r="I37" s="10">
        <f t="shared" si="8"/>
        <v>11230</v>
      </c>
      <c r="J37" s="10">
        <f t="shared" si="6"/>
        <v>241616674792.95114</v>
      </c>
      <c r="K37" s="11">
        <f t="shared" si="7"/>
        <v>6.9999999999970086E-4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11"/>
      <c r="H38" s="10"/>
      <c r="I38" s="10">
        <f t="shared" si="8"/>
        <v>11230</v>
      </c>
      <c r="J38" s="10">
        <f t="shared" si="6"/>
        <v>241447661429.95023</v>
      </c>
      <c r="K38" s="11">
        <f t="shared" si="7"/>
        <v>1.8000000000000238E-3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11"/>
      <c r="H39" s="10"/>
      <c r="I39" s="10">
        <f t="shared" si="8"/>
        <v>11230</v>
      </c>
      <c r="J39" s="10">
        <f t="shared" si="6"/>
        <v>241013836524.20663</v>
      </c>
      <c r="K39" s="11">
        <f t="shared" si="7"/>
        <v>3.4000000000000696E-3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11"/>
      <c r="H40" s="10"/>
      <c r="I40" s="10">
        <f t="shared" si="8"/>
        <v>11230</v>
      </c>
      <c r="J40" s="10">
        <f t="shared" si="6"/>
        <v>240197166159.26514</v>
      </c>
      <c r="K40" s="11">
        <f t="shared" si="7"/>
        <v>4.5999999999999375E-3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11"/>
      <c r="H41" s="10"/>
      <c r="I41" s="10">
        <f t="shared" si="8"/>
        <v>11230</v>
      </c>
      <c r="J41" s="10">
        <f t="shared" si="6"/>
        <v>239097318494.19186</v>
      </c>
      <c r="K41" s="11">
        <f t="shared" si="7"/>
        <v>5.5000000000000604E-3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11"/>
      <c r="H42" s="10"/>
      <c r="I42" s="10">
        <f t="shared" si="8"/>
        <v>11230</v>
      </c>
      <c r="J42" s="10">
        <f t="shared" si="6"/>
        <v>237789476374.13412</v>
      </c>
      <c r="K42" s="11">
        <f t="shared" si="7"/>
        <v>5.9000000000002384E-3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11"/>
      <c r="H43" s="10"/>
      <c r="I43" s="10">
        <f t="shared" si="8"/>
        <v>11230</v>
      </c>
      <c r="J43" s="10">
        <f t="shared" si="6"/>
        <v>236394747364.68246</v>
      </c>
      <c r="K43" s="11">
        <f t="shared" si="7"/>
        <v>4.4999999999999485E-3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11"/>
      <c r="H44" s="10"/>
      <c r="I44" s="10">
        <f t="shared" si="8"/>
        <v>11230</v>
      </c>
      <c r="J44" s="10">
        <f t="shared" si="6"/>
        <v>235335736550.20654</v>
      </c>
      <c r="K44" s="11">
        <f t="shared" si="7"/>
        <v>3.2000000000003137E-3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11"/>
      <c r="H45" s="10"/>
      <c r="I45" s="10">
        <f t="shared" si="8"/>
        <v>11230</v>
      </c>
      <c r="J45" s="10">
        <f t="shared" si="6"/>
        <v>234585064344.30472</v>
      </c>
      <c r="K45" s="11">
        <f t="shared" si="7"/>
        <v>2.9999999999998916E-3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11"/>
      <c r="H46" s="10"/>
      <c r="I46" s="10">
        <f t="shared" si="8"/>
        <v>11230</v>
      </c>
      <c r="J46" s="10">
        <f t="shared" si="6"/>
        <v>233883414101.99875</v>
      </c>
      <c r="K46" s="11">
        <f t="shared" si="7"/>
        <v>2.8999999999999027E-3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11"/>
      <c r="H47" s="10"/>
      <c r="I47" s="10">
        <f t="shared" si="8"/>
        <v>11230</v>
      </c>
      <c r="J47" s="10">
        <f t="shared" si="6"/>
        <v>233207113472.92728</v>
      </c>
      <c r="K47" s="11">
        <f t="shared" si="7"/>
        <v>3.8000000000000256E-3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11"/>
      <c r="H48" s="10"/>
      <c r="I48" s="10">
        <f t="shared" si="8"/>
        <v>11230</v>
      </c>
      <c r="J48" s="10">
        <f t="shared" si="6"/>
        <v>232324281204.35074</v>
      </c>
      <c r="K48" s="11">
        <f t="shared" si="7"/>
        <v>4.1999999999999815E-3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11"/>
      <c r="H49" s="10"/>
      <c r="I49" s="10">
        <f t="shared" si="8"/>
        <v>11230</v>
      </c>
      <c r="J49" s="10">
        <f t="shared" si="6"/>
        <v>231352600283.16147</v>
      </c>
      <c r="K49" s="11">
        <f t="shared" si="7"/>
        <v>3.8000000000002476E-3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11"/>
      <c r="H50" s="10"/>
      <c r="I50" s="10">
        <f t="shared" si="8"/>
        <v>11230</v>
      </c>
      <c r="J50" s="10">
        <f t="shared" si="6"/>
        <v>230476788486.91116</v>
      </c>
      <c r="K50" s="11">
        <f t="shared" si="7"/>
        <v>3.7000000000000366E-3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11"/>
      <c r="H51" s="10"/>
      <c r="I51" s="10">
        <f t="shared" si="8"/>
        <v>11230</v>
      </c>
      <c r="J51" s="10">
        <f t="shared" si="6"/>
        <v>229627167965.43903</v>
      </c>
      <c r="K51" s="11">
        <f t="shared" si="7"/>
        <v>2.9999999999998916E-3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11"/>
      <c r="H52" s="10"/>
      <c r="I52" s="10">
        <f t="shared" si="8"/>
        <v>11230</v>
      </c>
      <c r="J52" s="10">
        <f t="shared" si="6"/>
        <v>228940346924.66507</v>
      </c>
      <c r="K52" s="11">
        <f t="shared" si="7"/>
        <v>2.7999999999999137E-3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11"/>
      <c r="H53" s="10"/>
      <c r="I53" s="10">
        <f t="shared" si="8"/>
        <v>11230</v>
      </c>
      <c r="J53" s="10">
        <f t="shared" si="6"/>
        <v>228301103833.93008</v>
      </c>
      <c r="K53" s="11">
        <f t="shared" si="7"/>
        <v>3.2000000000000917E-3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11"/>
      <c r="H54" s="10"/>
      <c r="I54" s="10">
        <f t="shared" si="8"/>
        <v>11230</v>
      </c>
      <c r="J54" s="10">
        <f t="shared" si="6"/>
        <v>227572870647.8569</v>
      </c>
      <c r="K54" s="11">
        <f t="shared" si="7"/>
        <v>2.6999999999999247E-3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11"/>
      <c r="H55" s="10"/>
      <c r="I55" s="10">
        <f t="shared" si="8"/>
        <v>11230</v>
      </c>
      <c r="J55" s="10">
        <f t="shared" si="6"/>
        <v>226960078436.07953</v>
      </c>
      <c r="K55" s="11">
        <f t="shared" si="7"/>
        <v>3.3000000000000806E-3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11"/>
      <c r="H56" s="10"/>
      <c r="I56" s="10">
        <f t="shared" si="8"/>
        <v>11230</v>
      </c>
      <c r="J56" s="10">
        <f t="shared" si="6"/>
        <v>226213573643.0574</v>
      </c>
      <c r="K56" s="11">
        <f t="shared" si="7"/>
        <v>4.3999999999999595E-3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11"/>
      <c r="H57" s="10"/>
      <c r="I57" s="10">
        <f t="shared" si="8"/>
        <v>11230</v>
      </c>
      <c r="J57" s="10">
        <f t="shared" si="6"/>
        <v>225222594228.45224</v>
      </c>
      <c r="K57" s="11">
        <f t="shared" si="7"/>
        <v>4.4999999999999485E-3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11"/>
      <c r="H58" s="10"/>
      <c r="I58" s="10">
        <f t="shared" si="8"/>
        <v>11230</v>
      </c>
      <c r="J58" s="10">
        <f t="shared" si="6"/>
        <v>224213632880.49005</v>
      </c>
      <c r="K58" s="11">
        <f t="shared" si="7"/>
        <v>4.9999999999998934E-3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11"/>
      <c r="H59" s="10"/>
      <c r="I59" s="10">
        <f t="shared" si="8"/>
        <v>11230</v>
      </c>
      <c r="J59" s="10">
        <f t="shared" si="6"/>
        <v>223098142169.64185</v>
      </c>
      <c r="K59" s="11">
        <f t="shared" si="7"/>
        <v>5.5000000000000604E-3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11"/>
      <c r="H60" s="10"/>
      <c r="I60" s="10">
        <f t="shared" si="8"/>
        <v>11230</v>
      </c>
      <c r="J60" s="10">
        <f t="shared" si="6"/>
        <v>221877814191.5881</v>
      </c>
      <c r="K60" s="11">
        <f t="shared" si="7"/>
        <v>2.9999999999998916E-3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11"/>
      <c r="H61" s="10"/>
      <c r="I61" s="10">
        <f t="shared" si="8"/>
        <v>11230</v>
      </c>
      <c r="J61" s="10">
        <f t="shared" si="6"/>
        <v>221214171676.55844</v>
      </c>
      <c r="K61" s="11">
        <f t="shared" si="7"/>
        <v>-1.5000000000000013E-2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11"/>
      <c r="H62" s="10"/>
      <c r="I62" s="10">
        <f t="shared" si="8"/>
        <v>11230</v>
      </c>
      <c r="J62" s="10">
        <f t="shared" si="6"/>
        <v>224582915407.67355</v>
      </c>
      <c r="K62" s="11">
        <f t="shared" si="7"/>
        <v>1.2999999999999901E-2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11"/>
      <c r="H63" s="10"/>
      <c r="I63" s="10">
        <f t="shared" si="8"/>
        <v>11230</v>
      </c>
      <c r="J63" s="10">
        <f t="shared" si="6"/>
        <v>221700804943.40924</v>
      </c>
      <c r="K63" s="11">
        <f t="shared" si="7"/>
        <v>1.4000000000000012E-2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11"/>
      <c r="H64" s="10"/>
      <c r="I64" s="10">
        <f t="shared" si="8"/>
        <v>11230</v>
      </c>
      <c r="J64" s="10">
        <f t="shared" si="6"/>
        <v>218639847084.23001</v>
      </c>
      <c r="K64" s="11">
        <f t="shared" si="7"/>
        <v>1.2000000000000011E-2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11"/>
      <c r="H65" s="10"/>
      <c r="I65" s="10">
        <f t="shared" si="8"/>
        <v>11230</v>
      </c>
      <c r="J65" s="10">
        <f t="shared" si="6"/>
        <v>216047279727.5</v>
      </c>
      <c r="K65" s="11">
        <f t="shared" si="7"/>
        <v>1.0499999999999954E-2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11"/>
      <c r="H66" s="10"/>
      <c r="I66" s="10">
        <f t="shared" si="8"/>
        <v>11230</v>
      </c>
      <c r="J66" s="10">
        <f t="shared" ref="J66:J97" si="9">IF(I66="","",I66*C66)</f>
        <v>213802355000</v>
      </c>
      <c r="K66" s="11">
        <f t="shared" ref="K66:K97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11230</v>
      </c>
      <c r="J67" s="10">
        <f t="shared" si="9"/>
        <v>211685500000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5">
        <v>29182698</v>
      </c>
      <c r="G2" s="11"/>
      <c r="H2" s="10"/>
      <c r="I2" s="10">
        <f>IF(H2&lt;&gt;"",H2,14048)</f>
        <v>14048</v>
      </c>
      <c r="J2" s="10">
        <f t="shared" ref="J2:J33" si="3">IF(I2="","",I2*C2)</f>
        <v>409939852782.94043</v>
      </c>
      <c r="K2" s="11">
        <f t="shared" ref="K2:K33" si="4">IFERROR(J2/J3-1,"")</f>
        <v>2.0599999999999952E-2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11"/>
      <c r="H3" s="10"/>
      <c r="I3" s="10">
        <f t="shared" ref="I3:I34" si="5">IF(H3&lt;&gt;"",H3,I2/(1+IF(G2="",0,G2)))</f>
        <v>14048</v>
      </c>
      <c r="J3" s="10">
        <f t="shared" si="3"/>
        <v>401665542605.27185</v>
      </c>
      <c r="K3" s="11">
        <f t="shared" si="4"/>
        <v>2.0399999999999974E-2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11"/>
      <c r="H4" s="10"/>
      <c r="I4" s="10">
        <f t="shared" si="5"/>
        <v>14048</v>
      </c>
      <c r="J4" s="10">
        <f t="shared" si="3"/>
        <v>393635380836.21313</v>
      </c>
      <c r="K4" s="11">
        <f t="shared" si="4"/>
        <v>2.0200000000000218E-2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11"/>
      <c r="H5" s="10"/>
      <c r="I5" s="10">
        <f t="shared" si="5"/>
        <v>14048</v>
      </c>
      <c r="J5" s="10">
        <f t="shared" si="3"/>
        <v>385841384862.00067</v>
      </c>
      <c r="K5" s="11">
        <f t="shared" si="4"/>
        <v>1.9900000000000029E-2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11"/>
      <c r="H6" s="10"/>
      <c r="I6" s="10">
        <f t="shared" si="5"/>
        <v>14048</v>
      </c>
      <c r="J6" s="10">
        <f t="shared" si="3"/>
        <v>378312957017.35529</v>
      </c>
      <c r="K6" s="11">
        <f t="shared" si="4"/>
        <v>1.9600000000000062E-2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11"/>
      <c r="H7" s="10"/>
      <c r="I7" s="10">
        <f t="shared" si="5"/>
        <v>14048</v>
      </c>
      <c r="J7" s="10">
        <f t="shared" si="3"/>
        <v>371040562002.11383</v>
      </c>
      <c r="K7" s="11">
        <f t="shared" si="4"/>
        <v>1.9500000000000073E-2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11"/>
      <c r="H8" s="10"/>
      <c r="I8" s="10">
        <f t="shared" si="5"/>
        <v>14048</v>
      </c>
      <c r="J8" s="10">
        <f t="shared" si="3"/>
        <v>363943660620.02338</v>
      </c>
      <c r="K8" s="11">
        <f t="shared" si="4"/>
        <v>1.9200000000000106E-2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11"/>
      <c r="H9" s="10"/>
      <c r="I9" s="10">
        <f t="shared" si="5"/>
        <v>14048</v>
      </c>
      <c r="J9" s="10">
        <f t="shared" si="3"/>
        <v>357087579101.27875</v>
      </c>
      <c r="K9" s="11">
        <f t="shared" si="4"/>
        <v>1.8199999999999994E-2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11"/>
      <c r="H10" s="10"/>
      <c r="I10" s="10">
        <f t="shared" si="5"/>
        <v>14048</v>
      </c>
      <c r="J10" s="10">
        <f t="shared" si="3"/>
        <v>350704752603.888</v>
      </c>
      <c r="K10" s="11">
        <f t="shared" si="4"/>
        <v>1.6699999999999937E-2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11"/>
      <c r="H11" s="10"/>
      <c r="I11" s="10">
        <f t="shared" si="5"/>
        <v>14048</v>
      </c>
      <c r="J11" s="10">
        <f t="shared" si="3"/>
        <v>344944184719.07941</v>
      </c>
      <c r="K11" s="11">
        <f t="shared" si="4"/>
        <v>1.540000000000008E-2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11"/>
      <c r="H12" s="10"/>
      <c r="I12" s="10">
        <f t="shared" si="5"/>
        <v>14048</v>
      </c>
      <c r="J12" s="10">
        <f t="shared" si="3"/>
        <v>339712610517.11578</v>
      </c>
      <c r="K12" s="11">
        <f t="shared" si="4"/>
        <v>1.4599999999999946E-2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11"/>
      <c r="H13" s="10"/>
      <c r="I13" s="10">
        <f t="shared" si="5"/>
        <v>14048</v>
      </c>
      <c r="J13" s="10">
        <f t="shared" si="3"/>
        <v>334824177525.24719</v>
      </c>
      <c r="K13" s="11">
        <f t="shared" si="4"/>
        <v>1.4000000000000012E-2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11"/>
      <c r="H14" s="10"/>
      <c r="I14" s="10">
        <f t="shared" si="5"/>
        <v>14048</v>
      </c>
      <c r="J14" s="10">
        <f t="shared" si="3"/>
        <v>330201358506.16095</v>
      </c>
      <c r="K14" s="11">
        <f t="shared" si="4"/>
        <v>1.3300000000000312E-2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11"/>
      <c r="H15" s="10"/>
      <c r="I15" s="10">
        <f t="shared" si="5"/>
        <v>14048</v>
      </c>
      <c r="J15" s="10">
        <f t="shared" si="3"/>
        <v>325867323108.81366</v>
      </c>
      <c r="K15" s="11">
        <f t="shared" si="4"/>
        <v>1.330000000000009E-2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11"/>
      <c r="H16" s="10"/>
      <c r="I16" s="10">
        <f t="shared" si="5"/>
        <v>14048</v>
      </c>
      <c r="J16" s="10">
        <f t="shared" si="3"/>
        <v>321590173797.30945</v>
      </c>
      <c r="K16" s="11">
        <f t="shared" si="4"/>
        <v>1.3700000000000045E-2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11"/>
      <c r="H17" s="10"/>
      <c r="I17" s="10">
        <f t="shared" si="5"/>
        <v>14048</v>
      </c>
      <c r="J17" s="10">
        <f t="shared" si="3"/>
        <v>317243931929.87024</v>
      </c>
      <c r="K17" s="11">
        <f t="shared" si="4"/>
        <v>1.4000000000000012E-2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11"/>
      <c r="H18" s="10"/>
      <c r="I18" s="10">
        <f t="shared" si="5"/>
        <v>14048</v>
      </c>
      <c r="J18" s="10">
        <f t="shared" si="3"/>
        <v>312863838195.13831</v>
      </c>
      <c r="K18" s="11">
        <f t="shared" si="4"/>
        <v>1.3900000000000245E-2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11"/>
      <c r="H19" s="10"/>
      <c r="I19" s="10">
        <f t="shared" si="5"/>
        <v>14048</v>
      </c>
      <c r="J19" s="10">
        <f t="shared" si="3"/>
        <v>308574650552.45905</v>
      </c>
      <c r="K19" s="11">
        <f t="shared" si="4"/>
        <v>1.5900000000000025E-2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11"/>
      <c r="H20" s="10"/>
      <c r="I20" s="10">
        <f t="shared" si="5"/>
        <v>14048</v>
      </c>
      <c r="J20" s="10">
        <f t="shared" si="3"/>
        <v>303745103408.26758</v>
      </c>
      <c r="K20" s="11">
        <f t="shared" si="4"/>
        <v>1.859999999999995E-2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11"/>
      <c r="H21" s="10"/>
      <c r="I21" s="10">
        <f t="shared" si="5"/>
        <v>14048</v>
      </c>
      <c r="J21" s="10">
        <f t="shared" si="3"/>
        <v>298198609275.73883</v>
      </c>
      <c r="K21" s="11">
        <f t="shared" si="4"/>
        <v>1.9600000000000062E-2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11"/>
      <c r="H22" s="10"/>
      <c r="I22" s="10">
        <f t="shared" si="5"/>
        <v>14048</v>
      </c>
      <c r="J22" s="10">
        <f t="shared" si="3"/>
        <v>292466270376.36212</v>
      </c>
      <c r="K22" s="11">
        <f t="shared" si="4"/>
        <v>2.0699999999999941E-2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11"/>
      <c r="H23" s="10"/>
      <c r="I23" s="10">
        <f t="shared" si="5"/>
        <v>14048</v>
      </c>
      <c r="J23" s="10">
        <f t="shared" si="3"/>
        <v>286534995959.99036</v>
      </c>
      <c r="K23" s="11">
        <f t="shared" si="4"/>
        <v>2.2100000000000009E-2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11"/>
      <c r="H24" s="10"/>
      <c r="I24" s="10">
        <f t="shared" si="5"/>
        <v>14048</v>
      </c>
      <c r="J24" s="10">
        <f t="shared" si="3"/>
        <v>280339493161.12939</v>
      </c>
      <c r="K24" s="11">
        <f t="shared" si="4"/>
        <v>2.410000000000001E-2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11"/>
      <c r="H25" s="10"/>
      <c r="I25" s="10">
        <f t="shared" si="5"/>
        <v>14048</v>
      </c>
      <c r="J25" s="10">
        <f t="shared" si="3"/>
        <v>273742303643.32526</v>
      </c>
      <c r="K25" s="11">
        <f t="shared" si="4"/>
        <v>2.4399999999999977E-2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11"/>
      <c r="H26" s="10"/>
      <c r="I26" s="10">
        <f t="shared" si="5"/>
        <v>14048</v>
      </c>
      <c r="J26" s="10">
        <f t="shared" si="3"/>
        <v>267222084774.81964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11"/>
      <c r="H27" s="10"/>
      <c r="I27" s="10">
        <f t="shared" si="5"/>
        <v>14048</v>
      </c>
      <c r="J27" s="10">
        <f t="shared" si="3"/>
        <v>261010045687.4581</v>
      </c>
      <c r="K27" s="11">
        <f t="shared" si="4"/>
        <v>2.4799999999999933E-2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11"/>
      <c r="H28" s="10"/>
      <c r="I28" s="10">
        <f t="shared" si="5"/>
        <v>14048</v>
      </c>
      <c r="J28" s="10">
        <f t="shared" si="3"/>
        <v>254693643332.80457</v>
      </c>
      <c r="K28" s="11">
        <f t="shared" si="4"/>
        <v>2.6399999999999979E-2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11"/>
      <c r="H29" s="10"/>
      <c r="I29" s="10">
        <f t="shared" si="5"/>
        <v>14048</v>
      </c>
      <c r="J29" s="10">
        <f t="shared" si="3"/>
        <v>248142676668.74957</v>
      </c>
      <c r="K29" s="11">
        <f t="shared" si="4"/>
        <v>2.8000000000000025E-2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11"/>
      <c r="H30" s="10"/>
      <c r="I30" s="10">
        <f t="shared" si="5"/>
        <v>14048</v>
      </c>
      <c r="J30" s="10">
        <f t="shared" si="3"/>
        <v>241383926720.57349</v>
      </c>
      <c r="K30" s="11">
        <f t="shared" si="4"/>
        <v>3.0200000000000005E-2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11"/>
      <c r="H31" s="10"/>
      <c r="I31" s="10">
        <f t="shared" si="5"/>
        <v>14048</v>
      </c>
      <c r="J31" s="10">
        <f t="shared" si="3"/>
        <v>234307830247.11075</v>
      </c>
      <c r="K31" s="11">
        <f t="shared" si="4"/>
        <v>3.2899999999999929E-2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11"/>
      <c r="H32" s="10"/>
      <c r="I32" s="10">
        <f t="shared" si="5"/>
        <v>14048</v>
      </c>
      <c r="J32" s="10">
        <f t="shared" si="3"/>
        <v>226844641540.4306</v>
      </c>
      <c r="K32" s="11">
        <f t="shared" si="4"/>
        <v>3.400000000000003E-2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11"/>
      <c r="H33" s="10"/>
      <c r="I33" s="10">
        <f t="shared" si="5"/>
        <v>14048</v>
      </c>
      <c r="J33" s="10">
        <f t="shared" si="3"/>
        <v>219385533404.67175</v>
      </c>
      <c r="K33" s="11">
        <f t="shared" si="4"/>
        <v>3.4100000000000019E-2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11"/>
      <c r="H34" s="10"/>
      <c r="I34" s="10">
        <f t="shared" si="5"/>
        <v>14048</v>
      </c>
      <c r="J34" s="10">
        <f t="shared" ref="J34:J65" si="6">IF(I34="","",I34*C34)</f>
        <v>212151178227.12671</v>
      </c>
      <c r="K34" s="11">
        <f t="shared" ref="K34:K65" si="7">IFERROR(J34/J35-1,"")</f>
        <v>3.3900000000000041E-2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11"/>
      <c r="H35" s="10"/>
      <c r="I35" s="10">
        <f t="shared" ref="I35:I66" si="8">IF(H35&lt;&gt;"",H35,I34/(1+IF(G34="",0,G34)))</f>
        <v>14048</v>
      </c>
      <c r="J35" s="10">
        <f t="shared" si="6"/>
        <v>205195065506.45776</v>
      </c>
      <c r="K35" s="11">
        <f t="shared" si="7"/>
        <v>3.3300000000000107E-2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11"/>
      <c r="H36" s="10"/>
      <c r="I36" s="10">
        <f t="shared" si="8"/>
        <v>14048</v>
      </c>
      <c r="J36" s="10">
        <f t="shared" si="6"/>
        <v>198582275724.8212</v>
      </c>
      <c r="K36" s="11">
        <f t="shared" si="7"/>
        <v>3.2399999999999984E-2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11"/>
      <c r="H37" s="10"/>
      <c r="I37" s="10">
        <f t="shared" si="8"/>
        <v>14048</v>
      </c>
      <c r="J37" s="10">
        <f t="shared" si="6"/>
        <v>192350131465.34406</v>
      </c>
      <c r="K37" s="11">
        <f t="shared" si="7"/>
        <v>3.1099999999999905E-2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11"/>
      <c r="H38" s="10"/>
      <c r="I38" s="10">
        <f t="shared" si="8"/>
        <v>14048</v>
      </c>
      <c r="J38" s="10">
        <f t="shared" si="6"/>
        <v>186548473926.23807</v>
      </c>
      <c r="K38" s="11">
        <f t="shared" si="7"/>
        <v>2.9800000000000049E-2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11"/>
      <c r="H39" s="10"/>
      <c r="I39" s="10">
        <f t="shared" si="8"/>
        <v>14048</v>
      </c>
      <c r="J39" s="10">
        <f t="shared" si="6"/>
        <v>181150198025.09036</v>
      </c>
      <c r="K39" s="11">
        <f t="shared" si="7"/>
        <v>2.8399999999999981E-2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11"/>
      <c r="H40" s="10"/>
      <c r="I40" s="10">
        <f t="shared" si="8"/>
        <v>14048</v>
      </c>
      <c r="J40" s="10">
        <f t="shared" si="6"/>
        <v>176147606014.2847</v>
      </c>
      <c r="K40" s="11">
        <f t="shared" si="7"/>
        <v>3.6299999999999777E-2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11"/>
      <c r="H41" s="10"/>
      <c r="I41" s="10">
        <f t="shared" si="8"/>
        <v>14048</v>
      </c>
      <c r="J41" s="10">
        <f t="shared" si="6"/>
        <v>169977425469.7334</v>
      </c>
      <c r="K41" s="11">
        <f t="shared" si="7"/>
        <v>4.5500000000000096E-2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11"/>
      <c r="H42" s="10"/>
      <c r="I42" s="10">
        <f t="shared" si="8"/>
        <v>14048</v>
      </c>
      <c r="J42" s="10">
        <f t="shared" si="6"/>
        <v>162580033926.09601</v>
      </c>
      <c r="K42" s="11">
        <f t="shared" si="7"/>
        <v>3.5400000000000098E-2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11"/>
      <c r="H43" s="10"/>
      <c r="I43" s="10">
        <f t="shared" si="8"/>
        <v>14048</v>
      </c>
      <c r="J43" s="10">
        <f t="shared" si="6"/>
        <v>157021473755.16321</v>
      </c>
      <c r="K43" s="11">
        <f t="shared" si="7"/>
        <v>2.4199999999999999E-2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11"/>
      <c r="H44" s="10"/>
      <c r="I44" s="10">
        <f t="shared" si="8"/>
        <v>14048</v>
      </c>
      <c r="J44" s="10">
        <f t="shared" si="6"/>
        <v>153311339343.06113</v>
      </c>
      <c r="K44" s="11">
        <f t="shared" si="7"/>
        <v>2.3600000000000287E-2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11"/>
      <c r="H45" s="10"/>
      <c r="I45" s="10">
        <f t="shared" si="8"/>
        <v>14048</v>
      </c>
      <c r="J45" s="10">
        <f t="shared" si="6"/>
        <v>149776611316.00342</v>
      </c>
      <c r="K45" s="11">
        <f t="shared" si="7"/>
        <v>2.2999999999999909E-2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11"/>
      <c r="H46" s="10"/>
      <c r="I46" s="10">
        <f t="shared" si="8"/>
        <v>14048</v>
      </c>
      <c r="J46" s="10">
        <f t="shared" si="6"/>
        <v>146409199722.38849</v>
      </c>
      <c r="K46" s="11">
        <f t="shared" si="7"/>
        <v>2.2599999999999953E-2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11"/>
      <c r="H47" s="10"/>
      <c r="I47" s="10">
        <f t="shared" si="8"/>
        <v>14048</v>
      </c>
      <c r="J47" s="10">
        <f t="shared" si="6"/>
        <v>143173479094.845</v>
      </c>
      <c r="K47" s="11">
        <f t="shared" si="7"/>
        <v>2.2599999999999953E-2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11"/>
      <c r="H48" s="10"/>
      <c r="I48" s="10">
        <f t="shared" si="8"/>
        <v>14048</v>
      </c>
      <c r="J48" s="10">
        <f t="shared" si="6"/>
        <v>140009269601.84335</v>
      </c>
      <c r="K48" s="11">
        <f t="shared" si="7"/>
        <v>2.2799999999999931E-2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11"/>
      <c r="H49" s="10"/>
      <c r="I49" s="10">
        <f t="shared" si="8"/>
        <v>14048</v>
      </c>
      <c r="J49" s="10">
        <f t="shared" si="6"/>
        <v>136888218226.28407</v>
      </c>
      <c r="K49" s="11">
        <f t="shared" si="7"/>
        <v>2.2799999999999931E-2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11"/>
      <c r="H50" s="10"/>
      <c r="I50" s="10">
        <f t="shared" si="8"/>
        <v>14048</v>
      </c>
      <c r="J50" s="10">
        <f t="shared" si="6"/>
        <v>133836740541.92812</v>
      </c>
      <c r="K50" s="11">
        <f t="shared" si="7"/>
        <v>2.2499999999999964E-2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11"/>
      <c r="H51" s="10"/>
      <c r="I51" s="10">
        <f t="shared" si="8"/>
        <v>14048</v>
      </c>
      <c r="J51" s="10">
        <f t="shared" si="6"/>
        <v>130891677791.61674</v>
      </c>
      <c r="K51" s="11">
        <f t="shared" si="7"/>
        <v>1.8000000000000016E-2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11"/>
      <c r="H52" s="10"/>
      <c r="I52" s="10">
        <f t="shared" si="8"/>
        <v>14048</v>
      </c>
      <c r="J52" s="10">
        <f t="shared" si="6"/>
        <v>128577286632.2365</v>
      </c>
      <c r="K52" s="11">
        <f t="shared" si="7"/>
        <v>1.5200000000000324E-2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11"/>
      <c r="H53" s="10"/>
      <c r="I53" s="10">
        <f t="shared" si="8"/>
        <v>14048</v>
      </c>
      <c r="J53" s="10">
        <f t="shared" si="6"/>
        <v>126652173593.61354</v>
      </c>
      <c r="K53" s="11">
        <f t="shared" si="7"/>
        <v>1.639999999999997E-2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11"/>
      <c r="H54" s="10"/>
      <c r="I54" s="10">
        <f t="shared" si="8"/>
        <v>14048</v>
      </c>
      <c r="J54" s="10">
        <f t="shared" si="6"/>
        <v>124608592673.76382</v>
      </c>
      <c r="K54" s="11">
        <f t="shared" si="7"/>
        <v>1.5299999999999869E-2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11"/>
      <c r="H55" s="10"/>
      <c r="I55" s="10">
        <f t="shared" si="8"/>
        <v>14048</v>
      </c>
      <c r="J55" s="10">
        <f t="shared" si="6"/>
        <v>122730811261.46344</v>
      </c>
      <c r="K55" s="11">
        <f t="shared" si="7"/>
        <v>1.4699999999999935E-2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11"/>
      <c r="H56" s="10"/>
      <c r="I56" s="10">
        <f t="shared" si="8"/>
        <v>14048</v>
      </c>
      <c r="J56" s="10">
        <f t="shared" si="6"/>
        <v>120952805027.55833</v>
      </c>
      <c r="K56" s="11">
        <f t="shared" si="7"/>
        <v>1.7700000000000049E-2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11"/>
      <c r="H57" s="10"/>
      <c r="I57" s="10">
        <f t="shared" si="8"/>
        <v>14048</v>
      </c>
      <c r="J57" s="10">
        <f t="shared" si="6"/>
        <v>118849174636.49242</v>
      </c>
      <c r="K57" s="11">
        <f t="shared" si="7"/>
        <v>1.7000000000000126E-2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11"/>
      <c r="H58" s="10"/>
      <c r="I58" s="10">
        <f t="shared" si="8"/>
        <v>14048</v>
      </c>
      <c r="J58" s="10">
        <f t="shared" si="6"/>
        <v>116862511933.62085</v>
      </c>
      <c r="K58" s="11">
        <f t="shared" si="7"/>
        <v>1.6999999999999904E-2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11"/>
      <c r="H59" s="10"/>
      <c r="I59" s="10">
        <f t="shared" si="8"/>
        <v>14048</v>
      </c>
      <c r="J59" s="10">
        <f t="shared" si="6"/>
        <v>114909057948.49641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11"/>
      <c r="H60" s="10"/>
      <c r="I60" s="10">
        <f t="shared" si="8"/>
        <v>14048</v>
      </c>
      <c r="J60" s="10">
        <f t="shared" si="6"/>
        <v>113099466484.74057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11"/>
      <c r="H61" s="10"/>
      <c r="I61" s="10">
        <f t="shared" si="8"/>
        <v>14048</v>
      </c>
      <c r="J61" s="10">
        <f t="shared" si="6"/>
        <v>111208914930.91504</v>
      </c>
      <c r="K61" s="11">
        <f t="shared" si="7"/>
        <v>1.8000000000000016E-2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11"/>
      <c r="H62" s="10"/>
      <c r="I62" s="10">
        <f t="shared" si="8"/>
        <v>14048</v>
      </c>
      <c r="J62" s="10">
        <f t="shared" si="6"/>
        <v>109242549048.05013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11"/>
      <c r="H63" s="10"/>
      <c r="I63" s="10">
        <f t="shared" si="8"/>
        <v>14048</v>
      </c>
      <c r="J63" s="10">
        <f t="shared" si="6"/>
        <v>107205641852.84607</v>
      </c>
      <c r="K63" s="11">
        <f t="shared" si="7"/>
        <v>2.000000000000024E-2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11"/>
      <c r="H64" s="10"/>
      <c r="I64" s="10">
        <f t="shared" si="8"/>
        <v>14048</v>
      </c>
      <c r="J64" s="10">
        <f t="shared" si="6"/>
        <v>105103570443.96672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11"/>
      <c r="H65" s="10"/>
      <c r="I65" s="10">
        <f t="shared" si="8"/>
        <v>14048</v>
      </c>
      <c r="J65" s="10">
        <f t="shared" si="6"/>
        <v>103042716121.536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11"/>
      <c r="H66" s="10"/>
      <c r="I66" s="10">
        <f t="shared" si="8"/>
        <v>14048</v>
      </c>
      <c r="J66" s="10">
        <f t="shared" ref="J66:J97" si="9">IF(I66="","",I66*C66)</f>
        <v>101121409344</v>
      </c>
      <c r="K66" s="11">
        <f t="shared" ref="K66:K97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14048</v>
      </c>
      <c r="J67" s="10">
        <f t="shared" si="9"/>
        <v>99333408000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5">
        <v>30642963</v>
      </c>
      <c r="G2" s="11"/>
      <c r="H2" s="10"/>
      <c r="I2" s="10">
        <f>IF(H2&lt;&gt;"",H2,1821)</f>
        <v>1821</v>
      </c>
      <c r="J2" s="10">
        <f t="shared" ref="J2:J33" si="3">IF(I2="","",I2*C2)</f>
        <v>55800634697.810364</v>
      </c>
      <c r="K2" s="11">
        <f t="shared" ref="K2:K33" si="4">IFERROR(J2/J3-1,"")</f>
        <v>1.2199999999999989E-2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11"/>
      <c r="H3" s="10"/>
      <c r="I3" s="10">
        <f t="shared" ref="I3:I34" si="5">IF(H3&lt;&gt;"",H3,I2/(1+IF(G2="",0,G2)))</f>
        <v>1821</v>
      </c>
      <c r="J3" s="10">
        <f t="shared" si="3"/>
        <v>55128072216.765823</v>
      </c>
      <c r="K3" s="11">
        <f t="shared" si="4"/>
        <v>1.2299999999999978E-2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11"/>
      <c r="H4" s="10"/>
      <c r="I4" s="10">
        <f t="shared" si="5"/>
        <v>1821</v>
      </c>
      <c r="J4" s="10">
        <f t="shared" si="3"/>
        <v>54458235915.011185</v>
      </c>
      <c r="K4" s="11">
        <f t="shared" si="4"/>
        <v>1.2000000000000011E-2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11"/>
      <c r="H5" s="10"/>
      <c r="I5" s="10">
        <f t="shared" si="5"/>
        <v>1821</v>
      </c>
      <c r="J5" s="10">
        <f t="shared" si="3"/>
        <v>53812486082.026863</v>
      </c>
      <c r="K5" s="11">
        <f t="shared" si="4"/>
        <v>1.1499999999999844E-2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11"/>
      <c r="H6" s="10"/>
      <c r="I6" s="10">
        <f t="shared" si="5"/>
        <v>1821</v>
      </c>
      <c r="J6" s="10">
        <f t="shared" si="3"/>
        <v>53200678281.786324</v>
      </c>
      <c r="K6" s="11">
        <f t="shared" si="4"/>
        <v>1.330000000000009E-2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11"/>
      <c r="H7" s="10"/>
      <c r="I7" s="10">
        <f t="shared" si="5"/>
        <v>1821</v>
      </c>
      <c r="J7" s="10">
        <f t="shared" si="3"/>
        <v>52502396409.539444</v>
      </c>
      <c r="K7" s="11">
        <f t="shared" si="4"/>
        <v>1.6000000000000014E-2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11"/>
      <c r="H8" s="10"/>
      <c r="I8" s="10">
        <f t="shared" si="5"/>
        <v>1821</v>
      </c>
      <c r="J8" s="10">
        <f t="shared" si="3"/>
        <v>51675587017.263229</v>
      </c>
      <c r="K8" s="11">
        <f t="shared" si="4"/>
        <v>1.6999999999999904E-2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11"/>
      <c r="H9" s="10"/>
      <c r="I9" s="10">
        <f t="shared" si="5"/>
        <v>1821</v>
      </c>
      <c r="J9" s="10">
        <f t="shared" si="3"/>
        <v>50811786644.309959</v>
      </c>
      <c r="K9" s="11">
        <f t="shared" si="4"/>
        <v>1.760000000000006E-2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11"/>
      <c r="H10" s="10"/>
      <c r="I10" s="10">
        <f t="shared" si="5"/>
        <v>1821</v>
      </c>
      <c r="J10" s="10">
        <f t="shared" si="3"/>
        <v>49932966435.053024</v>
      </c>
      <c r="K10" s="11">
        <f t="shared" si="4"/>
        <v>1.7699999999999827E-2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11"/>
      <c r="H11" s="10"/>
      <c r="I11" s="10">
        <f t="shared" si="5"/>
        <v>1821</v>
      </c>
      <c r="J11" s="10">
        <f t="shared" si="3"/>
        <v>49064524353.98745</v>
      </c>
      <c r="K11" s="11">
        <f t="shared" si="4"/>
        <v>1.7300000000000315E-2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11"/>
      <c r="H12" s="10"/>
      <c r="I12" s="10">
        <f t="shared" si="5"/>
        <v>1821</v>
      </c>
      <c r="J12" s="10">
        <f t="shared" si="3"/>
        <v>48230142882.126648</v>
      </c>
      <c r="K12" s="11">
        <f t="shared" si="4"/>
        <v>1.7099999999999893E-2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11"/>
      <c r="H13" s="10"/>
      <c r="I13" s="10">
        <f t="shared" si="5"/>
        <v>1821</v>
      </c>
      <c r="J13" s="10">
        <f t="shared" si="3"/>
        <v>47419273308.550446</v>
      </c>
      <c r="K13" s="11">
        <f t="shared" si="4"/>
        <v>1.7099999999999893E-2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11"/>
      <c r="H14" s="10"/>
      <c r="I14" s="10">
        <f t="shared" si="5"/>
        <v>1821</v>
      </c>
      <c r="J14" s="10">
        <f t="shared" si="3"/>
        <v>46622036484.66272</v>
      </c>
      <c r="K14" s="11">
        <f t="shared" si="4"/>
        <v>1.7000000000000126E-2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11"/>
      <c r="H15" s="10"/>
      <c r="I15" s="10">
        <f t="shared" si="5"/>
        <v>1821</v>
      </c>
      <c r="J15" s="10">
        <f t="shared" si="3"/>
        <v>45842710407.731285</v>
      </c>
      <c r="K15" s="11">
        <f t="shared" si="4"/>
        <v>1.7500000000000071E-2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11"/>
      <c r="H16" s="10"/>
      <c r="I16" s="10">
        <f t="shared" si="5"/>
        <v>1821</v>
      </c>
      <c r="J16" s="10">
        <f t="shared" si="3"/>
        <v>45054260842.979149</v>
      </c>
      <c r="K16" s="11">
        <f t="shared" si="4"/>
        <v>1.8699999999999939E-2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11"/>
      <c r="H17" s="10"/>
      <c r="I17" s="10">
        <f t="shared" si="5"/>
        <v>1821</v>
      </c>
      <c r="J17" s="10">
        <f t="shared" si="3"/>
        <v>44227211978.972366</v>
      </c>
      <c r="K17" s="11">
        <f t="shared" si="4"/>
        <v>2.1699999999999831E-2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11"/>
      <c r="H18" s="10"/>
      <c r="I18" s="10">
        <f t="shared" si="5"/>
        <v>1821</v>
      </c>
      <c r="J18" s="10">
        <f t="shared" si="3"/>
        <v>43287865301.920692</v>
      </c>
      <c r="K18" s="11">
        <f t="shared" si="4"/>
        <v>2.0999999999999908E-2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11"/>
      <c r="H19" s="10"/>
      <c r="I19" s="10">
        <f t="shared" si="5"/>
        <v>1821</v>
      </c>
      <c r="J19" s="10">
        <f t="shared" si="3"/>
        <v>42397517435.769539</v>
      </c>
      <c r="K19" s="11">
        <f t="shared" si="4"/>
        <v>2.1700000000000275E-2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11"/>
      <c r="H20" s="10"/>
      <c r="I20" s="10">
        <f t="shared" si="5"/>
        <v>1821</v>
      </c>
      <c r="J20" s="10">
        <f t="shared" si="3"/>
        <v>41497031844.738701</v>
      </c>
      <c r="K20" s="11">
        <f t="shared" si="4"/>
        <v>2.2299999999999764E-2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11"/>
      <c r="H21" s="10"/>
      <c r="I21" s="10">
        <f t="shared" si="5"/>
        <v>1821</v>
      </c>
      <c r="J21" s="10">
        <f t="shared" si="3"/>
        <v>40591833947.704887</v>
      </c>
      <c r="K21" s="11">
        <f t="shared" si="4"/>
        <v>2.2699999999999942E-2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11"/>
      <c r="H22" s="10"/>
      <c r="I22" s="10">
        <f t="shared" si="5"/>
        <v>1821</v>
      </c>
      <c r="J22" s="10">
        <f t="shared" si="3"/>
        <v>39690851616.02121</v>
      </c>
      <c r="K22" s="11">
        <f t="shared" si="4"/>
        <v>2.3099999999999898E-2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11"/>
      <c r="H23" s="10"/>
      <c r="I23" s="10">
        <f t="shared" si="5"/>
        <v>1821</v>
      </c>
      <c r="J23" s="10">
        <f t="shared" si="3"/>
        <v>38794694180.452759</v>
      </c>
      <c r="K23" s="11">
        <f t="shared" si="4"/>
        <v>2.3700000000000054E-2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11"/>
      <c r="H24" s="10"/>
      <c r="I24" s="10">
        <f t="shared" si="5"/>
        <v>1821</v>
      </c>
      <c r="J24" s="10">
        <f t="shared" si="3"/>
        <v>37896546039.320854</v>
      </c>
      <c r="K24" s="11">
        <f t="shared" si="4"/>
        <v>2.4199999999999999E-2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11"/>
      <c r="H25" s="10"/>
      <c r="I25" s="10">
        <f t="shared" si="5"/>
        <v>1821</v>
      </c>
      <c r="J25" s="10">
        <f t="shared" si="3"/>
        <v>37001118960.477303</v>
      </c>
      <c r="K25" s="11">
        <f t="shared" si="4"/>
        <v>2.4000000000000243E-2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11"/>
      <c r="H26" s="10"/>
      <c r="I26" s="10">
        <f t="shared" si="5"/>
        <v>1821</v>
      </c>
      <c r="J26" s="10">
        <f t="shared" si="3"/>
        <v>36133905234.84111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11"/>
      <c r="H27" s="10"/>
      <c r="I27" s="10">
        <f t="shared" si="5"/>
        <v>1821</v>
      </c>
      <c r="J27" s="10">
        <f t="shared" si="3"/>
        <v>35307704939.262367</v>
      </c>
      <c r="K27" s="11">
        <f t="shared" si="4"/>
        <v>2.3900000000000032E-2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11"/>
      <c r="H28" s="10"/>
      <c r="I28" s="10">
        <f t="shared" si="5"/>
        <v>1821</v>
      </c>
      <c r="J28" s="10">
        <f t="shared" si="3"/>
        <v>34483548138.74633</v>
      </c>
      <c r="K28" s="11">
        <f t="shared" si="4"/>
        <v>2.4599999999999955E-2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11"/>
      <c r="H29" s="10"/>
      <c r="I29" s="10">
        <f t="shared" si="5"/>
        <v>1821</v>
      </c>
      <c r="J29" s="10">
        <f t="shared" si="3"/>
        <v>33655619889.465481</v>
      </c>
      <c r="K29" s="11">
        <f t="shared" si="4"/>
        <v>2.4900000000000144E-2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11"/>
      <c r="H30" s="10"/>
      <c r="I30" s="10">
        <f t="shared" si="5"/>
        <v>1821</v>
      </c>
      <c r="J30" s="10">
        <f t="shared" si="3"/>
        <v>32837954814.582378</v>
      </c>
      <c r="K30" s="11">
        <f t="shared" si="4"/>
        <v>2.5199999999999889E-2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11"/>
      <c r="H31" s="10"/>
      <c r="I31" s="10">
        <f t="shared" si="5"/>
        <v>1821</v>
      </c>
      <c r="J31" s="10">
        <f t="shared" si="3"/>
        <v>32030779179.264904</v>
      </c>
      <c r="K31" s="11">
        <f t="shared" si="4"/>
        <v>2.5400000000000089E-2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11"/>
      <c r="H32" s="10"/>
      <c r="I32" s="10">
        <f t="shared" si="5"/>
        <v>1821</v>
      </c>
      <c r="J32" s="10">
        <f t="shared" si="3"/>
        <v>31237350477.145409</v>
      </c>
      <c r="K32" s="11">
        <f t="shared" si="4"/>
        <v>2.5400000000000089E-2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11"/>
      <c r="H33" s="10"/>
      <c r="I33" s="10">
        <f t="shared" si="5"/>
        <v>1821</v>
      </c>
      <c r="J33" s="10">
        <f t="shared" si="3"/>
        <v>30463575655.495811</v>
      </c>
      <c r="K33" s="11">
        <f t="shared" si="4"/>
        <v>2.5600000000000067E-2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11"/>
      <c r="H34" s="10"/>
      <c r="I34" s="10">
        <f t="shared" si="5"/>
        <v>1821</v>
      </c>
      <c r="J34" s="10">
        <f t="shared" ref="J34:J65" si="6">IF(I34="","",I34*C34)</f>
        <v>29703174391.084057</v>
      </c>
      <c r="K34" s="11">
        <f t="shared" ref="K34:K65" si="7">IFERROR(J34/J35-1,"")</f>
        <v>2.6499999999999968E-2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11"/>
      <c r="H35" s="10"/>
      <c r="I35" s="10">
        <f t="shared" ref="I35:I66" si="8">IF(H35&lt;&gt;"",H35,I34/(1+IF(G34="",0,G34)))</f>
        <v>1821</v>
      </c>
      <c r="J35" s="10">
        <f t="shared" si="6"/>
        <v>28936360829.112576</v>
      </c>
      <c r="K35" s="11">
        <f t="shared" si="7"/>
        <v>2.8200000000000003E-2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11"/>
      <c r="H36" s="10"/>
      <c r="I36" s="10">
        <f t="shared" si="8"/>
        <v>1821</v>
      </c>
      <c r="J36" s="10">
        <f t="shared" si="6"/>
        <v>28142735682.856037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11"/>
      <c r="H37" s="10"/>
      <c r="I37" s="10">
        <f t="shared" si="8"/>
        <v>1821</v>
      </c>
      <c r="J37" s="10">
        <f t="shared" si="6"/>
        <v>27336314407.825191</v>
      </c>
      <c r="K37" s="11">
        <f t="shared" si="7"/>
        <v>3.0399999999999983E-2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11"/>
      <c r="H38" s="10"/>
      <c r="I38" s="10">
        <f t="shared" si="8"/>
        <v>1821</v>
      </c>
      <c r="J38" s="10">
        <f t="shared" si="6"/>
        <v>26529808237.40799</v>
      </c>
      <c r="K38" s="11">
        <f t="shared" si="7"/>
        <v>3.1400000000000095E-2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11"/>
      <c r="H39" s="10"/>
      <c r="I39" s="10">
        <f t="shared" si="8"/>
        <v>1821</v>
      </c>
      <c r="J39" s="10">
        <f t="shared" si="6"/>
        <v>25722133253.255756</v>
      </c>
      <c r="K39" s="11">
        <f t="shared" si="7"/>
        <v>3.2200000000000006E-2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11"/>
      <c r="H40" s="10"/>
      <c r="I40" s="10">
        <f t="shared" si="8"/>
        <v>1821</v>
      </c>
      <c r="J40" s="10">
        <f t="shared" si="6"/>
        <v>24919718323.247196</v>
      </c>
      <c r="K40" s="11">
        <f t="shared" si="7"/>
        <v>3.279999999999994E-2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11"/>
      <c r="H41" s="10"/>
      <c r="I41" s="10">
        <f t="shared" si="8"/>
        <v>1821</v>
      </c>
      <c r="J41" s="10">
        <f t="shared" si="6"/>
        <v>24128309763.020138</v>
      </c>
      <c r="K41" s="11">
        <f t="shared" si="7"/>
        <v>3.2899999999999929E-2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11"/>
      <c r="H42" s="10"/>
      <c r="I42" s="10">
        <f t="shared" si="8"/>
        <v>1821</v>
      </c>
      <c r="J42" s="10">
        <f t="shared" si="6"/>
        <v>23359773223.952114</v>
      </c>
      <c r="K42" s="11">
        <f t="shared" si="7"/>
        <v>3.2599999999999962E-2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11"/>
      <c r="H43" s="10"/>
      <c r="I43" s="10">
        <f t="shared" si="8"/>
        <v>1821</v>
      </c>
      <c r="J43" s="10">
        <f t="shared" si="6"/>
        <v>22622286678.241444</v>
      </c>
      <c r="K43" s="11">
        <f t="shared" si="7"/>
        <v>3.2200000000000006E-2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11"/>
      <c r="H44" s="10"/>
      <c r="I44" s="10">
        <f t="shared" si="8"/>
        <v>1821</v>
      </c>
      <c r="J44" s="10">
        <f t="shared" si="6"/>
        <v>21916573026.779156</v>
      </c>
      <c r="K44" s="11">
        <f t="shared" si="7"/>
        <v>3.180000000000005E-2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11"/>
      <c r="H45" s="10"/>
      <c r="I45" s="10">
        <f t="shared" si="8"/>
        <v>1821</v>
      </c>
      <c r="J45" s="10">
        <f t="shared" si="6"/>
        <v>21241105860.417866</v>
      </c>
      <c r="K45" s="11">
        <f t="shared" si="7"/>
        <v>3.1500000000000083E-2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11"/>
      <c r="H46" s="10"/>
      <c r="I46" s="10">
        <f t="shared" si="8"/>
        <v>1821</v>
      </c>
      <c r="J46" s="10">
        <f t="shared" si="6"/>
        <v>20592443878.252899</v>
      </c>
      <c r="K46" s="11">
        <f t="shared" si="7"/>
        <v>2.7800000000000047E-2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11"/>
      <c r="H47" s="10"/>
      <c r="I47" s="10">
        <f t="shared" si="8"/>
        <v>1821</v>
      </c>
      <c r="J47" s="10">
        <f t="shared" si="6"/>
        <v>20035458141.90786</v>
      </c>
      <c r="K47" s="11">
        <f t="shared" si="7"/>
        <v>2.4000000000000021E-2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11"/>
      <c r="H48" s="10"/>
      <c r="I48" s="10">
        <f t="shared" si="8"/>
        <v>1821</v>
      </c>
      <c r="J48" s="10">
        <f t="shared" si="6"/>
        <v>19565877091.706894</v>
      </c>
      <c r="K48" s="11">
        <f t="shared" si="7"/>
        <v>2.4000000000000243E-2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11"/>
      <c r="H49" s="10"/>
      <c r="I49" s="10">
        <f t="shared" si="8"/>
        <v>1821</v>
      </c>
      <c r="J49" s="10">
        <f t="shared" si="6"/>
        <v>19107301847.37001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11"/>
      <c r="H50" s="10"/>
      <c r="I50" s="10">
        <f t="shared" si="8"/>
        <v>1821</v>
      </c>
      <c r="J50" s="10">
        <f t="shared" si="6"/>
        <v>18659474460.322277</v>
      </c>
      <c r="K50" s="11">
        <f t="shared" si="7"/>
        <v>2.4000000000000021E-2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11"/>
      <c r="H51" s="10"/>
      <c r="I51" s="10">
        <f t="shared" si="8"/>
        <v>1821</v>
      </c>
      <c r="J51" s="10">
        <f t="shared" si="6"/>
        <v>18222143027.658474</v>
      </c>
      <c r="K51" s="11">
        <f t="shared" si="7"/>
        <v>2.3900000000000032E-2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11"/>
      <c r="H52" s="10"/>
      <c r="I52" s="10">
        <f t="shared" si="8"/>
        <v>1821</v>
      </c>
      <c r="J52" s="10">
        <f t="shared" si="6"/>
        <v>17796799519.150768</v>
      </c>
      <c r="K52" s="11">
        <f t="shared" si="7"/>
        <v>2.4000000000000021E-2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11"/>
      <c r="H53" s="10"/>
      <c r="I53" s="10">
        <f t="shared" si="8"/>
        <v>1821</v>
      </c>
      <c r="J53" s="10">
        <f t="shared" si="6"/>
        <v>17379687030.420673</v>
      </c>
      <c r="K53" s="11">
        <f t="shared" si="7"/>
        <v>2.3900000000000032E-2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11"/>
      <c r="H54" s="10"/>
      <c r="I54" s="10">
        <f t="shared" si="8"/>
        <v>1821</v>
      </c>
      <c r="J54" s="10">
        <f t="shared" si="6"/>
        <v>16974008233.636753</v>
      </c>
      <c r="K54" s="11">
        <f t="shared" si="7"/>
        <v>2.4000000000000021E-2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11"/>
      <c r="H55" s="10"/>
      <c r="I55" s="10">
        <f t="shared" si="8"/>
        <v>1821</v>
      </c>
      <c r="J55" s="10">
        <f t="shared" si="6"/>
        <v>16576179915.660892</v>
      </c>
      <c r="K55" s="11">
        <f t="shared" si="7"/>
        <v>2.3800000000000043E-2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11"/>
      <c r="H56" s="10"/>
      <c r="I56" s="10">
        <f t="shared" si="8"/>
        <v>1821</v>
      </c>
      <c r="J56" s="10">
        <f t="shared" si="6"/>
        <v>16190837971.928982</v>
      </c>
      <c r="K56" s="11">
        <f t="shared" si="7"/>
        <v>2.2999999999999909E-2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11"/>
      <c r="H57" s="10"/>
      <c r="I57" s="10">
        <f t="shared" si="8"/>
        <v>1821</v>
      </c>
      <c r="J57" s="10">
        <f t="shared" si="6"/>
        <v>15826821086.929604</v>
      </c>
      <c r="K57" s="11">
        <f t="shared" si="7"/>
        <v>2.2599999999999953E-2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11"/>
      <c r="H58" s="10"/>
      <c r="I58" s="10">
        <f t="shared" si="8"/>
        <v>1821</v>
      </c>
      <c r="J58" s="10">
        <f t="shared" si="6"/>
        <v>15477039983.306868</v>
      </c>
      <c r="K58" s="11">
        <f t="shared" si="7"/>
        <v>2.269999999999972E-2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11"/>
      <c r="H59" s="10"/>
      <c r="I59" s="10">
        <f t="shared" si="8"/>
        <v>1821</v>
      </c>
      <c r="J59" s="10">
        <f t="shared" si="6"/>
        <v>15133509321.704185</v>
      </c>
      <c r="K59" s="11">
        <f t="shared" si="7"/>
        <v>2.3700000000000054E-2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11"/>
      <c r="H60" s="10"/>
      <c r="I60" s="10">
        <f t="shared" si="8"/>
        <v>1821</v>
      </c>
      <c r="J60" s="10">
        <f t="shared" si="6"/>
        <v>14783148697.571733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11"/>
      <c r="H61" s="10"/>
      <c r="I61" s="10">
        <f t="shared" si="8"/>
        <v>1821</v>
      </c>
      <c r="J61" s="10">
        <f t="shared" si="6"/>
        <v>14423991313.856703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11"/>
      <c r="H62" s="10"/>
      <c r="I62" s="10">
        <f t="shared" si="8"/>
        <v>1821</v>
      </c>
      <c r="J62" s="10">
        <f t="shared" si="6"/>
        <v>14065325513.268358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11"/>
      <c r="H63" s="10"/>
      <c r="I63" s="10">
        <f t="shared" si="8"/>
        <v>1821</v>
      </c>
      <c r="J63" s="10">
        <f t="shared" si="6"/>
        <v>13708894262.444794</v>
      </c>
      <c r="K63" s="11">
        <f t="shared" si="7"/>
        <v>2.6100000000000012E-2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11"/>
      <c r="H64" s="10"/>
      <c r="I64" s="10">
        <f t="shared" si="8"/>
        <v>1821</v>
      </c>
      <c r="J64" s="10">
        <f t="shared" si="6"/>
        <v>13360193219.417984</v>
      </c>
      <c r="K64" s="11">
        <f t="shared" si="7"/>
        <v>2.6100000000000012E-2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11"/>
      <c r="H65" s="10"/>
      <c r="I65" s="10">
        <f t="shared" si="8"/>
        <v>1821</v>
      </c>
      <c r="J65" s="10">
        <f t="shared" si="6"/>
        <v>13020361777.03731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11"/>
      <c r="H66" s="10"/>
      <c r="I66" s="10">
        <f t="shared" si="8"/>
        <v>1821</v>
      </c>
      <c r="J66" s="10">
        <f t="shared" ref="J66:J97" si="9">IF(I66="","",I66*C66)</f>
        <v>12689174327.099998</v>
      </c>
      <c r="K66" s="11">
        <f t="shared" ref="K66:K97" si="10">IFERROR(J66/J67-1,"")</f>
        <v>2.609999999999979E-2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1821</v>
      </c>
      <c r="J67" s="10">
        <f t="shared" si="9"/>
        <v>12366411000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5">
        <v>7438559</v>
      </c>
      <c r="G2" s="11"/>
      <c r="H2" s="10"/>
      <c r="I2" s="10">
        <f>IF(H2&lt;&gt;"",H2,18175)</f>
        <v>18175</v>
      </c>
      <c r="J2" s="10">
        <f t="shared" ref="J2:J33" si="3">IF(I2="","",I2*C2)</f>
        <v>135208190467.58598</v>
      </c>
      <c r="K2" s="11">
        <f t="shared" ref="K2:K33" si="4">IFERROR(J2/J3-1,"")</f>
        <v>2.0399999999999974E-2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11"/>
      <c r="H3" s="10"/>
      <c r="I3" s="10">
        <f t="shared" ref="I3:I34" si="5">IF(H3&lt;&gt;"",H3,I2/(1+IF(G2="",0,G2)))</f>
        <v>18175</v>
      </c>
      <c r="J3" s="10">
        <f t="shared" si="3"/>
        <v>132505086698.92787</v>
      </c>
      <c r="K3" s="11">
        <f t="shared" si="4"/>
        <v>1.660000000000017E-2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11"/>
      <c r="H4" s="10"/>
      <c r="I4" s="10">
        <f t="shared" si="5"/>
        <v>18175</v>
      </c>
      <c r="J4" s="10">
        <f t="shared" si="3"/>
        <v>130341419141.1842</v>
      </c>
      <c r="K4" s="11">
        <f t="shared" si="4"/>
        <v>7.7000000000000401E-3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11"/>
      <c r="H5" s="10"/>
      <c r="I5" s="10">
        <f t="shared" si="5"/>
        <v>18175</v>
      </c>
      <c r="J5" s="10">
        <f t="shared" si="3"/>
        <v>129345459106.06747</v>
      </c>
      <c r="K5" s="11">
        <f t="shared" si="4"/>
        <v>5.5000000000000604E-3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11"/>
      <c r="H6" s="10"/>
      <c r="I6" s="10">
        <f t="shared" si="5"/>
        <v>18175</v>
      </c>
      <c r="J6" s="10">
        <f t="shared" si="3"/>
        <v>128637950378.98306</v>
      </c>
      <c r="K6" s="11">
        <f t="shared" si="4"/>
        <v>7.6000000000000512E-3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11"/>
      <c r="H7" s="10"/>
      <c r="I7" s="10">
        <f t="shared" si="5"/>
        <v>18175</v>
      </c>
      <c r="J7" s="10">
        <f t="shared" si="3"/>
        <v>127667676041.07091</v>
      </c>
      <c r="K7" s="11">
        <f t="shared" si="4"/>
        <v>1.110000000000011E-2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11"/>
      <c r="H8" s="10"/>
      <c r="I8" s="10">
        <f t="shared" si="5"/>
        <v>18175</v>
      </c>
      <c r="J8" s="10">
        <f t="shared" si="3"/>
        <v>126266122085.91721</v>
      </c>
      <c r="K8" s="11">
        <f t="shared" si="4"/>
        <v>1.0000000000000009E-2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11"/>
      <c r="H9" s="10"/>
      <c r="I9" s="10">
        <f t="shared" si="5"/>
        <v>18175</v>
      </c>
      <c r="J9" s="10">
        <f t="shared" si="3"/>
        <v>125015962461.30415</v>
      </c>
      <c r="K9" s="11">
        <f t="shared" si="4"/>
        <v>8.499999999999952E-3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11"/>
      <c r="H10" s="10"/>
      <c r="I10" s="10">
        <f t="shared" si="5"/>
        <v>18175</v>
      </c>
      <c r="J10" s="10">
        <f t="shared" si="3"/>
        <v>123962283055.33383</v>
      </c>
      <c r="K10" s="11">
        <f t="shared" si="4"/>
        <v>9.300000000000086E-3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11"/>
      <c r="H11" s="10"/>
      <c r="I11" s="10">
        <f t="shared" si="5"/>
        <v>18175</v>
      </c>
      <c r="J11" s="10">
        <f t="shared" si="3"/>
        <v>122820056529.60846</v>
      </c>
      <c r="K11" s="11">
        <f t="shared" si="4"/>
        <v>1.2199999999999989E-2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11"/>
      <c r="H12" s="10"/>
      <c r="I12" s="10">
        <f t="shared" si="5"/>
        <v>18175</v>
      </c>
      <c r="J12" s="10">
        <f t="shared" si="3"/>
        <v>121339712042.68767</v>
      </c>
      <c r="K12" s="11">
        <f t="shared" si="4"/>
        <v>1.1300000000000088E-2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11"/>
      <c r="H13" s="10"/>
      <c r="I13" s="10">
        <f t="shared" si="5"/>
        <v>18175</v>
      </c>
      <c r="J13" s="10">
        <f t="shared" si="3"/>
        <v>119983894040.03526</v>
      </c>
      <c r="K13" s="11">
        <f t="shared" si="4"/>
        <v>1.4899999999999913E-2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11"/>
      <c r="H14" s="10"/>
      <c r="I14" s="10">
        <f t="shared" si="5"/>
        <v>18175</v>
      </c>
      <c r="J14" s="10">
        <f t="shared" si="3"/>
        <v>118222380569.549</v>
      </c>
      <c r="K14" s="11">
        <f t="shared" si="4"/>
        <v>1.9700000000000051E-2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11"/>
      <c r="H15" s="10"/>
      <c r="I15" s="10">
        <f t="shared" si="5"/>
        <v>18175</v>
      </c>
      <c r="J15" s="10">
        <f t="shared" si="3"/>
        <v>115938394203.7354</v>
      </c>
      <c r="K15" s="11">
        <f t="shared" si="4"/>
        <v>1.7400000000000082E-2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11"/>
      <c r="H16" s="10"/>
      <c r="I16" s="10">
        <f t="shared" si="5"/>
        <v>18175</v>
      </c>
      <c r="J16" s="10">
        <f t="shared" si="3"/>
        <v>113955567332.15587</v>
      </c>
      <c r="K16" s="11">
        <f t="shared" si="4"/>
        <v>5.8999999999997943E-3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11"/>
      <c r="H17" s="10"/>
      <c r="I17" s="10">
        <f t="shared" si="5"/>
        <v>18175</v>
      </c>
      <c r="J17" s="10">
        <f t="shared" si="3"/>
        <v>113287173011.38869</v>
      </c>
      <c r="K17" s="11">
        <f t="shared" si="4"/>
        <v>5.9000000000000163E-3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11"/>
      <c r="H18" s="10"/>
      <c r="I18" s="10">
        <f t="shared" si="5"/>
        <v>18175</v>
      </c>
      <c r="J18" s="10">
        <f t="shared" si="3"/>
        <v>112622699086.7767</v>
      </c>
      <c r="K18" s="11">
        <f t="shared" si="4"/>
        <v>5.3000000000000824E-3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11"/>
      <c r="H19" s="10"/>
      <c r="I19" s="10">
        <f t="shared" si="5"/>
        <v>18175</v>
      </c>
      <c r="J19" s="10">
        <f t="shared" si="3"/>
        <v>112028945674.70078</v>
      </c>
      <c r="K19" s="11">
        <f t="shared" si="4"/>
        <v>8.899999999999908E-3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11"/>
      <c r="H20" s="10"/>
      <c r="I20" s="10">
        <f t="shared" si="5"/>
        <v>18175</v>
      </c>
      <c r="J20" s="10">
        <f t="shared" si="3"/>
        <v>111040683590.74316</v>
      </c>
      <c r="K20" s="11">
        <f t="shared" si="4"/>
        <v>1.3100000000000112E-2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11"/>
      <c r="H21" s="10"/>
      <c r="I21" s="10">
        <f t="shared" si="5"/>
        <v>18175</v>
      </c>
      <c r="J21" s="10">
        <f t="shared" si="3"/>
        <v>109604859925.71626</v>
      </c>
      <c r="K21" s="11">
        <f t="shared" si="4"/>
        <v>1.5799999999999814E-2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11"/>
      <c r="H22" s="10"/>
      <c r="I22" s="10">
        <f t="shared" si="5"/>
        <v>18175</v>
      </c>
      <c r="J22" s="10">
        <f t="shared" si="3"/>
        <v>107900039304.70198</v>
      </c>
      <c r="K22" s="11">
        <f t="shared" si="4"/>
        <v>1.4599999999999946E-2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11"/>
      <c r="H23" s="10"/>
      <c r="I23" s="10">
        <f t="shared" si="5"/>
        <v>18175</v>
      </c>
      <c r="J23" s="10">
        <f t="shared" si="3"/>
        <v>106347367735.75989</v>
      </c>
      <c r="K23" s="11">
        <f t="shared" si="4"/>
        <v>1.330000000000009E-2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11"/>
      <c r="H24" s="10"/>
      <c r="I24" s="10">
        <f t="shared" si="5"/>
        <v>18175</v>
      </c>
      <c r="J24" s="10">
        <f t="shared" si="3"/>
        <v>104951512617.94125</v>
      </c>
      <c r="K24" s="11">
        <f t="shared" si="4"/>
        <v>1.1400000000000077E-2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11"/>
      <c r="H25" s="10"/>
      <c r="I25" s="10">
        <f t="shared" si="5"/>
        <v>18175</v>
      </c>
      <c r="J25" s="10">
        <f t="shared" si="3"/>
        <v>103768551135.00223</v>
      </c>
      <c r="K25" s="11">
        <f t="shared" si="4"/>
        <v>1.0399999999999965E-2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11"/>
      <c r="H26" s="10"/>
      <c r="I26" s="10">
        <f t="shared" si="5"/>
        <v>18175</v>
      </c>
      <c r="J26" s="10">
        <f t="shared" si="3"/>
        <v>102700466285.63165</v>
      </c>
      <c r="K26" s="11">
        <f t="shared" si="4"/>
        <v>9.5000000000000639E-3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11"/>
      <c r="H27" s="10"/>
      <c r="I27" s="10">
        <f t="shared" si="5"/>
        <v>18175</v>
      </c>
      <c r="J27" s="10">
        <f t="shared" si="3"/>
        <v>101733993348.81787</v>
      </c>
      <c r="K27" s="11">
        <f t="shared" si="4"/>
        <v>9.200000000000319E-3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11"/>
      <c r="H28" s="10"/>
      <c r="I28" s="10">
        <f t="shared" si="5"/>
        <v>18175</v>
      </c>
      <c r="J28" s="10">
        <f t="shared" si="3"/>
        <v>100806572878.33714</v>
      </c>
      <c r="K28" s="11">
        <f t="shared" si="4"/>
        <v>4.7999999999999154E-3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11"/>
      <c r="H29" s="10"/>
      <c r="I29" s="10">
        <f t="shared" si="5"/>
        <v>18175</v>
      </c>
      <c r="J29" s="10">
        <f t="shared" si="3"/>
        <v>100325012816.81644</v>
      </c>
      <c r="K29" s="11">
        <f t="shared" si="4"/>
        <v>2.6999999999999247E-3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11"/>
      <c r="H30" s="10"/>
      <c r="I30" s="10">
        <f t="shared" si="5"/>
        <v>18175</v>
      </c>
      <c r="J30" s="10">
        <f t="shared" si="3"/>
        <v>100054864682.17458</v>
      </c>
      <c r="K30" s="11">
        <f t="shared" si="4"/>
        <v>8.599999999999941E-3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11"/>
      <c r="H31" s="10"/>
      <c r="I31" s="10">
        <f t="shared" si="5"/>
        <v>18175</v>
      </c>
      <c r="J31" s="10">
        <f t="shared" si="3"/>
        <v>99201729805.844315</v>
      </c>
      <c r="K31" s="11">
        <f t="shared" si="4"/>
        <v>-2.00000000000089E-4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11"/>
      <c r="H32" s="10"/>
      <c r="I32" s="10">
        <f t="shared" si="5"/>
        <v>18175</v>
      </c>
      <c r="J32" s="10">
        <f t="shared" si="3"/>
        <v>99221574120.668457</v>
      </c>
      <c r="K32" s="11">
        <f t="shared" si="4"/>
        <v>6.1999999999999833E-3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11"/>
      <c r="H33" s="10"/>
      <c r="I33" s="10">
        <f t="shared" si="5"/>
        <v>18175</v>
      </c>
      <c r="J33" s="10">
        <f t="shared" si="3"/>
        <v>98610190936.859924</v>
      </c>
      <c r="K33" s="11">
        <f t="shared" si="4"/>
        <v>8.69999999999993E-3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11"/>
      <c r="H34" s="10"/>
      <c r="I34" s="10">
        <f t="shared" si="5"/>
        <v>18175</v>
      </c>
      <c r="J34" s="10">
        <f t="shared" ref="J34:J65" si="6">IF(I34="","",I34*C34)</f>
        <v>97759681706.017578</v>
      </c>
      <c r="K34" s="11">
        <f t="shared" ref="K34:K65" si="7">IFERROR(J34/J35-1,"")</f>
        <v>1.3600000000000279E-2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11"/>
      <c r="H35" s="10"/>
      <c r="I35" s="10">
        <f t="shared" ref="I35:I66" si="8">IF(H35&lt;&gt;"",H35,I34/(1+IF(G34="",0,G34)))</f>
        <v>18175</v>
      </c>
      <c r="J35" s="10">
        <f t="shared" si="6"/>
        <v>96447989054.871307</v>
      </c>
      <c r="K35" s="11">
        <f t="shared" si="7"/>
        <v>9.9000000000000199E-3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11"/>
      <c r="H36" s="10"/>
      <c r="I36" s="10">
        <f t="shared" si="8"/>
        <v>18175</v>
      </c>
      <c r="J36" s="10">
        <f t="shared" si="6"/>
        <v>95502514164.641357</v>
      </c>
      <c r="K36" s="11">
        <f t="shared" si="7"/>
        <v>3.8000000000000256E-3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11"/>
      <c r="H37" s="10"/>
      <c r="I37" s="10">
        <f t="shared" si="8"/>
        <v>18175</v>
      </c>
      <c r="J37" s="10">
        <f t="shared" si="6"/>
        <v>95140978446.544495</v>
      </c>
      <c r="K37" s="11">
        <f t="shared" si="7"/>
        <v>1.3000000000000789E-3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11"/>
      <c r="H38" s="10"/>
      <c r="I38" s="10">
        <f t="shared" si="8"/>
        <v>18175</v>
      </c>
      <c r="J38" s="10">
        <f t="shared" si="6"/>
        <v>95017455754.064194</v>
      </c>
      <c r="K38" s="11">
        <f t="shared" si="7"/>
        <v>-3.8999999999997925E-3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11"/>
      <c r="H39" s="10"/>
      <c r="I39" s="10">
        <f t="shared" si="8"/>
        <v>18175</v>
      </c>
      <c r="J39" s="10">
        <f t="shared" si="6"/>
        <v>95389474705.415298</v>
      </c>
      <c r="K39" s="11">
        <f t="shared" si="7"/>
        <v>2.9999999999996696E-4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11"/>
      <c r="H40" s="10"/>
      <c r="I40" s="10">
        <f t="shared" si="8"/>
        <v>18175</v>
      </c>
      <c r="J40" s="10">
        <f t="shared" si="6"/>
        <v>95360866445.481659</v>
      </c>
      <c r="K40" s="11">
        <f t="shared" si="7"/>
        <v>3.1000000000001027E-3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11"/>
      <c r="H41" s="10"/>
      <c r="I41" s="10">
        <f t="shared" si="8"/>
        <v>18175</v>
      </c>
      <c r="J41" s="10">
        <f t="shared" si="6"/>
        <v>95066161345.311188</v>
      </c>
      <c r="K41" s="11">
        <f t="shared" si="7"/>
        <v>8.799999999999919E-3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11"/>
      <c r="H42" s="10"/>
      <c r="I42" s="10">
        <f t="shared" si="8"/>
        <v>18175</v>
      </c>
      <c r="J42" s="10">
        <f t="shared" si="6"/>
        <v>94236876829.214111</v>
      </c>
      <c r="K42" s="11">
        <f t="shared" si="7"/>
        <v>1.9500000000000073E-2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11"/>
      <c r="H43" s="10"/>
      <c r="I43" s="10">
        <f t="shared" si="8"/>
        <v>18175</v>
      </c>
      <c r="J43" s="10">
        <f t="shared" si="6"/>
        <v>92434405913.893188</v>
      </c>
      <c r="K43" s="11">
        <f t="shared" si="7"/>
        <v>2.0899999999999919E-2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11"/>
      <c r="H44" s="10"/>
      <c r="I44" s="10">
        <f t="shared" si="8"/>
        <v>18175</v>
      </c>
      <c r="J44" s="10">
        <f t="shared" si="6"/>
        <v>90542076514.735229</v>
      </c>
      <c r="K44" s="11">
        <f t="shared" si="7"/>
        <v>1.959999999999984E-2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11"/>
      <c r="H45" s="10"/>
      <c r="I45" s="10">
        <f t="shared" si="8"/>
        <v>18175</v>
      </c>
      <c r="J45" s="10">
        <f t="shared" si="6"/>
        <v>88801565824.573593</v>
      </c>
      <c r="K45" s="11">
        <f t="shared" si="7"/>
        <v>1.7700000000000271E-2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11"/>
      <c r="H46" s="10"/>
      <c r="I46" s="10">
        <f t="shared" si="8"/>
        <v>18175</v>
      </c>
      <c r="J46" s="10">
        <f t="shared" si="6"/>
        <v>87257114891.002823</v>
      </c>
      <c r="K46" s="11">
        <f t="shared" si="7"/>
        <v>1.4899999999999913E-2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11"/>
      <c r="H47" s="10"/>
      <c r="I47" s="10">
        <f t="shared" si="8"/>
        <v>18175</v>
      </c>
      <c r="J47" s="10">
        <f t="shared" si="6"/>
        <v>85976071426.744339</v>
      </c>
      <c r="K47" s="11">
        <f t="shared" si="7"/>
        <v>1.3600000000000056E-2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11"/>
      <c r="H48" s="10"/>
      <c r="I48" s="10">
        <f t="shared" si="8"/>
        <v>18175</v>
      </c>
      <c r="J48" s="10">
        <f t="shared" si="6"/>
        <v>84822485622.281311</v>
      </c>
      <c r="K48" s="11">
        <f t="shared" si="7"/>
        <v>8.899999999999908E-3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11"/>
      <c r="H49" s="10"/>
      <c r="I49" s="10">
        <f t="shared" si="8"/>
        <v>18175</v>
      </c>
      <c r="J49" s="10">
        <f t="shared" si="6"/>
        <v>84074225019.606812</v>
      </c>
      <c r="K49" s="11">
        <f t="shared" si="7"/>
        <v>8.799999999999919E-3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11"/>
      <c r="H50" s="10"/>
      <c r="I50" s="10">
        <f t="shared" si="8"/>
        <v>18175</v>
      </c>
      <c r="J50" s="10">
        <f t="shared" si="6"/>
        <v>83340825752.980591</v>
      </c>
      <c r="K50" s="11">
        <f t="shared" si="7"/>
        <v>1.7899999999999805E-2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11"/>
      <c r="H51" s="10"/>
      <c r="I51" s="10">
        <f t="shared" si="8"/>
        <v>18175</v>
      </c>
      <c r="J51" s="10">
        <f t="shared" si="6"/>
        <v>81875258623.617844</v>
      </c>
      <c r="K51" s="11">
        <f t="shared" si="7"/>
        <v>1.7900000000000027E-2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11"/>
      <c r="H52" s="10"/>
      <c r="I52" s="10">
        <f t="shared" si="8"/>
        <v>18175</v>
      </c>
      <c r="J52" s="10">
        <f t="shared" si="6"/>
        <v>80435463821.218033</v>
      </c>
      <c r="K52" s="11">
        <f t="shared" si="7"/>
        <v>1.6499999999999959E-2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11"/>
      <c r="H53" s="10"/>
      <c r="I53" s="10">
        <f t="shared" si="8"/>
        <v>18175</v>
      </c>
      <c r="J53" s="10">
        <f t="shared" si="6"/>
        <v>79129821762.142685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11"/>
      <c r="H54" s="10"/>
      <c r="I54" s="10">
        <f t="shared" si="8"/>
        <v>18175</v>
      </c>
      <c r="J54" s="10">
        <f t="shared" si="6"/>
        <v>77509865571.694275</v>
      </c>
      <c r="K54" s="11">
        <f t="shared" si="7"/>
        <v>1.9900000000000029E-2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11"/>
      <c r="H55" s="10"/>
      <c r="I55" s="10">
        <f t="shared" si="8"/>
        <v>18175</v>
      </c>
      <c r="J55" s="10">
        <f t="shared" si="6"/>
        <v>75997515022.741714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11"/>
      <c r="H56" s="10"/>
      <c r="I56" s="10">
        <f t="shared" si="8"/>
        <v>18175</v>
      </c>
      <c r="J56" s="10">
        <f t="shared" si="6"/>
        <v>74114994170.803299</v>
      </c>
      <c r="K56" s="11">
        <f t="shared" si="7"/>
        <v>2.0000000000000018E-2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11"/>
      <c r="H57" s="10"/>
      <c r="I57" s="10">
        <f t="shared" si="8"/>
        <v>18175</v>
      </c>
      <c r="J57" s="10">
        <f t="shared" si="6"/>
        <v>72661758990.983627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11"/>
      <c r="H58" s="10"/>
      <c r="I58" s="10">
        <f t="shared" si="8"/>
        <v>18175</v>
      </c>
      <c r="J58" s="10">
        <f t="shared" si="6"/>
        <v>71237018618.611404</v>
      </c>
      <c r="K58" s="11">
        <f t="shared" si="7"/>
        <v>2.000000000000024E-2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11"/>
      <c r="H59" s="10"/>
      <c r="I59" s="10">
        <f t="shared" si="8"/>
        <v>18175</v>
      </c>
      <c r="J59" s="10">
        <f t="shared" si="6"/>
        <v>69840214331.971954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11"/>
      <c r="H60" s="10"/>
      <c r="I60" s="10">
        <f t="shared" si="8"/>
        <v>18175</v>
      </c>
      <c r="J60" s="10">
        <f t="shared" si="6"/>
        <v>68403735878.52298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11"/>
      <c r="H61" s="10"/>
      <c r="I61" s="10">
        <f t="shared" si="8"/>
        <v>18175</v>
      </c>
      <c r="J61" s="10">
        <f t="shared" si="6"/>
        <v>66931248413.427574</v>
      </c>
      <c r="K61" s="11">
        <f t="shared" si="7"/>
        <v>2.200000000000002E-2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11"/>
      <c r="H62" s="10"/>
      <c r="I62" s="10">
        <f t="shared" si="8"/>
        <v>18175</v>
      </c>
      <c r="J62" s="10">
        <f t="shared" si="6"/>
        <v>65490458330.163963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11"/>
      <c r="H63" s="10"/>
      <c r="I63" s="10">
        <f t="shared" si="8"/>
        <v>18175</v>
      </c>
      <c r="J63" s="10">
        <f t="shared" si="6"/>
        <v>64080683297.616402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11"/>
      <c r="H64" s="10"/>
      <c r="I64" s="10">
        <f t="shared" si="8"/>
        <v>18175</v>
      </c>
      <c r="J64" s="10">
        <f t="shared" si="6"/>
        <v>62701255672.814484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11"/>
      <c r="H65" s="10"/>
      <c r="I65" s="10">
        <f t="shared" si="8"/>
        <v>18175</v>
      </c>
      <c r="J65" s="10">
        <f t="shared" si="6"/>
        <v>61351522184.749985</v>
      </c>
      <c r="K65" s="11">
        <f t="shared" si="7"/>
        <v>2.1999999999999797E-2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11"/>
      <c r="H66" s="10"/>
      <c r="I66" s="10">
        <f t="shared" si="8"/>
        <v>18175</v>
      </c>
      <c r="J66" s="10">
        <f t="shared" ref="J66:J97" si="9">IF(I66="","",I66*C66)</f>
        <v>60030843624.999992</v>
      </c>
      <c r="K66" s="11">
        <f t="shared" ref="K66:K97" si="10">IFERROR(J66/J67-1,"")</f>
        <v>2.0999999999999908E-2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18175</v>
      </c>
      <c r="J67" s="10">
        <f t="shared" si="9"/>
        <v>58796125000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5">
        <v>95001457</v>
      </c>
      <c r="G2" s="11"/>
      <c r="H2" s="10"/>
      <c r="I2" s="10">
        <f>IF(H2&lt;&gt;"",H2,3298)</f>
        <v>3298</v>
      </c>
      <c r="J2" s="10">
        <f t="shared" ref="J2:J33" si="3">IF(I2="","",I2*C2)</f>
        <v>313314613201.66882</v>
      </c>
      <c r="K2" s="11">
        <f t="shared" ref="K2:K33" si="4">IFERROR(J2/J3-1,"")</f>
        <v>2.8999999999999915E-2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11"/>
      <c r="H3" s="10"/>
      <c r="I3" s="10">
        <f t="shared" ref="I3:I34" si="5">IF(H3&lt;&gt;"",H3,I2/(1+IF(G2="",0,G2)))</f>
        <v>3298</v>
      </c>
      <c r="J3" s="10">
        <f t="shared" si="3"/>
        <v>304484560934.56641</v>
      </c>
      <c r="K3" s="11">
        <f t="shared" si="4"/>
        <v>2.8999999999999915E-2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11"/>
      <c r="H4" s="10"/>
      <c r="I4" s="10">
        <f t="shared" si="5"/>
        <v>3298</v>
      </c>
      <c r="J4" s="10">
        <f t="shared" si="3"/>
        <v>295903363396.08008</v>
      </c>
      <c r="K4" s="11">
        <f t="shared" si="4"/>
        <v>2.8899999999999926E-2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11"/>
      <c r="H5" s="10"/>
      <c r="I5" s="10">
        <f t="shared" si="5"/>
        <v>3298</v>
      </c>
      <c r="J5" s="10">
        <f t="shared" si="3"/>
        <v>287591955871.39673</v>
      </c>
      <c r="K5" s="11">
        <f t="shared" si="4"/>
        <v>2.8699999999999948E-2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11"/>
      <c r="H6" s="10"/>
      <c r="I6" s="10">
        <f t="shared" si="5"/>
        <v>3298</v>
      </c>
      <c r="J6" s="10">
        <f t="shared" si="3"/>
        <v>279568344387.4762</v>
      </c>
      <c r="K6" s="11">
        <f t="shared" si="4"/>
        <v>2.7900000000000258E-2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11"/>
      <c r="H7" s="10"/>
      <c r="I7" s="10">
        <f t="shared" si="5"/>
        <v>3298</v>
      </c>
      <c r="J7" s="10">
        <f t="shared" si="3"/>
        <v>271980099608.40173</v>
      </c>
      <c r="K7" s="11">
        <f t="shared" si="4"/>
        <v>2.6799999999999935E-2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11"/>
      <c r="H8" s="10"/>
      <c r="I8" s="10">
        <f t="shared" si="5"/>
        <v>3298</v>
      </c>
      <c r="J8" s="10">
        <f t="shared" si="3"/>
        <v>264881281270.3562</v>
      </c>
      <c r="K8" s="11">
        <f t="shared" si="4"/>
        <v>2.5900000000000034E-2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11"/>
      <c r="H9" s="10"/>
      <c r="I9" s="10">
        <f t="shared" si="5"/>
        <v>3298</v>
      </c>
      <c r="J9" s="10">
        <f t="shared" si="3"/>
        <v>258194055239.64926</v>
      </c>
      <c r="K9" s="11">
        <f t="shared" si="4"/>
        <v>2.4699999999999944E-2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11"/>
      <c r="H10" s="10"/>
      <c r="I10" s="10">
        <f t="shared" si="5"/>
        <v>3298</v>
      </c>
      <c r="J10" s="10">
        <f t="shared" si="3"/>
        <v>251970386688.44467</v>
      </c>
      <c r="K10" s="11">
        <f t="shared" si="4"/>
        <v>2.3800000000000043E-2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11"/>
      <c r="H11" s="10"/>
      <c r="I11" s="10">
        <f t="shared" si="5"/>
        <v>3298</v>
      </c>
      <c r="J11" s="10">
        <f t="shared" si="3"/>
        <v>246112899676.15225</v>
      </c>
      <c r="K11" s="11">
        <f t="shared" si="4"/>
        <v>2.3500000000000298E-2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11"/>
      <c r="H12" s="10"/>
      <c r="I12" s="10">
        <f t="shared" si="5"/>
        <v>3298</v>
      </c>
      <c r="J12" s="10">
        <f t="shared" si="3"/>
        <v>240462041696.2894</v>
      </c>
      <c r="K12" s="11">
        <f t="shared" si="4"/>
        <v>2.3099999999999898E-2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11"/>
      <c r="H13" s="10"/>
      <c r="I13" s="10">
        <f t="shared" si="5"/>
        <v>3298</v>
      </c>
      <c r="J13" s="10">
        <f t="shared" si="3"/>
        <v>235032784377.17664</v>
      </c>
      <c r="K13" s="11">
        <f t="shared" si="4"/>
        <v>2.2799999999999931E-2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11"/>
      <c r="H14" s="10"/>
      <c r="I14" s="10">
        <f t="shared" si="5"/>
        <v>3298</v>
      </c>
      <c r="J14" s="10">
        <f t="shared" si="3"/>
        <v>229793492742.64438</v>
      </c>
      <c r="K14" s="11">
        <f t="shared" si="4"/>
        <v>2.2599999999999953E-2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11"/>
      <c r="H15" s="10"/>
      <c r="I15" s="10">
        <f t="shared" si="5"/>
        <v>3298</v>
      </c>
      <c r="J15" s="10">
        <f t="shared" si="3"/>
        <v>224714935206.96692</v>
      </c>
      <c r="K15" s="11">
        <f t="shared" si="4"/>
        <v>2.2399999999999975E-2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11"/>
      <c r="H16" s="10"/>
      <c r="I16" s="10">
        <f t="shared" si="5"/>
        <v>3298</v>
      </c>
      <c r="J16" s="10">
        <f t="shared" si="3"/>
        <v>219791603293.19928</v>
      </c>
      <c r="K16" s="11">
        <f t="shared" si="4"/>
        <v>2.2299999999999986E-2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11"/>
      <c r="H17" s="10"/>
      <c r="I17" s="10">
        <f t="shared" si="5"/>
        <v>3298</v>
      </c>
      <c r="J17" s="10">
        <f t="shared" si="3"/>
        <v>214997166480.68011</v>
      </c>
      <c r="K17" s="11">
        <f t="shared" si="4"/>
        <v>2.200000000000002E-2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11"/>
      <c r="H18" s="10"/>
      <c r="I18" s="10">
        <f t="shared" si="5"/>
        <v>3298</v>
      </c>
      <c r="J18" s="10">
        <f t="shared" si="3"/>
        <v>210369047437.06467</v>
      </c>
      <c r="K18" s="11">
        <f t="shared" si="4"/>
        <v>2.2499999999999742E-2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11"/>
      <c r="H19" s="10"/>
      <c r="I19" s="10">
        <f t="shared" si="5"/>
        <v>3298</v>
      </c>
      <c r="J19" s="10">
        <f t="shared" si="3"/>
        <v>205739899693.95081</v>
      </c>
      <c r="K19" s="11">
        <f t="shared" si="4"/>
        <v>2.2799999999999931E-2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11"/>
      <c r="H20" s="10"/>
      <c r="I20" s="10">
        <f t="shared" si="5"/>
        <v>3298</v>
      </c>
      <c r="J20" s="10">
        <f t="shared" si="3"/>
        <v>201153597667.14001</v>
      </c>
      <c r="K20" s="11">
        <f t="shared" si="4"/>
        <v>2.7400000000000091E-2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11"/>
      <c r="H21" s="10"/>
      <c r="I21" s="10">
        <f t="shared" si="5"/>
        <v>3298</v>
      </c>
      <c r="J21" s="10">
        <f t="shared" si="3"/>
        <v>195788979625.40393</v>
      </c>
      <c r="K21" s="11">
        <f t="shared" si="4"/>
        <v>3.279999999999994E-2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11"/>
      <c r="H22" s="10"/>
      <c r="I22" s="10">
        <f t="shared" si="5"/>
        <v>3298</v>
      </c>
      <c r="J22" s="10">
        <f t="shared" si="3"/>
        <v>189571049211.27414</v>
      </c>
      <c r="K22" s="11">
        <f t="shared" si="4"/>
        <v>5.9799999999999853E-2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11"/>
      <c r="H23" s="10"/>
      <c r="I23" s="10">
        <f t="shared" si="5"/>
        <v>3298</v>
      </c>
      <c r="J23" s="10">
        <f t="shared" si="3"/>
        <v>178874362343.15356</v>
      </c>
      <c r="K23" s="11">
        <f t="shared" si="4"/>
        <v>6.7600000000000104E-2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11"/>
      <c r="H24" s="10"/>
      <c r="I24" s="10">
        <f t="shared" si="5"/>
        <v>3298</v>
      </c>
      <c r="J24" s="10">
        <f t="shared" si="3"/>
        <v>167548110100.36862</v>
      </c>
      <c r="K24" s="11">
        <f t="shared" si="4"/>
        <v>3.1700000000000061E-2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11"/>
      <c r="H25" s="10"/>
      <c r="I25" s="10">
        <f t="shared" si="5"/>
        <v>3298</v>
      </c>
      <c r="J25" s="10">
        <f t="shared" si="3"/>
        <v>162400029175.5051</v>
      </c>
      <c r="K25" s="11">
        <f t="shared" si="4"/>
        <v>1.9400000000000084E-2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11"/>
      <c r="H26" s="10"/>
      <c r="I26" s="10">
        <f t="shared" si="5"/>
        <v>3298</v>
      </c>
      <c r="J26" s="10">
        <f t="shared" si="3"/>
        <v>159309426305.18451</v>
      </c>
      <c r="K26" s="11">
        <f t="shared" si="4"/>
        <v>1.9500000000000295E-2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11"/>
      <c r="H27" s="10"/>
      <c r="I27" s="10">
        <f t="shared" si="5"/>
        <v>3298</v>
      </c>
      <c r="J27" s="10">
        <f t="shared" si="3"/>
        <v>156262311236.0809</v>
      </c>
      <c r="K27" s="11">
        <f t="shared" si="4"/>
        <v>1.4399999999999746E-2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11"/>
      <c r="H28" s="10"/>
      <c r="I28" s="10">
        <f t="shared" si="5"/>
        <v>3298</v>
      </c>
      <c r="J28" s="10">
        <f t="shared" si="3"/>
        <v>154044076533.99146</v>
      </c>
      <c r="K28" s="11">
        <f t="shared" si="4"/>
        <v>1.639999999999997E-2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11"/>
      <c r="H29" s="10"/>
      <c r="I29" s="10">
        <f t="shared" si="5"/>
        <v>3298</v>
      </c>
      <c r="J29" s="10">
        <f t="shared" si="3"/>
        <v>151558516857.52798</v>
      </c>
      <c r="K29" s="11">
        <f t="shared" si="4"/>
        <v>1.7700000000000049E-2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11"/>
      <c r="H30" s="10"/>
      <c r="I30" s="10">
        <f t="shared" si="5"/>
        <v>3298</v>
      </c>
      <c r="J30" s="10">
        <f t="shared" si="3"/>
        <v>148922587066.45178</v>
      </c>
      <c r="K30" s="11">
        <f t="shared" si="4"/>
        <v>1.399999999999979E-2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11"/>
      <c r="H31" s="10"/>
      <c r="I31" s="10">
        <f t="shared" si="5"/>
        <v>3298</v>
      </c>
      <c r="J31" s="10">
        <f t="shared" si="3"/>
        <v>146866456673.02939</v>
      </c>
      <c r="K31" s="11">
        <f t="shared" si="4"/>
        <v>1.7500000000000071E-2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11"/>
      <c r="H32" s="10"/>
      <c r="I32" s="10">
        <f t="shared" si="5"/>
        <v>3298</v>
      </c>
      <c r="J32" s="10">
        <f t="shared" si="3"/>
        <v>144340497958.75122</v>
      </c>
      <c r="K32" s="11">
        <f t="shared" si="4"/>
        <v>1.8699999999999717E-2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11"/>
      <c r="H33" s="10"/>
      <c r="I33" s="10">
        <f t="shared" si="5"/>
        <v>3298</v>
      </c>
      <c r="J33" s="10">
        <f t="shared" si="3"/>
        <v>141690878530.23584</v>
      </c>
      <c r="K33" s="11">
        <f t="shared" si="4"/>
        <v>1.9900000000000029E-2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11"/>
      <c r="H34" s="10"/>
      <c r="I34" s="10">
        <f t="shared" si="5"/>
        <v>3298</v>
      </c>
      <c r="J34" s="10">
        <f t="shared" ref="J34:J65" si="6">IF(I34="","",I34*C34)</f>
        <v>138926246230.25378</v>
      </c>
      <c r="K34" s="11">
        <f t="shared" ref="K34:K65" si="7">IFERROR(J34/J35-1,"")</f>
        <v>2.0899999999999919E-2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11"/>
      <c r="H35" s="10"/>
      <c r="I35" s="10">
        <f t="shared" ref="I35:I66" si="8">IF(H35&lt;&gt;"",H35,I34/(1+IF(G34="",0,G34)))</f>
        <v>3298</v>
      </c>
      <c r="J35" s="10">
        <f t="shared" si="6"/>
        <v>136082129719.12411</v>
      </c>
      <c r="K35" s="11">
        <f t="shared" si="7"/>
        <v>2.1900000000000031E-2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11"/>
      <c r="H36" s="10"/>
      <c r="I36" s="10">
        <f t="shared" si="8"/>
        <v>3298</v>
      </c>
      <c r="J36" s="10">
        <f t="shared" si="6"/>
        <v>133165798727.00275</v>
      </c>
      <c r="K36" s="11">
        <f t="shared" si="7"/>
        <v>2.0299999999999985E-2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11"/>
      <c r="H37" s="10"/>
      <c r="I37" s="10">
        <f t="shared" si="8"/>
        <v>3298</v>
      </c>
      <c r="J37" s="10">
        <f t="shared" si="6"/>
        <v>130516317482.11578</v>
      </c>
      <c r="K37" s="11">
        <f t="shared" si="7"/>
        <v>2.750000000000008E-2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11"/>
      <c r="H38" s="10"/>
      <c r="I38" s="10">
        <f t="shared" si="8"/>
        <v>3298</v>
      </c>
      <c r="J38" s="10">
        <f t="shared" si="6"/>
        <v>127023180031.25624</v>
      </c>
      <c r="K38" s="11">
        <f t="shared" si="7"/>
        <v>3.7900000000000045E-2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11"/>
      <c r="H39" s="10"/>
      <c r="I39" s="10">
        <f t="shared" si="8"/>
        <v>3298</v>
      </c>
      <c r="J39" s="10">
        <f t="shared" si="6"/>
        <v>122384796253.25777</v>
      </c>
      <c r="K39" s="11">
        <f t="shared" si="7"/>
        <v>3.7700000000000067E-2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11"/>
      <c r="H40" s="10"/>
      <c r="I40" s="10">
        <f t="shared" si="8"/>
        <v>3298</v>
      </c>
      <c r="J40" s="10">
        <f t="shared" si="6"/>
        <v>117938514265.45027</v>
      </c>
      <c r="K40" s="11">
        <f t="shared" si="7"/>
        <v>3.5600000000000076E-2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11"/>
      <c r="H41" s="10"/>
      <c r="I41" s="10">
        <f t="shared" si="8"/>
        <v>3298</v>
      </c>
      <c r="J41" s="10">
        <f t="shared" si="6"/>
        <v>113884235482.28107</v>
      </c>
      <c r="K41" s="11">
        <f t="shared" si="7"/>
        <v>3.3599999999999852E-2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11"/>
      <c r="H42" s="10"/>
      <c r="I42" s="10">
        <f t="shared" si="8"/>
        <v>3298</v>
      </c>
      <c r="J42" s="10">
        <f t="shared" si="6"/>
        <v>110182116372.17596</v>
      </c>
      <c r="K42" s="11">
        <f t="shared" si="7"/>
        <v>3.2500000000000195E-2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11"/>
      <c r="H43" s="10"/>
      <c r="I43" s="10">
        <f t="shared" si="8"/>
        <v>3298</v>
      </c>
      <c r="J43" s="10">
        <f t="shared" si="6"/>
        <v>106713914161.91376</v>
      </c>
      <c r="K43" s="11">
        <f t="shared" si="7"/>
        <v>3.0999999999999917E-2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11"/>
      <c r="H44" s="10"/>
      <c r="I44" s="10">
        <f t="shared" si="8"/>
        <v>3298</v>
      </c>
      <c r="J44" s="10">
        <f t="shared" si="6"/>
        <v>103505251369.46049</v>
      </c>
      <c r="K44" s="11">
        <f t="shared" si="7"/>
        <v>2.9600000000000071E-2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11"/>
      <c r="H45" s="10"/>
      <c r="I45" s="10">
        <f t="shared" si="8"/>
        <v>3298</v>
      </c>
      <c r="J45" s="10">
        <f t="shared" si="6"/>
        <v>100529575922.16441</v>
      </c>
      <c r="K45" s="11">
        <f t="shared" si="7"/>
        <v>2.7600000000000069E-2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11"/>
      <c r="H46" s="10"/>
      <c r="I46" s="10">
        <f t="shared" si="8"/>
        <v>3298</v>
      </c>
      <c r="J46" s="10">
        <f t="shared" si="6"/>
        <v>97829482213.083313</v>
      </c>
      <c r="K46" s="11">
        <f t="shared" si="7"/>
        <v>2.4599999999999955E-2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11"/>
      <c r="H47" s="10"/>
      <c r="I47" s="10">
        <f t="shared" si="8"/>
        <v>3298</v>
      </c>
      <c r="J47" s="10">
        <f t="shared" si="6"/>
        <v>95480658025.652267</v>
      </c>
      <c r="K47" s="11">
        <f t="shared" si="7"/>
        <v>2.2499999999999964E-2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11"/>
      <c r="H48" s="10"/>
      <c r="I48" s="10">
        <f t="shared" si="8"/>
        <v>3298</v>
      </c>
      <c r="J48" s="10">
        <f t="shared" si="6"/>
        <v>93379616651.004669</v>
      </c>
      <c r="K48" s="11">
        <f t="shared" si="7"/>
        <v>2.1800000000000042E-2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11"/>
      <c r="H49" s="10"/>
      <c r="I49" s="10">
        <f t="shared" si="8"/>
        <v>3298</v>
      </c>
      <c r="J49" s="10">
        <f t="shared" si="6"/>
        <v>91387371942.654785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11"/>
      <c r="H50" s="10"/>
      <c r="I50" s="10">
        <f t="shared" si="8"/>
        <v>3298</v>
      </c>
      <c r="J50" s="10">
        <f t="shared" si="6"/>
        <v>89463898132.799591</v>
      </c>
      <c r="K50" s="11">
        <f t="shared" si="7"/>
        <v>2.1099999999999897E-2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11"/>
      <c r="H51" s="10"/>
      <c r="I51" s="10">
        <f t="shared" si="8"/>
        <v>3298</v>
      </c>
      <c r="J51" s="10">
        <f t="shared" si="6"/>
        <v>87615217052.981689</v>
      </c>
      <c r="K51" s="11">
        <f t="shared" si="7"/>
        <v>2.0899999999999919E-2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11"/>
      <c r="H52" s="10"/>
      <c r="I52" s="10">
        <f t="shared" si="8"/>
        <v>3298</v>
      </c>
      <c r="J52" s="10">
        <f t="shared" si="6"/>
        <v>85821546726.399933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11"/>
      <c r="H53" s="10"/>
      <c r="I53" s="10">
        <f t="shared" si="8"/>
        <v>3298</v>
      </c>
      <c r="J53" s="10">
        <f t="shared" si="6"/>
        <v>84089307002.155518</v>
      </c>
      <c r="K53" s="11">
        <f t="shared" si="7"/>
        <v>2.0199999999999996E-2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11"/>
      <c r="H54" s="10"/>
      <c r="I54" s="10">
        <f t="shared" si="8"/>
        <v>3298</v>
      </c>
      <c r="J54" s="10">
        <f t="shared" si="6"/>
        <v>82424335426.539429</v>
      </c>
      <c r="K54" s="11">
        <f t="shared" si="7"/>
        <v>2.0000000000000018E-2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11"/>
      <c r="H55" s="10"/>
      <c r="I55" s="10">
        <f t="shared" si="8"/>
        <v>3298</v>
      </c>
      <c r="J55" s="10">
        <f t="shared" si="6"/>
        <v>80808171986.80336</v>
      </c>
      <c r="K55" s="11">
        <f t="shared" si="7"/>
        <v>1.9500000000000073E-2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11"/>
      <c r="H56" s="10"/>
      <c r="I56" s="10">
        <f t="shared" si="8"/>
        <v>3298</v>
      </c>
      <c r="J56" s="10">
        <f t="shared" si="6"/>
        <v>79262552218.541794</v>
      </c>
      <c r="K56" s="11">
        <f t="shared" si="7"/>
        <v>1.7900000000000249E-2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11"/>
      <c r="H57" s="10"/>
      <c r="I57" s="10">
        <f t="shared" si="8"/>
        <v>3298</v>
      </c>
      <c r="J57" s="10">
        <f t="shared" si="6"/>
        <v>77868702444.780212</v>
      </c>
      <c r="K57" s="11">
        <f t="shared" si="7"/>
        <v>1.7799999999999816E-2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11"/>
      <c r="H58" s="10"/>
      <c r="I58" s="10">
        <f t="shared" si="8"/>
        <v>3298</v>
      </c>
      <c r="J58" s="10">
        <f t="shared" si="6"/>
        <v>76506879981.116348</v>
      </c>
      <c r="K58" s="11">
        <f t="shared" si="7"/>
        <v>1.7500000000000071E-2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11"/>
      <c r="H59" s="10"/>
      <c r="I59" s="10">
        <f t="shared" si="8"/>
        <v>3298</v>
      </c>
      <c r="J59" s="10">
        <f t="shared" si="6"/>
        <v>75191036836.477982</v>
      </c>
      <c r="K59" s="11">
        <f t="shared" si="7"/>
        <v>1.6999999999999904E-2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11"/>
      <c r="H60" s="10"/>
      <c r="I60" s="10">
        <f t="shared" si="8"/>
        <v>3298</v>
      </c>
      <c r="J60" s="10">
        <f t="shared" si="6"/>
        <v>73934156181.394287</v>
      </c>
      <c r="K60" s="11">
        <f t="shared" si="7"/>
        <v>1.6999999999999904E-2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11"/>
      <c r="H61" s="10"/>
      <c r="I61" s="10">
        <f t="shared" si="8"/>
        <v>3298</v>
      </c>
      <c r="J61" s="10">
        <f t="shared" si="6"/>
        <v>72698285330.771179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11"/>
      <c r="H62" s="10"/>
      <c r="I62" s="10">
        <f t="shared" si="8"/>
        <v>3298</v>
      </c>
      <c r="J62" s="10">
        <f t="shared" si="6"/>
        <v>71483073088.270584</v>
      </c>
      <c r="K62" s="11">
        <f t="shared" si="7"/>
        <v>1.6999999999999682E-2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11"/>
      <c r="H63" s="10"/>
      <c r="I63" s="10">
        <f t="shared" si="8"/>
        <v>3298</v>
      </c>
      <c r="J63" s="10">
        <f t="shared" si="6"/>
        <v>70288174128.093018</v>
      </c>
      <c r="K63" s="11">
        <f t="shared" si="7"/>
        <v>1.6500000000000181E-2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11"/>
      <c r="H64" s="10"/>
      <c r="I64" s="10">
        <f t="shared" si="8"/>
        <v>3298</v>
      </c>
      <c r="J64" s="10">
        <f t="shared" si="6"/>
        <v>69147244592.319733</v>
      </c>
      <c r="K64" s="11">
        <f t="shared" si="7"/>
        <v>1.6499999999999959E-2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11"/>
      <c r="H65" s="10"/>
      <c r="I65" s="10">
        <f t="shared" si="8"/>
        <v>3298</v>
      </c>
      <c r="J65" s="10">
        <f t="shared" si="6"/>
        <v>68024834817.825615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11"/>
      <c r="H66" s="10"/>
      <c r="I66" s="10">
        <f t="shared" si="8"/>
        <v>3298</v>
      </c>
      <c r="J66" s="10">
        <f t="shared" ref="J66:J97" si="9">IF(I66="","",I66*C66)</f>
        <v>66953577576.600006</v>
      </c>
      <c r="K66" s="11">
        <f t="shared" ref="K66:K97" si="10">IFERROR(J66/J67-1,"")</f>
        <v>1.5500000000000069E-2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3298</v>
      </c>
      <c r="J67" s="10">
        <f t="shared" si="9"/>
        <v>65931637200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5">
        <v>137992639</v>
      </c>
      <c r="G2" s="11"/>
      <c r="H2" s="10"/>
      <c r="I2" s="10">
        <f>IF(H2&lt;&gt;"",H2,4921)</f>
        <v>4921</v>
      </c>
      <c r="J2" s="10">
        <f t="shared" ref="J2:J33" si="3">IF(I2="","",I2*C2)</f>
        <v>679085732014.57178</v>
      </c>
      <c r="K2" s="11">
        <f t="shared" ref="K2:K33" si="4">IFERROR(J2/J3-1,"")</f>
        <v>1.0599999999999943E-2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11"/>
      <c r="H3" s="10"/>
      <c r="I3" s="10">
        <f t="shared" ref="I3:I34" si="5">IF(H3&lt;&gt;"",H3,I2/(1+IF(G2="",0,G2)))</f>
        <v>4921</v>
      </c>
      <c r="J3" s="10">
        <f t="shared" si="3"/>
        <v>671962925009.47144</v>
      </c>
      <c r="K3" s="11">
        <f t="shared" si="4"/>
        <v>1.010000000000022E-2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11"/>
      <c r="H4" s="10"/>
      <c r="I4" s="10">
        <f t="shared" si="5"/>
        <v>4921</v>
      </c>
      <c r="J4" s="10">
        <f t="shared" si="3"/>
        <v>665243961003.33765</v>
      </c>
      <c r="K4" s="11">
        <f t="shared" si="4"/>
        <v>1.0000000000000009E-2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11"/>
      <c r="H5" s="10"/>
      <c r="I5" s="10">
        <f t="shared" si="5"/>
        <v>4921</v>
      </c>
      <c r="J5" s="10">
        <f t="shared" si="3"/>
        <v>658657387132.01746</v>
      </c>
      <c r="K5" s="11">
        <f t="shared" si="4"/>
        <v>1.089999999999991E-2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11"/>
      <c r="H6" s="10"/>
      <c r="I6" s="10">
        <f t="shared" si="5"/>
        <v>4921</v>
      </c>
      <c r="J6" s="10">
        <f t="shared" si="3"/>
        <v>651555432913.26294</v>
      </c>
      <c r="K6" s="11">
        <f t="shared" si="4"/>
        <v>1.0299999999999976E-2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11"/>
      <c r="H7" s="10"/>
      <c r="I7" s="10">
        <f t="shared" si="5"/>
        <v>4921</v>
      </c>
      <c r="J7" s="10">
        <f t="shared" si="3"/>
        <v>644912830756.47131</v>
      </c>
      <c r="K7" s="11">
        <f t="shared" si="4"/>
        <v>1.1400000000000077E-2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11"/>
      <c r="H8" s="10"/>
      <c r="I8" s="10">
        <f t="shared" si="5"/>
        <v>4921</v>
      </c>
      <c r="J8" s="10">
        <f t="shared" si="3"/>
        <v>637643692660.14563</v>
      </c>
      <c r="K8" s="11">
        <f t="shared" si="4"/>
        <v>1.0499999999999954E-2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11"/>
      <c r="H9" s="10"/>
      <c r="I9" s="10">
        <f t="shared" si="5"/>
        <v>4921</v>
      </c>
      <c r="J9" s="10">
        <f t="shared" si="3"/>
        <v>631018003622.11353</v>
      </c>
      <c r="K9" s="11">
        <f t="shared" si="4"/>
        <v>9.800000000000253E-3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11"/>
      <c r="H10" s="10"/>
      <c r="I10" s="10">
        <f t="shared" si="5"/>
        <v>4921</v>
      </c>
      <c r="J10" s="10">
        <f t="shared" si="3"/>
        <v>624894042010.41138</v>
      </c>
      <c r="K10" s="11">
        <f t="shared" si="4"/>
        <v>9.1999999999998749E-3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11"/>
      <c r="H11" s="10"/>
      <c r="I11" s="10">
        <f t="shared" si="5"/>
        <v>4921</v>
      </c>
      <c r="J11" s="10">
        <f t="shared" si="3"/>
        <v>619197425694.02637</v>
      </c>
      <c r="K11" s="11">
        <f t="shared" si="4"/>
        <v>8.999999999999897E-3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11"/>
      <c r="H12" s="10"/>
      <c r="I12" s="10">
        <f t="shared" si="5"/>
        <v>4921</v>
      </c>
      <c r="J12" s="10">
        <f t="shared" si="3"/>
        <v>613674356485.65552</v>
      </c>
      <c r="K12" s="11">
        <f t="shared" si="4"/>
        <v>9.6000000000000529E-3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11"/>
      <c r="H13" s="10"/>
      <c r="I13" s="10">
        <f t="shared" si="5"/>
        <v>4921</v>
      </c>
      <c r="J13" s="10">
        <f t="shared" si="3"/>
        <v>607839101114.9519</v>
      </c>
      <c r="K13" s="11">
        <f t="shared" si="4"/>
        <v>9.6000000000000529E-3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11"/>
      <c r="H14" s="10"/>
      <c r="I14" s="10">
        <f t="shared" si="5"/>
        <v>4921</v>
      </c>
      <c r="J14" s="10">
        <f t="shared" si="3"/>
        <v>602059331532.24231</v>
      </c>
      <c r="K14" s="11">
        <f t="shared" si="4"/>
        <v>9.200000000000097E-3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11"/>
      <c r="H15" s="10"/>
      <c r="I15" s="10">
        <f t="shared" si="5"/>
        <v>4921</v>
      </c>
      <c r="J15" s="10">
        <f t="shared" si="3"/>
        <v>596570879441.38159</v>
      </c>
      <c r="K15" s="11">
        <f t="shared" si="4"/>
        <v>9.200000000000097E-3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11"/>
      <c r="H16" s="10"/>
      <c r="I16" s="10">
        <f t="shared" si="5"/>
        <v>4921</v>
      </c>
      <c r="J16" s="10">
        <f t="shared" si="3"/>
        <v>591132460802.00305</v>
      </c>
      <c r="K16" s="11">
        <f t="shared" si="4"/>
        <v>9.300000000000086E-3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11"/>
      <c r="H17" s="10"/>
      <c r="I17" s="10">
        <f t="shared" si="5"/>
        <v>4921</v>
      </c>
      <c r="J17" s="10">
        <f t="shared" si="3"/>
        <v>585685584862.77917</v>
      </c>
      <c r="K17" s="11">
        <f t="shared" si="4"/>
        <v>2.1999999999997577E-3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11"/>
      <c r="H18" s="10"/>
      <c r="I18" s="10">
        <f t="shared" si="5"/>
        <v>4921</v>
      </c>
      <c r="J18" s="10">
        <f t="shared" si="3"/>
        <v>584399905071.6217</v>
      </c>
      <c r="K18" s="11">
        <f t="shared" si="4"/>
        <v>-4.7999999999999154E-3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11"/>
      <c r="H19" s="10"/>
      <c r="I19" s="10">
        <f t="shared" si="5"/>
        <v>4921</v>
      </c>
      <c r="J19" s="10">
        <f t="shared" si="3"/>
        <v>587218554131.45264</v>
      </c>
      <c r="K19" s="11">
        <f t="shared" si="4"/>
        <v>-4.1000000000001036E-3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11"/>
      <c r="H20" s="10"/>
      <c r="I20" s="10">
        <f t="shared" si="5"/>
        <v>4921</v>
      </c>
      <c r="J20" s="10">
        <f t="shared" si="3"/>
        <v>589636061985.59363</v>
      </c>
      <c r="K20" s="11">
        <f t="shared" si="4"/>
        <v>-2.0000000000000018E-3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11"/>
      <c r="H21" s="10"/>
      <c r="I21" s="10">
        <f t="shared" si="5"/>
        <v>4921</v>
      </c>
      <c r="J21" s="10">
        <f t="shared" si="3"/>
        <v>590817697380.35437</v>
      </c>
      <c r="K21" s="11">
        <f t="shared" si="4"/>
        <v>9.6000000000000529E-3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11"/>
      <c r="H22" s="10"/>
      <c r="I22" s="10">
        <f t="shared" si="5"/>
        <v>4921</v>
      </c>
      <c r="J22" s="10">
        <f t="shared" si="3"/>
        <v>585199779497.1814</v>
      </c>
      <c r="K22" s="11">
        <f t="shared" si="4"/>
        <v>1.089999999999991E-2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11"/>
      <c r="H23" s="10"/>
      <c r="I23" s="10">
        <f t="shared" si="5"/>
        <v>4921</v>
      </c>
      <c r="J23" s="10">
        <f t="shared" si="3"/>
        <v>578889879807.2821</v>
      </c>
      <c r="K23" s="11">
        <f t="shared" si="4"/>
        <v>7.4000000000000732E-3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11"/>
      <c r="H24" s="10"/>
      <c r="I24" s="10">
        <f t="shared" si="5"/>
        <v>4921</v>
      </c>
      <c r="J24" s="10">
        <f t="shared" si="3"/>
        <v>574637561849.59509</v>
      </c>
      <c r="K24" s="11">
        <f t="shared" si="4"/>
        <v>3.3000000000000806E-3</v>
      </c>
      <c r="L24" t="inlineStr">
        <is>
          <t xml:space="preserve">Zenashan Wars &amp; war with Ukhdari (1743-50).</t>
        </is>
      </c>
      <c r="M24" t="inlineStr">
        <is>
          <t xml:space="preserve">Zenashan Wars (1743-50): Ealdorii's costly interventions in Zenashan and war with Ukhdari.</t>
        </is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11"/>
      <c r="H25" s="10"/>
      <c r="I25" s="10">
        <f t="shared" si="5"/>
        <v>4921</v>
      </c>
      <c r="J25" s="10">
        <f t="shared" si="3"/>
        <v>572747495115.71313</v>
      </c>
      <c r="K25" s="11">
        <f t="shared" si="4"/>
        <v>9.300000000000086E-3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11"/>
      <c r="H26" s="10"/>
      <c r="I26" s="10">
        <f t="shared" si="5"/>
        <v>4921</v>
      </c>
      <c r="J26" s="10">
        <f t="shared" si="3"/>
        <v>567470023893.50354</v>
      </c>
      <c r="K26" s="11">
        <f t="shared" si="4"/>
        <v>1.6000000000000014E-2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11"/>
      <c r="H27" s="10"/>
      <c r="I27" s="10">
        <f t="shared" si="5"/>
        <v>4921</v>
      </c>
      <c r="J27" s="10">
        <f t="shared" si="3"/>
        <v>558533488084.15698</v>
      </c>
      <c r="K27" s="11">
        <f t="shared" si="4"/>
        <v>1.4699999999999935E-2</v>
      </c>
      <c r="L27" t="inlineStr">
        <is>
          <t xml:space="preserve">Collapse of the Huan - secession &amp; transition shock.</t>
        </is>
      </c>
      <c r="M27" t="inlineStr">
        <is>
          <t xml:space="preserve">Collapse of the Huan (1740): dissolution of the Estijan Huan, hyperinflating its currency and breaking the empire apart.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11"/>
      <c r="H28" s="10"/>
      <c r="I28" s="10">
        <f t="shared" si="5"/>
        <v>4921</v>
      </c>
      <c r="J28" s="10">
        <f t="shared" si="3"/>
        <v>550441990819.11597</v>
      </c>
      <c r="K28" s="11">
        <f t="shared" si="4"/>
        <v>1.9299999999999873E-2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11"/>
      <c r="H29" s="10"/>
      <c r="I29" s="10">
        <f t="shared" si="5"/>
        <v>4921</v>
      </c>
      <c r="J29" s="10">
        <f t="shared" si="3"/>
        <v>540019612301.6933</v>
      </c>
      <c r="K29" s="11">
        <f t="shared" si="4"/>
        <v>2.0000000000000018E-2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11"/>
      <c r="H30" s="10"/>
      <c r="I30" s="10">
        <f t="shared" si="5"/>
        <v>4921</v>
      </c>
      <c r="J30" s="10">
        <f t="shared" si="3"/>
        <v>529430992452.6405</v>
      </c>
      <c r="K30" s="11">
        <f t="shared" si="4"/>
        <v>1.8399999999999972E-2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11"/>
      <c r="H31" s="10"/>
      <c r="I31" s="10">
        <f t="shared" si="5"/>
        <v>4921</v>
      </c>
      <c r="J31" s="10">
        <f t="shared" si="3"/>
        <v>519865467844.3053</v>
      </c>
      <c r="K31" s="11">
        <f t="shared" si="4"/>
        <v>1.0599999999999943E-2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11"/>
      <c r="H32" s="10"/>
      <c r="I32" s="10">
        <f t="shared" si="5"/>
        <v>4921</v>
      </c>
      <c r="J32" s="10">
        <f t="shared" si="3"/>
        <v>514412693295.37439</v>
      </c>
      <c r="K32" s="11">
        <f t="shared" si="4"/>
        <v>1.0599999999999943E-2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11"/>
      <c r="H33" s="10"/>
      <c r="I33" s="10">
        <f t="shared" si="5"/>
        <v>4921</v>
      </c>
      <c r="J33" s="10">
        <f t="shared" si="3"/>
        <v>509017111909.13751</v>
      </c>
      <c r="K33" s="11">
        <f t="shared" si="4"/>
        <v>1.330000000000009E-2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11"/>
      <c r="H34" s="10"/>
      <c r="I34" s="10">
        <f t="shared" si="5"/>
        <v>4921</v>
      </c>
      <c r="J34" s="10">
        <f t="shared" ref="J34:J65" si="6">IF(I34="","",I34*C34)</f>
        <v>502336042543.31146</v>
      </c>
      <c r="K34" s="11">
        <f t="shared" ref="K34:K65" si="7">IFERROR(J34/J35-1,"")</f>
        <v>1.3800000000000034E-2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11"/>
      <c r="H35" s="10"/>
      <c r="I35" s="10">
        <f t="shared" ref="I35:I66" si="8">IF(H35&lt;&gt;"",H35,I34/(1+IF(G34="",0,G34)))</f>
        <v>4921</v>
      </c>
      <c r="J35" s="10">
        <f t="shared" si="6"/>
        <v>495498167827.2948</v>
      </c>
      <c r="K35" s="11">
        <f t="shared" si="7"/>
        <v>1.5300000000000091E-2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11"/>
      <c r="H36" s="10"/>
      <c r="I36" s="10">
        <f t="shared" si="8"/>
        <v>4921</v>
      </c>
      <c r="J36" s="10">
        <f t="shared" si="6"/>
        <v>488031289104.00354</v>
      </c>
      <c r="K36" s="11">
        <f t="shared" si="7"/>
        <v>1.8100000000000005E-2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11"/>
      <c r="H37" s="10"/>
      <c r="I37" s="10">
        <f t="shared" si="8"/>
        <v>4921</v>
      </c>
      <c r="J37" s="10">
        <f t="shared" si="6"/>
        <v>479354964251.05939</v>
      </c>
      <c r="K37" s="11">
        <f t="shared" si="7"/>
        <v>1.859999999999995E-2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11"/>
      <c r="H38" s="10"/>
      <c r="I38" s="10">
        <f t="shared" si="8"/>
        <v>4921</v>
      </c>
      <c r="J38" s="10">
        <f t="shared" si="6"/>
        <v>470601771304.79028</v>
      </c>
      <c r="K38" s="11">
        <f t="shared" si="7"/>
        <v>1.980000000000004E-2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11"/>
      <c r="H39" s="10"/>
      <c r="I39" s="10">
        <f t="shared" si="8"/>
        <v>4921</v>
      </c>
      <c r="J39" s="10">
        <f t="shared" si="6"/>
        <v>461464768880.94751</v>
      </c>
      <c r="K39" s="11">
        <f t="shared" si="7"/>
        <v>2.1099999999999897E-2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11"/>
      <c r="H40" s="10"/>
      <c r="I40" s="10">
        <f t="shared" si="8"/>
        <v>4921</v>
      </c>
      <c r="J40" s="10">
        <f t="shared" si="6"/>
        <v>451929065596.85394</v>
      </c>
      <c r="K40" s="11">
        <f t="shared" si="7"/>
        <v>2.1500000000000075E-2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11"/>
      <c r="H41" s="10"/>
      <c r="I41" s="10">
        <f t="shared" si="8"/>
        <v>4921</v>
      </c>
      <c r="J41" s="10">
        <f t="shared" si="6"/>
        <v>442417097990.06744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11"/>
      <c r="H42" s="10"/>
      <c r="I42" s="10">
        <f t="shared" si="8"/>
        <v>4921</v>
      </c>
      <c r="J42" s="10">
        <f t="shared" si="6"/>
        <v>433105333323.6098</v>
      </c>
      <c r="K42" s="11">
        <f t="shared" si="7"/>
        <v>2.1400000000000086E-2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11"/>
      <c r="H43" s="10"/>
      <c r="I43" s="10">
        <f t="shared" si="8"/>
        <v>4921</v>
      </c>
      <c r="J43" s="10">
        <f t="shared" si="6"/>
        <v>424031068458.59583</v>
      </c>
      <c r="K43" s="11">
        <f t="shared" si="7"/>
        <v>2.1199999999999886E-2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11"/>
      <c r="H44" s="10"/>
      <c r="I44" s="10">
        <f t="shared" si="8"/>
        <v>4921</v>
      </c>
      <c r="J44" s="10">
        <f t="shared" si="6"/>
        <v>415228229982.95721</v>
      </c>
      <c r="K44" s="11">
        <f t="shared" si="7"/>
        <v>2.1099999999999897E-2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11"/>
      <c r="H45" s="10"/>
      <c r="I45" s="10">
        <f t="shared" si="8"/>
        <v>4921</v>
      </c>
      <c r="J45" s="10">
        <f t="shared" si="6"/>
        <v>406647958067.72815</v>
      </c>
      <c r="K45" s="11">
        <f t="shared" si="7"/>
        <v>2.079999999999993E-2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11"/>
      <c r="H46" s="10"/>
      <c r="I46" s="10">
        <f t="shared" si="8"/>
        <v>4921</v>
      </c>
      <c r="J46" s="10">
        <f t="shared" si="6"/>
        <v>398362027887.66473</v>
      </c>
      <c r="K46" s="11">
        <f t="shared" si="7"/>
        <v>2.0899999999999919E-2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11"/>
      <c r="H47" s="10"/>
      <c r="I47" s="10">
        <f t="shared" si="8"/>
        <v>4921</v>
      </c>
      <c r="J47" s="10">
        <f t="shared" si="6"/>
        <v>390206707696.80157</v>
      </c>
      <c r="K47" s="11">
        <f t="shared" si="7"/>
        <v>2.1700000000000053E-2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11"/>
      <c r="H48" s="10"/>
      <c r="I48" s="10">
        <f t="shared" si="8"/>
        <v>4921</v>
      </c>
      <c r="J48" s="10">
        <f t="shared" si="6"/>
        <v>381919064007.8316</v>
      </c>
      <c r="K48" s="11">
        <f t="shared" si="7"/>
        <v>2.2700000000000164E-2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11"/>
      <c r="H49" s="10"/>
      <c r="I49" s="10">
        <f t="shared" si="8"/>
        <v>4921</v>
      </c>
      <c r="J49" s="10">
        <f t="shared" si="6"/>
        <v>373441932148.07037</v>
      </c>
      <c r="K49" s="11">
        <f t="shared" si="7"/>
        <v>2.3099999999999898E-2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11"/>
      <c r="H50" s="10"/>
      <c r="I50" s="10">
        <f t="shared" si="8"/>
        <v>4921</v>
      </c>
      <c r="J50" s="10">
        <f t="shared" si="6"/>
        <v>365010196606.46118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11"/>
      <c r="H51" s="10"/>
      <c r="I51" s="10">
        <f t="shared" si="8"/>
        <v>4921</v>
      </c>
      <c r="J51" s="10">
        <f t="shared" si="6"/>
        <v>356733968536.41632</v>
      </c>
      <c r="K51" s="11">
        <f t="shared" si="7"/>
        <v>2.3200000000000109E-2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11"/>
      <c r="H52" s="10"/>
      <c r="I52" s="10">
        <f t="shared" si="8"/>
        <v>4921</v>
      </c>
      <c r="J52" s="10">
        <f t="shared" si="6"/>
        <v>348645395363.97211</v>
      </c>
      <c r="K52" s="11">
        <f t="shared" si="7"/>
        <v>2.330000000000032E-2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11"/>
      <c r="H53" s="10"/>
      <c r="I53" s="10">
        <f t="shared" si="8"/>
        <v>4921</v>
      </c>
      <c r="J53" s="10">
        <f t="shared" si="6"/>
        <v>340706924033.98029</v>
      </c>
      <c r="K53" s="11">
        <f t="shared" si="7"/>
        <v>2.3499999999999854E-2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11"/>
      <c r="H54" s="10"/>
      <c r="I54" s="10">
        <f t="shared" si="8"/>
        <v>4921</v>
      </c>
      <c r="J54" s="10">
        <f t="shared" si="6"/>
        <v>332884146589.13562</v>
      </c>
      <c r="K54" s="11">
        <f t="shared" si="7"/>
        <v>2.3500000000000298E-2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11"/>
      <c r="H55" s="10"/>
      <c r="I55" s="10">
        <f t="shared" si="8"/>
        <v>4921</v>
      </c>
      <c r="J55" s="10">
        <f t="shared" si="6"/>
        <v>325240983477.41626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11"/>
      <c r="H56" s="10"/>
      <c r="I56" s="10">
        <f t="shared" si="8"/>
        <v>4921</v>
      </c>
      <c r="J56" s="10">
        <f t="shared" si="6"/>
        <v>317928625100.11365</v>
      </c>
      <c r="K56" s="11">
        <f t="shared" si="7"/>
        <v>2.2499999999999964E-2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11"/>
      <c r="H57" s="10"/>
      <c r="I57" s="10">
        <f t="shared" si="8"/>
        <v>4921</v>
      </c>
      <c r="J57" s="10">
        <f t="shared" si="6"/>
        <v>310932640684.70776</v>
      </c>
      <c r="K57" s="11">
        <f t="shared" si="7"/>
        <v>2.220000000000022E-2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11"/>
      <c r="H58" s="10"/>
      <c r="I58" s="10">
        <f t="shared" si="8"/>
        <v>4921</v>
      </c>
      <c r="J58" s="10">
        <f t="shared" si="6"/>
        <v>304179848057.82404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11"/>
      <c r="H59" s="10"/>
      <c r="I59" s="10">
        <f t="shared" si="8"/>
        <v>4921</v>
      </c>
      <c r="J59" s="10">
        <f t="shared" si="6"/>
        <v>297631945262.05872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11"/>
      <c r="H60" s="10"/>
      <c r="I60" s="10">
        <f t="shared" si="8"/>
        <v>4921</v>
      </c>
      <c r="J60" s="10">
        <f t="shared" si="6"/>
        <v>291224995364.04962</v>
      </c>
      <c r="K60" s="11">
        <f t="shared" si="7"/>
        <v>2.1500000000000075E-2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11"/>
      <c r="H61" s="10"/>
      <c r="I61" s="10">
        <f t="shared" si="8"/>
        <v>4921</v>
      </c>
      <c r="J61" s="10">
        <f t="shared" si="6"/>
        <v>285095443332.40295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11"/>
      <c r="H62" s="10"/>
      <c r="I62" s="10">
        <f t="shared" si="8"/>
        <v>4921</v>
      </c>
      <c r="J62" s="10">
        <f t="shared" si="6"/>
        <v>279231580149.26837</v>
      </c>
      <c r="K62" s="11">
        <f t="shared" si="7"/>
        <v>2.0499999999999963E-2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11"/>
      <c r="H63" s="10"/>
      <c r="I63" s="10">
        <f t="shared" si="8"/>
        <v>4921</v>
      </c>
      <c r="J63" s="10">
        <f t="shared" si="6"/>
        <v>273622322537.25464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11"/>
      <c r="H64" s="10"/>
      <c r="I64" s="10">
        <f t="shared" si="8"/>
        <v>4921</v>
      </c>
      <c r="J64" s="10">
        <f t="shared" si="6"/>
        <v>268257178958.09277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11"/>
      <c r="H65" s="10"/>
      <c r="I65" s="10">
        <f t="shared" si="8"/>
        <v>4921</v>
      </c>
      <c r="J65" s="10">
        <f t="shared" si="6"/>
        <v>262997234272.63998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11"/>
      <c r="H66" s="10"/>
      <c r="I66" s="10">
        <f t="shared" si="8"/>
        <v>4921</v>
      </c>
      <c r="J66" s="10">
        <f t="shared" ref="J66:J97" si="9">IF(I66="","",I66*C66)</f>
        <v>258093458560</v>
      </c>
      <c r="K66" s="11">
        <f t="shared" ref="K66:K97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4921</v>
      </c>
      <c r="J67" s="10">
        <f t="shared" si="9"/>
        <v>253529920000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5">
        <v>29913650</v>
      </c>
      <c r="G2" s="11"/>
      <c r="H2" s="10"/>
      <c r="I2" s="10">
        <f>IF(H2&lt;&gt;"",H2,25000)</f>
        <v>25000</v>
      </c>
      <c r="J2" s="10">
        <f t="shared" ref="J2:J33" si="3">IF(I2="","",I2*C2)</f>
        <v>747886550600.83704</v>
      </c>
      <c r="K2" s="11">
        <f t="shared" ref="K2:K33" si="4">IFERROR(J2/J3-1,"")</f>
        <v>1.7000000000000348E-3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11"/>
      <c r="H3" s="10"/>
      <c r="I3" s="10">
        <f t="shared" ref="I3:I34" si="5">IF(H3&lt;&gt;"",H3,I2/(1+IF(G2="",0,G2)))</f>
        <v>25000</v>
      </c>
      <c r="J3" s="10">
        <f t="shared" si="3"/>
        <v>746617301188.81604</v>
      </c>
      <c r="K3" s="11">
        <f t="shared" si="4"/>
        <v>8.9999999999990088E-4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11"/>
      <c r="H4" s="10"/>
      <c r="I4" s="10">
        <f t="shared" si="5"/>
        <v>25000</v>
      </c>
      <c r="J4" s="10">
        <f t="shared" si="3"/>
        <v>745945949833.96558</v>
      </c>
      <c r="K4" s="11">
        <f t="shared" si="4"/>
        <v>2.6999999999999247E-3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11"/>
      <c r="H5" s="10"/>
      <c r="I5" s="10">
        <f t="shared" si="5"/>
        <v>25000</v>
      </c>
      <c r="J5" s="10">
        <f t="shared" si="3"/>
        <v>743937319072.46997</v>
      </c>
      <c r="K5" s="11">
        <f t="shared" si="4"/>
        <v>1.9000000000000128E-3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11"/>
      <c r="H6" s="10"/>
      <c r="I6" s="10">
        <f t="shared" si="5"/>
        <v>25000</v>
      </c>
      <c r="J6" s="10">
        <f t="shared" si="3"/>
        <v>742526518686.96472</v>
      </c>
      <c r="K6" s="11">
        <f t="shared" si="4"/>
        <v>1.2000000000000899E-3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11"/>
      <c r="H7" s="10"/>
      <c r="I7" s="10">
        <f t="shared" si="5"/>
        <v>25000</v>
      </c>
      <c r="J7" s="10">
        <f t="shared" si="3"/>
        <v>741636554821.1792</v>
      </c>
      <c r="K7" s="11">
        <f t="shared" si="4"/>
        <v>-1.5000000000000568E-3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11"/>
      <c r="H8" s="10"/>
      <c r="I8" s="10">
        <f t="shared" si="5"/>
        <v>25000</v>
      </c>
      <c r="J8" s="10">
        <f t="shared" si="3"/>
        <v>742750680842.44287</v>
      </c>
      <c r="K8" s="11">
        <f t="shared" si="4"/>
        <v>-2.4999999999999467E-3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11"/>
      <c r="H9" s="10"/>
      <c r="I9" s="10">
        <f t="shared" si="5"/>
        <v>25000</v>
      </c>
      <c r="J9" s="10">
        <f t="shared" si="3"/>
        <v>744612211370.87</v>
      </c>
      <c r="K9" s="11">
        <f t="shared" si="4"/>
        <v>-1.9000000000000128E-3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11"/>
      <c r="H10" s="10"/>
      <c r="I10" s="10">
        <f t="shared" si="5"/>
        <v>25000</v>
      </c>
      <c r="J10" s="10">
        <f t="shared" si="3"/>
        <v>746029667739.5752</v>
      </c>
      <c r="K10" s="11">
        <f t="shared" si="4"/>
        <v>-1.2999999999999678E-3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11"/>
      <c r="H11" s="10"/>
      <c r="I11" s="10">
        <f t="shared" si="5"/>
        <v>25000</v>
      </c>
      <c r="J11" s="10">
        <f t="shared" si="3"/>
        <v>747000768738.93579</v>
      </c>
      <c r="K11" s="11">
        <f t="shared" si="4"/>
        <v>-1.0999999999999899E-3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11"/>
      <c r="H12" s="10"/>
      <c r="I12" s="10">
        <f t="shared" si="5"/>
        <v>25000</v>
      </c>
      <c r="J12" s="10">
        <f t="shared" si="3"/>
        <v>747823374450.83167</v>
      </c>
      <c r="K12" s="11">
        <f t="shared" si="4"/>
        <v>-6.0000000000004494E-4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11"/>
      <c r="H13" s="10"/>
      <c r="I13" s="10">
        <f t="shared" si="5"/>
        <v>25000</v>
      </c>
      <c r="J13" s="10">
        <f t="shared" si="3"/>
        <v>748272337853.54382</v>
      </c>
      <c r="K13" s="11">
        <f t="shared" si="4"/>
        <v>-1.9999999999986695E-4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11"/>
      <c r="H14" s="10"/>
      <c r="I14" s="10">
        <f t="shared" si="5"/>
        <v>25000</v>
      </c>
      <c r="J14" s="10">
        <f t="shared" si="3"/>
        <v>748422022257.99536</v>
      </c>
      <c r="K14" s="11">
        <f t="shared" si="4"/>
        <v>5.9999999999993392E-4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11"/>
      <c r="H15" s="10"/>
      <c r="I15" s="10">
        <f t="shared" si="5"/>
        <v>25000</v>
      </c>
      <c r="J15" s="10">
        <f t="shared" si="3"/>
        <v>747973238315.00647</v>
      </c>
      <c r="K15" s="11">
        <f t="shared" si="4"/>
        <v>1.7000000000000348E-3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11"/>
      <c r="H16" s="10"/>
      <c r="I16" s="10">
        <f t="shared" si="5"/>
        <v>25000</v>
      </c>
      <c r="J16" s="10">
        <f t="shared" si="3"/>
        <v>746703841783.97363</v>
      </c>
      <c r="K16" s="11">
        <f t="shared" si="4"/>
        <v>1.7000000000000348E-3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11"/>
      <c r="H17" s="10"/>
      <c r="I17" s="10">
        <f t="shared" si="5"/>
        <v>25000</v>
      </c>
      <c r="J17" s="10">
        <f t="shared" si="3"/>
        <v>745436599564.71362</v>
      </c>
      <c r="K17" s="11">
        <f t="shared" si="4"/>
        <v>1.4000000000000679E-3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11"/>
      <c r="H18" s="10"/>
      <c r="I18" s="10">
        <f t="shared" si="5"/>
        <v>25000</v>
      </c>
      <c r="J18" s="10">
        <f t="shared" si="3"/>
        <v>744394447338.4397</v>
      </c>
      <c r="K18" s="11">
        <f t="shared" si="4"/>
        <v>5.9999999999993392E-4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11"/>
      <c r="H19" s="10"/>
      <c r="I19" s="10">
        <f t="shared" si="5"/>
        <v>25000</v>
      </c>
      <c r="J19" s="10">
        <f t="shared" si="3"/>
        <v>743948078491.34497</v>
      </c>
      <c r="K19" s="11">
        <f t="shared" si="4"/>
        <v>1.9999999999997797E-4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11"/>
      <c r="H20" s="10"/>
      <c r="I20" s="10">
        <f t="shared" si="5"/>
        <v>25000</v>
      </c>
      <c r="J20" s="10">
        <f t="shared" si="3"/>
        <v>743799318627.61951</v>
      </c>
      <c r="K20" s="11">
        <f t="shared" si="4"/>
        <v>1.5000000000000568E-3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11"/>
      <c r="H21" s="10"/>
      <c r="I21" s="10">
        <f t="shared" si="5"/>
        <v>25000</v>
      </c>
      <c r="J21" s="10">
        <f t="shared" si="3"/>
        <v>742685290691.58203</v>
      </c>
      <c r="K21" s="11">
        <f t="shared" si="4"/>
        <v>1.2000000000000899E-3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11"/>
      <c r="H22" s="10"/>
      <c r="I22" s="10">
        <f t="shared" si="5"/>
        <v>25000</v>
      </c>
      <c r="J22" s="10">
        <f t="shared" si="3"/>
        <v>741795136527.74866</v>
      </c>
      <c r="K22" s="11">
        <f t="shared" si="4"/>
        <v>4.9999999999994493E-4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11"/>
      <c r="H23" s="10"/>
      <c r="I23" s="10">
        <f t="shared" si="5"/>
        <v>25000</v>
      </c>
      <c r="J23" s="10">
        <f t="shared" si="3"/>
        <v>741424424315.59094</v>
      </c>
      <c r="K23" s="11">
        <f t="shared" si="4"/>
        <v>-1.9000000000001238E-3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11"/>
      <c r="H24" s="10"/>
      <c r="I24" s="10">
        <f t="shared" si="5"/>
        <v>25000</v>
      </c>
      <c r="J24" s="10">
        <f t="shared" si="3"/>
        <v>742835812359.07324</v>
      </c>
      <c r="K24" s="11">
        <f t="shared" si="4"/>
        <v>-3.1999999999998696E-3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11"/>
      <c r="H25" s="10"/>
      <c r="I25" s="10">
        <f t="shared" si="5"/>
        <v>25000</v>
      </c>
      <c r="J25" s="10">
        <f t="shared" si="3"/>
        <v>745220518016.72668</v>
      </c>
      <c r="K25" s="11">
        <f t="shared" si="4"/>
        <v>-1.7000000000000348E-3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11"/>
      <c r="H26" s="10"/>
      <c r="I26" s="10">
        <f t="shared" si="5"/>
        <v>25000</v>
      </c>
      <c r="J26" s="10">
        <f t="shared" si="3"/>
        <v>746489550252.1554</v>
      </c>
      <c r="K26" s="11">
        <f t="shared" si="4"/>
        <v>-1.4999999999998348E-3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11"/>
      <c r="H27" s="10"/>
      <c r="I27" s="10">
        <f t="shared" si="5"/>
        <v>25000</v>
      </c>
      <c r="J27" s="10">
        <f t="shared" si="3"/>
        <v>747610966702.20862</v>
      </c>
      <c r="K27" s="11">
        <f t="shared" si="4"/>
        <v>-2.9999999999996696E-4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11"/>
      <c r="H28" s="10"/>
      <c r="I28" s="10">
        <f t="shared" si="5"/>
        <v>25000</v>
      </c>
      <c r="J28" s="10">
        <f t="shared" si="3"/>
        <v>747835317297.39783</v>
      </c>
      <c r="K28" s="11">
        <f t="shared" si="4"/>
        <v>4.9999999999994493E-4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11"/>
      <c r="H29" s="10"/>
      <c r="I29" s="10">
        <f t="shared" si="5"/>
        <v>25000</v>
      </c>
      <c r="J29" s="10">
        <f t="shared" si="3"/>
        <v>747461586504.14575</v>
      </c>
      <c r="K29" s="11">
        <f t="shared" si="4"/>
        <v>-2.1999999999999797E-3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11"/>
      <c r="H30" s="10"/>
      <c r="I30" s="10">
        <f t="shared" si="5"/>
        <v>25000</v>
      </c>
      <c r="J30" s="10">
        <f t="shared" si="3"/>
        <v>749109627685.05286</v>
      </c>
      <c r="K30" s="11">
        <f t="shared" si="4"/>
        <v>1.5000000000000568E-3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11"/>
      <c r="H31" s="10"/>
      <c r="I31" s="10">
        <f t="shared" si="5"/>
        <v>25000</v>
      </c>
      <c r="J31" s="10">
        <f t="shared" si="3"/>
        <v>747987646215.72925</v>
      </c>
      <c r="K31" s="11">
        <f t="shared" si="4"/>
        <v>4.9999999999994493E-4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11"/>
      <c r="H32" s="10"/>
      <c r="I32" s="10">
        <f t="shared" si="5"/>
        <v>25000</v>
      </c>
      <c r="J32" s="10">
        <f t="shared" si="3"/>
        <v>747613839296.08118</v>
      </c>
      <c r="K32" s="11">
        <f t="shared" si="4"/>
        <v>-2.2000000000000908E-3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11"/>
      <c r="H33" s="10"/>
      <c r="I33" s="10">
        <f t="shared" si="5"/>
        <v>25000</v>
      </c>
      <c r="J33" s="10">
        <f t="shared" si="3"/>
        <v>749262216171.65894</v>
      </c>
      <c r="K33" s="11">
        <f t="shared" si="4"/>
        <v>-3.4999999999998366E-3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11"/>
      <c r="H34" s="10"/>
      <c r="I34" s="10">
        <f t="shared" si="5"/>
        <v>25000</v>
      </c>
      <c r="J34" s="10">
        <f t="shared" ref="J34:J65" si="6">IF(I34="","",I34*C34)</f>
        <v>751893844627.85632</v>
      </c>
      <c r="K34" s="11">
        <f t="shared" ref="K34:K65" si="7">IFERROR(J34/J35-1,"")</f>
        <v>-2.6000000000001577E-3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11"/>
      <c r="H35" s="10"/>
      <c r="I35" s="10">
        <f t="shared" ref="I35:I66" si="8">IF(H35&lt;&gt;"",H35,I34/(1+IF(G34="",0,G34)))</f>
        <v>25000</v>
      </c>
      <c r="J35" s="10">
        <f t="shared" si="6"/>
        <v>753853864676.01404</v>
      </c>
      <c r="K35" s="11">
        <f t="shared" si="7"/>
        <v>-1.0000000000000009E-3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11"/>
      <c r="H36" s="10"/>
      <c r="I36" s="10">
        <f t="shared" si="8"/>
        <v>25000</v>
      </c>
      <c r="J36" s="10">
        <f t="shared" si="6"/>
        <v>754608473149.16321</v>
      </c>
      <c r="K36" s="11">
        <f t="shared" si="7"/>
        <v>1.5000000000000568E-3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11"/>
      <c r="H37" s="10"/>
      <c r="I37" s="10">
        <f t="shared" si="8"/>
        <v>25000</v>
      </c>
      <c r="J37" s="10">
        <f t="shared" si="6"/>
        <v>753478255765.51489</v>
      </c>
      <c r="K37" s="11">
        <f t="shared" si="7"/>
        <v>2.0999999999999908E-3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11"/>
      <c r="H38" s="10"/>
      <c r="I38" s="10">
        <f t="shared" si="8"/>
        <v>25000</v>
      </c>
      <c r="J38" s="10">
        <f t="shared" si="6"/>
        <v>751899267304.17615</v>
      </c>
      <c r="K38" s="11">
        <f t="shared" si="7"/>
        <v>3.9999999999995595E-4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11"/>
      <c r="H39" s="10"/>
      <c r="I39" s="10">
        <f t="shared" si="8"/>
        <v>25000</v>
      </c>
      <c r="J39" s="10">
        <f t="shared" si="6"/>
        <v>751598627853.03503</v>
      </c>
      <c r="K39" s="11">
        <f t="shared" si="7"/>
        <v>-9.000000000000119E-4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11"/>
      <c r="H40" s="10"/>
      <c r="I40" s="10">
        <f t="shared" si="8"/>
        <v>25000</v>
      </c>
      <c r="J40" s="10">
        <f t="shared" si="6"/>
        <v>752275675961.40027</v>
      </c>
      <c r="K40" s="11">
        <f t="shared" si="7"/>
        <v>-2.2999999999999687E-3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11"/>
      <c r="H41" s="10"/>
      <c r="I41" s="10">
        <f t="shared" si="8"/>
        <v>25000</v>
      </c>
      <c r="J41" s="10">
        <f t="shared" si="6"/>
        <v>754009898728.47571</v>
      </c>
      <c r="K41" s="11">
        <f t="shared" si="7"/>
        <v>-4.2999999999999705E-3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11"/>
      <c r="H42" s="10"/>
      <c r="I42" s="10">
        <f t="shared" si="8"/>
        <v>25000</v>
      </c>
      <c r="J42" s="10">
        <f t="shared" si="6"/>
        <v>757266143143.99487</v>
      </c>
      <c r="K42" s="11">
        <f t="shared" si="7"/>
        <v>-3.7000000000000366E-3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11"/>
      <c r="H43" s="10"/>
      <c r="I43" s="10">
        <f t="shared" si="8"/>
        <v>25000</v>
      </c>
      <c r="J43" s="10">
        <f t="shared" si="6"/>
        <v>760078433347.38025</v>
      </c>
      <c r="K43" s="11">
        <f t="shared" si="7"/>
        <v>3.9999999999995595E-4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11"/>
      <c r="H44" s="10"/>
      <c r="I44" s="10">
        <f t="shared" si="8"/>
        <v>25000</v>
      </c>
      <c r="J44" s="10">
        <f t="shared" si="6"/>
        <v>759774523537.96509</v>
      </c>
      <c r="K44" s="11">
        <f t="shared" si="7"/>
        <v>3.1000000000001027E-3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11"/>
      <c r="H45" s="10"/>
      <c r="I45" s="10">
        <f t="shared" si="8"/>
        <v>25000</v>
      </c>
      <c r="J45" s="10">
        <f t="shared" si="6"/>
        <v>757426501383.67566</v>
      </c>
      <c r="K45" s="11">
        <f t="shared" si="7"/>
        <v>1.8000000000000238E-3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11"/>
      <c r="H46" s="10"/>
      <c r="I46" s="10">
        <f t="shared" si="8"/>
        <v>25000</v>
      </c>
      <c r="J46" s="10">
        <f t="shared" si="6"/>
        <v>756065583333.67505</v>
      </c>
      <c r="K46" s="11">
        <f t="shared" si="7"/>
        <v>1.8000000000000238E-3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11"/>
      <c r="H47" s="10"/>
      <c r="I47" s="10">
        <f t="shared" si="8"/>
        <v>25000</v>
      </c>
      <c r="J47" s="10">
        <f t="shared" si="6"/>
        <v>754707110534.71252</v>
      </c>
      <c r="K47" s="11">
        <f t="shared" si="7"/>
        <v>2.1999999999999797E-3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11"/>
      <c r="H48" s="10"/>
      <c r="I48" s="10">
        <f t="shared" si="8"/>
        <v>25000</v>
      </c>
      <c r="J48" s="10">
        <f t="shared" si="6"/>
        <v>753050399655.47046</v>
      </c>
      <c r="K48" s="11">
        <f t="shared" si="7"/>
        <v>3.2000000000000917E-3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11"/>
      <c r="H49" s="10"/>
      <c r="I49" s="10">
        <f t="shared" si="8"/>
        <v>25000</v>
      </c>
      <c r="J49" s="10">
        <f t="shared" si="6"/>
        <v>750648325015.42102</v>
      </c>
      <c r="K49" s="11">
        <f t="shared" si="7"/>
        <v>3.6000000000000476E-3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11"/>
      <c r="H50" s="10"/>
      <c r="I50" s="10">
        <f t="shared" si="8"/>
        <v>25000</v>
      </c>
      <c r="J50" s="10">
        <f t="shared" si="6"/>
        <v>747955684551.03723</v>
      </c>
      <c r="K50" s="11">
        <f t="shared" si="7"/>
        <v>3.8000000000000256E-3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11"/>
      <c r="H51" s="10"/>
      <c r="I51" s="10">
        <f t="shared" si="8"/>
        <v>25000</v>
      </c>
      <c r="J51" s="10">
        <f t="shared" si="6"/>
        <v>745124212543.37244</v>
      </c>
      <c r="K51" s="11">
        <f t="shared" si="7"/>
        <v>4.0000000000000036E-3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11"/>
      <c r="H52" s="10"/>
      <c r="I52" s="10">
        <f t="shared" si="8"/>
        <v>25000</v>
      </c>
      <c r="J52" s="10">
        <f t="shared" si="6"/>
        <v>742155590182.64185</v>
      </c>
      <c r="K52" s="11">
        <f t="shared" si="7"/>
        <v>4.3999999999997375E-3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11"/>
      <c r="H53" s="10"/>
      <c r="I53" s="10">
        <f t="shared" si="8"/>
        <v>25000</v>
      </c>
      <c r="J53" s="10">
        <f t="shared" si="6"/>
        <v>738904410775.23096</v>
      </c>
      <c r="K53" s="11">
        <f t="shared" si="7"/>
        <v>4.5999999999999375E-3</v>
      </c>
      <c r="L53" t="inlineStr">
        <is>
          <t xml:space="preserve">Decolonisation shock - serial loss of colonies (Amcha, North Ayre, Disal Nila).</t>
        </is>
      </c>
      <c r="M53" t="inlineStr">
        <is>
          <t xml:space="preserve">Decolonisation (1700s): loss of colonial revenue as overseas territories broke away.</t>
        </is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11"/>
      <c r="H54" s="10"/>
      <c r="I54" s="10">
        <f t="shared" si="8"/>
        <v>25000</v>
      </c>
      <c r="J54" s="10">
        <f t="shared" si="6"/>
        <v>735521014110.32349</v>
      </c>
      <c r="K54" s="11">
        <f t="shared" si="7"/>
        <v>4.6999999999999265E-3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11"/>
      <c r="H55" s="10"/>
      <c r="I55" s="10">
        <f t="shared" si="8"/>
        <v>25000</v>
      </c>
      <c r="J55" s="10">
        <f t="shared" si="6"/>
        <v>732080236996.44031</v>
      </c>
      <c r="K55" s="11">
        <f t="shared" si="7"/>
        <v>4.7999999999999154E-3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11"/>
      <c r="H56" s="10"/>
      <c r="I56" s="10">
        <f t="shared" si="8"/>
        <v>25000</v>
      </c>
      <c r="J56" s="10">
        <f t="shared" si="6"/>
        <v>728583038412.0625</v>
      </c>
      <c r="K56" s="11">
        <f t="shared" si="7"/>
        <v>5.4000000000000714E-3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11"/>
      <c r="H57" s="10"/>
      <c r="I57" s="10">
        <f t="shared" si="8"/>
        <v>25000</v>
      </c>
      <c r="J57" s="10">
        <f t="shared" si="6"/>
        <v>724669821376.62866</v>
      </c>
      <c r="K57" s="11">
        <f t="shared" si="7"/>
        <v>4.0000000000002256E-3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11"/>
      <c r="H58" s="10"/>
      <c r="I58" s="10">
        <f t="shared" si="8"/>
        <v>25000</v>
      </c>
      <c r="J58" s="10">
        <f t="shared" si="6"/>
        <v>721782690614.17188</v>
      </c>
      <c r="K58" s="11">
        <f t="shared" si="7"/>
        <v>4.0000000000000036E-3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11"/>
      <c r="H59" s="10"/>
      <c r="I59" s="10">
        <f t="shared" si="8"/>
        <v>25000</v>
      </c>
      <c r="J59" s="10">
        <f t="shared" si="6"/>
        <v>718907062364.71301</v>
      </c>
      <c r="K59" s="11">
        <f t="shared" si="7"/>
        <v>3.4000000000000696E-3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11"/>
      <c r="H60" s="10"/>
      <c r="I60" s="10">
        <f t="shared" si="8"/>
        <v>25000</v>
      </c>
      <c r="J60" s="10">
        <f t="shared" si="6"/>
        <v>716471060758.13525</v>
      </c>
      <c r="K60" s="11">
        <f t="shared" si="7"/>
        <v>3.9999999999995595E-4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11"/>
      <c r="H61" s="10"/>
      <c r="I61" s="10">
        <f t="shared" si="8"/>
        <v>25000</v>
      </c>
      <c r="J61" s="10">
        <f t="shared" si="6"/>
        <v>716184586923.36597</v>
      </c>
      <c r="K61" s="11">
        <f t="shared" si="7"/>
        <v>-2.9999999999996696E-4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11"/>
      <c r="H62" s="10"/>
      <c r="I62" s="10">
        <f t="shared" si="8"/>
        <v>25000</v>
      </c>
      <c r="J62" s="10">
        <f t="shared" si="6"/>
        <v>716399506775.39856</v>
      </c>
      <c r="K62" s="11">
        <f t="shared" si="7"/>
        <v>2.0000000000000018E-3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11"/>
      <c r="H63" s="10"/>
      <c r="I63" s="10">
        <f t="shared" si="8"/>
        <v>25000</v>
      </c>
      <c r="J63" s="10">
        <f t="shared" si="6"/>
        <v>714969567640.11829</v>
      </c>
      <c r="K63" s="11">
        <f t="shared" si="7"/>
        <v>3.4000000000000696E-3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11"/>
      <c r="H64" s="10"/>
      <c r="I64" s="10">
        <f t="shared" si="8"/>
        <v>25000</v>
      </c>
      <c r="J64" s="10">
        <f t="shared" si="6"/>
        <v>712546908152.40002</v>
      </c>
      <c r="K64" s="11">
        <f t="shared" si="7"/>
        <v>5.6000000000000494E-3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11"/>
      <c r="H65" s="10"/>
      <c r="I65" s="10">
        <f t="shared" si="8"/>
        <v>25000</v>
      </c>
      <c r="J65" s="10">
        <f t="shared" si="6"/>
        <v>708578866500</v>
      </c>
      <c r="K65" s="11">
        <f t="shared" si="7"/>
        <v>5.5000000000000604E-3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11"/>
      <c r="H66" s="10"/>
      <c r="I66" s="10">
        <f t="shared" si="8"/>
        <v>25000</v>
      </c>
      <c r="J66" s="10">
        <f t="shared" ref="J66:J97" si="9">IF(I66="","",I66*C66)</f>
        <v>704703000000</v>
      </c>
      <c r="K66" s="11">
        <f t="shared" ref="K66:K97" si="10">IFERROR(J66/J67-1,"")</f>
        <v>6.0000000000000053E-3</v>
      </c>
    </row>
    <row r="67" spans="1:11" ht="22.5" customHeight="1">
      <c r="A67" s="3">
        <f t="shared" si="0"/>
        <v>1950</v>
      </c>
      <c r="B67" s="3">
        <v>1700</v>
      </c>
      <c r="C67" s="26">
        <v>28020000</v>
      </c>
      <c r="D67" s="11">
        <v>5.0000000000000001E-3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25000</v>
      </c>
      <c r="J67" s="10">
        <f t="shared" si="9"/>
        <v>700500000000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5">
        <v>29421790</v>
      </c>
      <c r="G2" s="11"/>
      <c r="H2" s="10"/>
      <c r="I2" s="10">
        <f>IF(H2&lt;&gt;"",H2,1198)</f>
        <v>1198</v>
      </c>
      <c r="J2" s="10">
        <f t="shared" ref="J2:J33" si="3">IF(I2="","",I2*C2)</f>
        <v>35244922094.73349</v>
      </c>
      <c r="K2" s="11">
        <f t="shared" ref="K2:K33" si="4">IFERROR(J2/J3-1,"")</f>
        <v>2.5400000000000089E-2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11"/>
      <c r="H3" s="10"/>
      <c r="I3" s="10">
        <f t="shared" ref="I3:I34" si="5">IF(H3&lt;&gt;"",H3,I2/(1+IF(G2="",0,G2)))</f>
        <v>1198</v>
      </c>
      <c r="J3" s="10">
        <f t="shared" si="3"/>
        <v>34371876433.326981</v>
      </c>
      <c r="K3" s="11">
        <f t="shared" si="4"/>
        <v>2.6399999999999979E-2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11"/>
      <c r="H4" s="10"/>
      <c r="I4" s="10">
        <f t="shared" si="5"/>
        <v>1198</v>
      </c>
      <c r="J4" s="10">
        <f t="shared" si="3"/>
        <v>33487798551.565651</v>
      </c>
      <c r="K4" s="11">
        <f t="shared" si="4"/>
        <v>2.7099999999999902E-2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11"/>
      <c r="H5" s="10"/>
      <c r="I5" s="10">
        <f t="shared" si="5"/>
        <v>1198</v>
      </c>
      <c r="J5" s="10">
        <f t="shared" si="3"/>
        <v>32604224079.024101</v>
      </c>
      <c r="K5" s="11">
        <f t="shared" si="4"/>
        <v>2.7700000000000058E-2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11"/>
      <c r="H6" s="10"/>
      <c r="I6" s="10">
        <f t="shared" si="5"/>
        <v>1198</v>
      </c>
      <c r="J6" s="10">
        <f t="shared" si="3"/>
        <v>31725429676.971977</v>
      </c>
      <c r="K6" s="11">
        <f t="shared" si="4"/>
        <v>2.8000000000000025E-2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11"/>
      <c r="H7" s="10"/>
      <c r="I7" s="10">
        <f t="shared" si="5"/>
        <v>1198</v>
      </c>
      <c r="J7" s="10">
        <f t="shared" si="3"/>
        <v>30861312915.342388</v>
      </c>
      <c r="K7" s="11">
        <f t="shared" si="4"/>
        <v>2.8000000000000025E-2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11"/>
      <c r="H8" s="10"/>
      <c r="I8" s="10">
        <f t="shared" si="5"/>
        <v>1198</v>
      </c>
      <c r="J8" s="10">
        <f t="shared" si="3"/>
        <v>30020732407.920609</v>
      </c>
      <c r="K8" s="11">
        <f t="shared" si="4"/>
        <v>2.7900000000000036E-2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11"/>
      <c r="H9" s="10"/>
      <c r="I9" s="10">
        <f t="shared" si="5"/>
        <v>1198</v>
      </c>
      <c r="J9" s="10">
        <f t="shared" si="3"/>
        <v>29205888129.11821</v>
      </c>
      <c r="K9" s="11">
        <f t="shared" si="4"/>
        <v>2.7800000000000047E-2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11"/>
      <c r="H10" s="10"/>
      <c r="I10" s="10">
        <f t="shared" si="5"/>
        <v>1198</v>
      </c>
      <c r="J10" s="10">
        <f t="shared" si="3"/>
        <v>28415925402.917114</v>
      </c>
      <c r="K10" s="11">
        <f t="shared" si="4"/>
        <v>2.7700000000000058E-2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11"/>
      <c r="H11" s="10"/>
      <c r="I11" s="10">
        <f t="shared" si="5"/>
        <v>1198</v>
      </c>
      <c r="J11" s="10">
        <f t="shared" si="3"/>
        <v>27650019852.989311</v>
      </c>
      <c r="K11" s="11">
        <f t="shared" si="4"/>
        <v>2.7600000000000291E-2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11"/>
      <c r="H12" s="10"/>
      <c r="I12" s="10">
        <f t="shared" si="5"/>
        <v>1198</v>
      </c>
      <c r="J12" s="10">
        <f t="shared" si="3"/>
        <v>26907376267.992706</v>
      </c>
      <c r="K12" s="11">
        <f t="shared" si="4"/>
        <v>2.7700000000000058E-2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11"/>
      <c r="H13" s="10"/>
      <c r="I13" s="10">
        <f t="shared" si="5"/>
        <v>1198</v>
      </c>
      <c r="J13" s="10">
        <f t="shared" si="3"/>
        <v>26182131232.842957</v>
      </c>
      <c r="K13" s="11">
        <f t="shared" si="4"/>
        <v>2.7700000000000058E-2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11"/>
      <c r="H14" s="10"/>
      <c r="I14" s="10">
        <f t="shared" si="5"/>
        <v>1198</v>
      </c>
      <c r="J14" s="10">
        <f t="shared" si="3"/>
        <v>25476434010.745308</v>
      </c>
      <c r="K14" s="11">
        <f t="shared" si="4"/>
        <v>2.7600000000000069E-2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11"/>
      <c r="H15" s="10"/>
      <c r="I15" s="10">
        <f t="shared" si="5"/>
        <v>1198</v>
      </c>
      <c r="J15" s="10">
        <f t="shared" si="3"/>
        <v>24792170115.555962</v>
      </c>
      <c r="K15" s="11">
        <f t="shared" si="4"/>
        <v>2.7400000000000091E-2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11"/>
      <c r="H16" s="10"/>
      <c r="I16" s="10">
        <f t="shared" si="5"/>
        <v>1198</v>
      </c>
      <c r="J16" s="10">
        <f t="shared" si="3"/>
        <v>24130981229.857853</v>
      </c>
      <c r="K16" s="11">
        <f t="shared" si="4"/>
        <v>2.7199999999999891E-2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11"/>
      <c r="H17" s="10"/>
      <c r="I17" s="10">
        <f t="shared" si="5"/>
        <v>1198</v>
      </c>
      <c r="J17" s="10">
        <f t="shared" si="3"/>
        <v>23491998860.84293</v>
      </c>
      <c r="K17" s="11">
        <f t="shared" si="4"/>
        <v>2.6699999999999946E-2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11"/>
      <c r="H18" s="10"/>
      <c r="I18" s="10">
        <f t="shared" si="5"/>
        <v>1198</v>
      </c>
      <c r="J18" s="10">
        <f t="shared" si="3"/>
        <v>22881074180.23077</v>
      </c>
      <c r="K18" s="11">
        <f t="shared" si="4"/>
        <v>2.6399999999999979E-2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11"/>
      <c r="H19" s="10"/>
      <c r="I19" s="10">
        <f t="shared" si="5"/>
        <v>1198</v>
      </c>
      <c r="J19" s="10">
        <f t="shared" si="3"/>
        <v>22292550838.104805</v>
      </c>
      <c r="K19" s="11">
        <f t="shared" si="4"/>
        <v>2.6100000000000012E-2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11"/>
      <c r="H20" s="10"/>
      <c r="I20" s="10">
        <f t="shared" si="5"/>
        <v>1198</v>
      </c>
      <c r="J20" s="10">
        <f t="shared" si="3"/>
        <v>21725514899.234779</v>
      </c>
      <c r="K20" s="11">
        <f t="shared" si="4"/>
        <v>2.6000000000000245E-2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11"/>
      <c r="H21" s="10"/>
      <c r="I21" s="10">
        <f t="shared" si="5"/>
        <v>1198</v>
      </c>
      <c r="J21" s="10">
        <f t="shared" si="3"/>
        <v>21174965788.727852</v>
      </c>
      <c r="K21" s="11">
        <f t="shared" si="4"/>
        <v>2.6100000000000012E-2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11"/>
      <c r="H22" s="10"/>
      <c r="I22" s="10">
        <f t="shared" si="5"/>
        <v>1198</v>
      </c>
      <c r="J22" s="10">
        <f t="shared" si="3"/>
        <v>20636356874.308403</v>
      </c>
      <c r="K22" s="11">
        <f t="shared" si="4"/>
        <v>2.6399999999999979E-2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11"/>
      <c r="H23" s="10"/>
      <c r="I23" s="10">
        <f t="shared" si="5"/>
        <v>1198</v>
      </c>
      <c r="J23" s="10">
        <f t="shared" si="3"/>
        <v>20105569830.775921</v>
      </c>
      <c r="K23" s="11">
        <f t="shared" si="4"/>
        <v>2.6399999999999979E-2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11"/>
      <c r="H24" s="10"/>
      <c r="I24" s="10">
        <f t="shared" si="5"/>
        <v>1198</v>
      </c>
      <c r="J24" s="10">
        <f t="shared" si="3"/>
        <v>19588435143.000702</v>
      </c>
      <c r="K24" s="11">
        <f t="shared" si="4"/>
        <v>2.6499999999999968E-2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11"/>
      <c r="H25" s="10"/>
      <c r="I25" s="10">
        <f t="shared" si="5"/>
        <v>1198</v>
      </c>
      <c r="J25" s="10">
        <f t="shared" si="3"/>
        <v>19082742467.609062</v>
      </c>
      <c r="K25" s="11">
        <f t="shared" si="4"/>
        <v>2.629999999999999E-2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11"/>
      <c r="H26" s="10"/>
      <c r="I26" s="10">
        <f t="shared" si="5"/>
        <v>1198</v>
      </c>
      <c r="J26" s="10">
        <f t="shared" si="3"/>
        <v>18593727436.04118</v>
      </c>
      <c r="K26" s="11">
        <f t="shared" si="4"/>
        <v>2.6399999999999979E-2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11"/>
      <c r="H27" s="10"/>
      <c r="I27" s="10">
        <f t="shared" si="5"/>
        <v>1198</v>
      </c>
      <c r="J27" s="10">
        <f t="shared" si="3"/>
        <v>18115478795.831234</v>
      </c>
      <c r="K27" s="11">
        <f t="shared" si="4"/>
        <v>2.6999999999999913E-2</v>
      </c>
      <c r="L27" t="inlineStr">
        <is>
          <t xml:space="preserve">Collapse of the Huan - secession &amp; transition shock.</t>
        </is>
      </c>
      <c r="M27" t="inlineStr">
        <is>
          <t xml:space="preserve">Collapse of the Huan (1740): dissolution of the Estijan Huan, hyperinflating its currency and breaking the empire apart.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11"/>
      <c r="H28" s="10"/>
      <c r="I28" s="10">
        <f t="shared" si="5"/>
        <v>1198</v>
      </c>
      <c r="J28" s="10">
        <f t="shared" si="3"/>
        <v>17639219859.621456</v>
      </c>
      <c r="K28" s="11">
        <f t="shared" si="4"/>
        <v>2.6899999999999702E-2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11"/>
      <c r="H29" s="10"/>
      <c r="I29" s="10">
        <f t="shared" si="5"/>
        <v>1198</v>
      </c>
      <c r="J29" s="10">
        <f t="shared" si="3"/>
        <v>17177154406.097439</v>
      </c>
      <c r="K29" s="11">
        <f t="shared" si="4"/>
        <v>2.6699999999999946E-2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11"/>
      <c r="H30" s="10"/>
      <c r="I30" s="10">
        <f t="shared" si="5"/>
        <v>1198</v>
      </c>
      <c r="J30" s="10">
        <f t="shared" si="3"/>
        <v>16730451354.921049</v>
      </c>
      <c r="K30" s="11">
        <f t="shared" si="4"/>
        <v>2.6599999999999957E-2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11"/>
      <c r="H31" s="10"/>
      <c r="I31" s="10">
        <f t="shared" si="5"/>
        <v>1198</v>
      </c>
      <c r="J31" s="10">
        <f t="shared" si="3"/>
        <v>16296952420.534824</v>
      </c>
      <c r="K31" s="11">
        <f t="shared" si="4"/>
        <v>2.7199999999999891E-2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11"/>
      <c r="H32" s="10"/>
      <c r="I32" s="10">
        <f t="shared" si="5"/>
        <v>1198</v>
      </c>
      <c r="J32" s="10">
        <f t="shared" si="3"/>
        <v>15865413181.984838</v>
      </c>
      <c r="K32" s="11">
        <f t="shared" si="4"/>
        <v>2.8299999999999992E-2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11"/>
      <c r="H33" s="10"/>
      <c r="I33" s="10">
        <f t="shared" si="5"/>
        <v>1198</v>
      </c>
      <c r="J33" s="10">
        <f t="shared" si="3"/>
        <v>15428778743.542583</v>
      </c>
      <c r="K33" s="11">
        <f t="shared" si="4"/>
        <v>2.5600000000000067E-2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11"/>
      <c r="H34" s="10"/>
      <c r="I34" s="10">
        <f t="shared" si="5"/>
        <v>1198</v>
      </c>
      <c r="J34" s="10">
        <f t="shared" ref="J34:J65" si="6">IF(I34="","",I34*C34)</f>
        <v>15043661021.394875</v>
      </c>
      <c r="K34" s="11">
        <f t="shared" ref="K34:K65" si="7">IFERROR(J34/J35-1,"")</f>
        <v>2.5900000000000034E-2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11"/>
      <c r="H35" s="10"/>
      <c r="I35" s="10">
        <f t="shared" ref="I35:I66" si="8">IF(H35&lt;&gt;"",H35,I34/(1+IF(G34="",0,G34)))</f>
        <v>1198</v>
      </c>
      <c r="J35" s="10">
        <f t="shared" si="6"/>
        <v>14663866869.47546</v>
      </c>
      <c r="K35" s="11">
        <f t="shared" si="7"/>
        <v>2.9900000000000038E-2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11"/>
      <c r="H36" s="10"/>
      <c r="I36" s="10">
        <f t="shared" si="8"/>
        <v>1198</v>
      </c>
      <c r="J36" s="10">
        <f t="shared" si="6"/>
        <v>14238146295.247559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11"/>
      <c r="H37" s="10"/>
      <c r="I37" s="10">
        <f t="shared" si="8"/>
        <v>1198</v>
      </c>
      <c r="J37" s="10">
        <f t="shared" si="6"/>
        <v>13814054812.503695</v>
      </c>
      <c r="K37" s="11">
        <f t="shared" si="7"/>
        <v>3.1199999999999894E-2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11"/>
      <c r="H38" s="10"/>
      <c r="I38" s="10">
        <f t="shared" si="8"/>
        <v>1198</v>
      </c>
      <c r="J38" s="10">
        <f t="shared" si="6"/>
        <v>13396096598.626549</v>
      </c>
      <c r="K38" s="11">
        <f t="shared" si="7"/>
        <v>3.0799999999999939E-2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11"/>
      <c r="H39" s="10"/>
      <c r="I39" s="10">
        <f t="shared" si="8"/>
        <v>1198</v>
      </c>
      <c r="J39" s="10">
        <f t="shared" si="6"/>
        <v>12995825182.990444</v>
      </c>
      <c r="K39" s="11">
        <f t="shared" si="7"/>
        <v>3.0599999999999961E-2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11"/>
      <c r="H40" s="10"/>
      <c r="I40" s="10">
        <f t="shared" si="8"/>
        <v>1198</v>
      </c>
      <c r="J40" s="10">
        <f t="shared" si="6"/>
        <v>12609960394.906311</v>
      </c>
      <c r="K40" s="11">
        <f t="shared" si="7"/>
        <v>2.9800000000000049E-2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11"/>
      <c r="H41" s="10"/>
      <c r="I41" s="10">
        <f t="shared" si="8"/>
        <v>1198</v>
      </c>
      <c r="J41" s="10">
        <f t="shared" si="6"/>
        <v>12245057676.156837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11"/>
      <c r="H42" s="10"/>
      <c r="I42" s="10">
        <f t="shared" si="8"/>
        <v>1198</v>
      </c>
      <c r="J42" s="10">
        <f t="shared" si="6"/>
        <v>11903429256.495419</v>
      </c>
      <c r="K42" s="11">
        <f t="shared" si="7"/>
        <v>2.7699999999999836E-2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11"/>
      <c r="H43" s="10"/>
      <c r="I43" s="10">
        <f t="shared" si="8"/>
        <v>1198</v>
      </c>
      <c r="J43" s="10">
        <f t="shared" si="6"/>
        <v>11582591472.701586</v>
      </c>
      <c r="K43" s="11">
        <f t="shared" si="7"/>
        <v>2.6200000000000223E-2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11"/>
      <c r="H44" s="10"/>
      <c r="I44" s="10">
        <f t="shared" si="8"/>
        <v>1198</v>
      </c>
      <c r="J44" s="10">
        <f t="shared" si="6"/>
        <v>11286875338.824385</v>
      </c>
      <c r="K44" s="11">
        <f t="shared" si="7"/>
        <v>2.4899999999999922E-2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11"/>
      <c r="H45" s="10"/>
      <c r="I45" s="10">
        <f t="shared" si="8"/>
        <v>1198</v>
      </c>
      <c r="J45" s="10">
        <f t="shared" si="6"/>
        <v>11012660102.277672</v>
      </c>
      <c r="K45" s="11">
        <f t="shared" si="7"/>
        <v>2.4000000000000243E-2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11"/>
      <c r="H46" s="10"/>
      <c r="I46" s="10">
        <f t="shared" si="8"/>
        <v>1198</v>
      </c>
      <c r="J46" s="10">
        <f t="shared" si="6"/>
        <v>10754550881.130537</v>
      </c>
      <c r="K46" s="11">
        <f t="shared" si="7"/>
        <v>2.3400000000000087E-2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11"/>
      <c r="H47" s="10"/>
      <c r="I47" s="10">
        <f t="shared" si="8"/>
        <v>1198</v>
      </c>
      <c r="J47" s="10">
        <f t="shared" si="6"/>
        <v>10508648506.088076</v>
      </c>
      <c r="K47" s="11">
        <f t="shared" si="7"/>
        <v>2.2799999999999931E-2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11"/>
      <c r="H48" s="10"/>
      <c r="I48" s="10">
        <f t="shared" si="8"/>
        <v>1198</v>
      </c>
      <c r="J48" s="10">
        <f t="shared" si="6"/>
        <v>10274392360.273832</v>
      </c>
      <c r="K48" s="11">
        <f t="shared" si="7"/>
        <v>2.2199999999999998E-2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11"/>
      <c r="H49" s="10"/>
      <c r="I49" s="10">
        <f t="shared" si="8"/>
        <v>1198</v>
      </c>
      <c r="J49" s="10">
        <f t="shared" si="6"/>
        <v>10051254510.148535</v>
      </c>
      <c r="K49" s="11">
        <f t="shared" si="7"/>
        <v>2.1600000000000064E-2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11"/>
      <c r="H50" s="10"/>
      <c r="I50" s="10">
        <f t="shared" si="8"/>
        <v>1198</v>
      </c>
      <c r="J50" s="10">
        <f t="shared" si="6"/>
        <v>9838737774.2252693</v>
      </c>
      <c r="K50" s="11">
        <f t="shared" si="7"/>
        <v>2.1400000000000086E-2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11"/>
      <c r="H51" s="10"/>
      <c r="I51" s="10">
        <f t="shared" si="8"/>
        <v>1198</v>
      </c>
      <c r="J51" s="10">
        <f t="shared" si="6"/>
        <v>9632600131.4130287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11"/>
      <c r="H52" s="10"/>
      <c r="I52" s="10">
        <f t="shared" si="8"/>
        <v>1198</v>
      </c>
      <c r="J52" s="10">
        <f t="shared" si="6"/>
        <v>9427089578.5995579</v>
      </c>
      <c r="K52" s="11">
        <f t="shared" si="7"/>
        <v>2.1700000000000053E-2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11"/>
      <c r="H53" s="10"/>
      <c r="I53" s="10">
        <f t="shared" si="8"/>
        <v>1198</v>
      </c>
      <c r="J53" s="10">
        <f t="shared" si="6"/>
        <v>9226866573.944952</v>
      </c>
      <c r="K53" s="11">
        <f t="shared" si="7"/>
        <v>2.1400000000000086E-2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11"/>
      <c r="H54" s="10"/>
      <c r="I54" s="10">
        <f t="shared" si="8"/>
        <v>1198</v>
      </c>
      <c r="J54" s="10">
        <f t="shared" si="6"/>
        <v>9033548633.1945877</v>
      </c>
      <c r="K54" s="11">
        <f t="shared" si="7"/>
        <v>2.1200000000000108E-2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11"/>
      <c r="H55" s="10"/>
      <c r="I55" s="10">
        <f t="shared" si="8"/>
        <v>1198</v>
      </c>
      <c r="J55" s="10">
        <f t="shared" si="6"/>
        <v>8846013154.3229408</v>
      </c>
      <c r="K55" s="11">
        <f t="shared" si="7"/>
        <v>2.0999999999999686E-2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11"/>
      <c r="H56" s="10"/>
      <c r="I56" s="10">
        <f t="shared" si="8"/>
        <v>1198</v>
      </c>
      <c r="J56" s="10">
        <f t="shared" si="6"/>
        <v>8664067731.951952</v>
      </c>
      <c r="K56" s="11">
        <f t="shared" si="7"/>
        <v>2.0599999999999952E-2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11"/>
      <c r="H57" s="10"/>
      <c r="I57" s="10">
        <f t="shared" si="8"/>
        <v>1198</v>
      </c>
      <c r="J57" s="10">
        <f t="shared" si="6"/>
        <v>8489190409.5159245</v>
      </c>
      <c r="K57" s="11">
        <f t="shared" si="7"/>
        <v>2.0499999999999963E-2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11"/>
      <c r="H58" s="10"/>
      <c r="I58" s="10">
        <f t="shared" si="8"/>
        <v>1198</v>
      </c>
      <c r="J58" s="10">
        <f t="shared" si="6"/>
        <v>8318657922.1126165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11"/>
      <c r="H59" s="10"/>
      <c r="I59" s="10">
        <f t="shared" si="8"/>
        <v>1198</v>
      </c>
      <c r="J59" s="10">
        <f t="shared" si="6"/>
        <v>8155546982.4633493</v>
      </c>
      <c r="K59" s="11">
        <f t="shared" si="7"/>
        <v>2.0000000000000018E-2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11"/>
      <c r="H60" s="10"/>
      <c r="I60" s="10">
        <f t="shared" si="8"/>
        <v>1198</v>
      </c>
      <c r="J60" s="10">
        <f t="shared" si="6"/>
        <v>7995634296.5326948</v>
      </c>
      <c r="K60" s="11">
        <f t="shared" si="7"/>
        <v>2.0000000000000018E-2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11"/>
      <c r="H61" s="10"/>
      <c r="I61" s="10">
        <f t="shared" si="8"/>
        <v>1198</v>
      </c>
      <c r="J61" s="10">
        <f t="shared" si="6"/>
        <v>7838857153.4634266</v>
      </c>
      <c r="K61" s="11">
        <f t="shared" si="7"/>
        <v>1.9500000000000073E-2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11"/>
      <c r="H62" s="10"/>
      <c r="I62" s="10">
        <f t="shared" si="8"/>
        <v>1198</v>
      </c>
      <c r="J62" s="10">
        <f t="shared" si="6"/>
        <v>7688923151.9994373</v>
      </c>
      <c r="K62" s="11">
        <f t="shared" si="7"/>
        <v>1.8999999999999906E-2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11"/>
      <c r="H63" s="10"/>
      <c r="I63" s="10">
        <f t="shared" si="8"/>
        <v>1198</v>
      </c>
      <c r="J63" s="10">
        <f t="shared" si="6"/>
        <v>7545557558.390028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11"/>
      <c r="H64" s="10"/>
      <c r="I64" s="10">
        <f t="shared" si="8"/>
        <v>1198</v>
      </c>
      <c r="J64" s="10">
        <f t="shared" si="6"/>
        <v>7408500302.7884417</v>
      </c>
      <c r="K64" s="11">
        <f t="shared" si="7"/>
        <v>1.8499999999999961E-2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11"/>
      <c r="H65" s="10"/>
      <c r="I65" s="10">
        <f t="shared" si="8"/>
        <v>1198</v>
      </c>
      <c r="J65" s="10">
        <f t="shared" si="6"/>
        <v>7273932550.6022997</v>
      </c>
      <c r="K65" s="11">
        <f t="shared" si="7"/>
        <v>1.7999999999999794E-2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11"/>
      <c r="H66" s="10"/>
      <c r="I66" s="10">
        <f t="shared" si="8"/>
        <v>1198</v>
      </c>
      <c r="J66" s="10">
        <f t="shared" ref="J66:J97" si="9">IF(I66="","",I66*C66)</f>
        <v>7145316847.3500004</v>
      </c>
      <c r="K66" s="11">
        <f t="shared" ref="K66:K97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1198</v>
      </c>
      <c r="J67" s="10">
        <f t="shared" si="9"/>
        <v>7022424420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5">
        <v>5393380</v>
      </c>
      <c r="G2" s="11"/>
      <c r="H2" s="10"/>
      <c r="I2" s="10">
        <f>IF(H2&lt;&gt;"",H2,13770)</f>
        <v>13770</v>
      </c>
      <c r="J2" s="10">
        <f t="shared" ref="J2:J33" si="3">IF(I2="","",I2*C2)</f>
        <v>74268083550.241867</v>
      </c>
      <c r="K2" s="11">
        <f t="shared" ref="K2:K33" si="4">IFERROR(J2/J3-1,"")</f>
        <v>1.0000000000000231E-2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11"/>
      <c r="H3" s="10"/>
      <c r="I3" s="10">
        <f t="shared" ref="I3:I34" si="5">IF(H3&lt;&gt;"",H3,I2/(1+IF(G2="",0,G2)))</f>
        <v>13770</v>
      </c>
      <c r="J3" s="10">
        <f t="shared" si="3"/>
        <v>73532755990.33847</v>
      </c>
      <c r="K3" s="11">
        <f t="shared" si="4"/>
        <v>1.130000000000031E-2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11"/>
      <c r="H4" s="10"/>
      <c r="I4" s="10">
        <f t="shared" si="5"/>
        <v>13770</v>
      </c>
      <c r="J4" s="10">
        <f t="shared" si="3"/>
        <v>72711120330.602646</v>
      </c>
      <c r="K4" s="11">
        <f t="shared" si="4"/>
        <v>1.21E-2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11"/>
      <c r="H5" s="10"/>
      <c r="I5" s="10">
        <f t="shared" si="5"/>
        <v>13770</v>
      </c>
      <c r="J5" s="10">
        <f t="shared" si="3"/>
        <v>71841834137.538437</v>
      </c>
      <c r="K5" s="11">
        <f t="shared" si="4"/>
        <v>1.3100000000000112E-2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11"/>
      <c r="H6" s="10"/>
      <c r="I6" s="10">
        <f t="shared" si="5"/>
        <v>13770</v>
      </c>
      <c r="J6" s="10">
        <f t="shared" si="3"/>
        <v>70912875468.895889</v>
      </c>
      <c r="K6" s="11">
        <f t="shared" si="4"/>
        <v>1.2999999999999901E-2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11"/>
      <c r="H7" s="10"/>
      <c r="I7" s="10">
        <f t="shared" si="5"/>
        <v>13770</v>
      </c>
      <c r="J7" s="10">
        <f t="shared" si="3"/>
        <v>70002838567.518158</v>
      </c>
      <c r="K7" s="11">
        <f t="shared" si="4"/>
        <v>1.2500000000000178E-2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11"/>
      <c r="H8" s="10"/>
      <c r="I8" s="10">
        <f t="shared" si="5"/>
        <v>13770</v>
      </c>
      <c r="J8" s="10">
        <f t="shared" si="3"/>
        <v>69138605992.610519</v>
      </c>
      <c r="K8" s="11">
        <f t="shared" si="4"/>
        <v>1.2599999999999945E-2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11"/>
      <c r="H9" s="10"/>
      <c r="I9" s="10">
        <f t="shared" si="5"/>
        <v>13770</v>
      </c>
      <c r="J9" s="10">
        <f t="shared" si="3"/>
        <v>68278299419.91954</v>
      </c>
      <c r="K9" s="11">
        <f t="shared" si="4"/>
        <v>1.2499999999999956E-2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11"/>
      <c r="H10" s="10"/>
      <c r="I10" s="10">
        <f t="shared" si="5"/>
        <v>13770</v>
      </c>
      <c r="J10" s="10">
        <f t="shared" si="3"/>
        <v>67435357451.772385</v>
      </c>
      <c r="K10" s="11">
        <f t="shared" si="4"/>
        <v>1.0299999999999976E-2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11"/>
      <c r="H11" s="10"/>
      <c r="I11" s="10">
        <f t="shared" si="5"/>
        <v>13770</v>
      </c>
      <c r="J11" s="10">
        <f t="shared" si="3"/>
        <v>66747854549.908325</v>
      </c>
      <c r="K11" s="11">
        <f t="shared" si="4"/>
        <v>8.0999999999999961E-3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11"/>
      <c r="H12" s="10"/>
      <c r="I12" s="10">
        <f t="shared" si="5"/>
        <v>13770</v>
      </c>
      <c r="J12" s="10">
        <f t="shared" si="3"/>
        <v>66211541067.263489</v>
      </c>
      <c r="K12" s="11">
        <f t="shared" si="4"/>
        <v>6.7999999999999172E-3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11"/>
      <c r="H13" s="10"/>
      <c r="I13" s="10">
        <f t="shared" si="5"/>
        <v>13770</v>
      </c>
      <c r="J13" s="10">
        <f t="shared" si="3"/>
        <v>65764343531.250984</v>
      </c>
      <c r="K13" s="11">
        <f t="shared" si="4"/>
        <v>5.9000000000000163E-3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11"/>
      <c r="H14" s="10"/>
      <c r="I14" s="10">
        <f t="shared" si="5"/>
        <v>13770</v>
      </c>
      <c r="J14" s="10">
        <f t="shared" si="3"/>
        <v>65378609733.821434</v>
      </c>
      <c r="K14" s="11">
        <f t="shared" si="4"/>
        <v>5.9000000000000163E-3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11"/>
      <c r="H15" s="10"/>
      <c r="I15" s="10">
        <f t="shared" si="5"/>
        <v>13770</v>
      </c>
      <c r="J15" s="10">
        <f t="shared" si="3"/>
        <v>64995138417.160194</v>
      </c>
      <c r="K15" s="11">
        <f t="shared" si="4"/>
        <v>5.4000000000000714E-3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11"/>
      <c r="H16" s="10"/>
      <c r="I16" s="10">
        <f t="shared" si="5"/>
        <v>13770</v>
      </c>
      <c r="J16" s="10">
        <f t="shared" si="3"/>
        <v>64646049748.518188</v>
      </c>
      <c r="K16" s="11">
        <f t="shared" si="4"/>
        <v>5.1000000000001044E-3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11"/>
      <c r="H17" s="10"/>
      <c r="I17" s="10">
        <f t="shared" si="5"/>
        <v>13770</v>
      </c>
      <c r="J17" s="10">
        <f t="shared" si="3"/>
        <v>64318027806.703987</v>
      </c>
      <c r="K17" s="11">
        <f t="shared" si="4"/>
        <v>6.5000000000001723E-3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11"/>
      <c r="H18" s="10"/>
      <c r="I18" s="10">
        <f t="shared" si="5"/>
        <v>13770</v>
      </c>
      <c r="J18" s="10">
        <f t="shared" si="3"/>
        <v>63902660513.367096</v>
      </c>
      <c r="K18" s="11">
        <f t="shared" si="4"/>
        <v>6.7999999999999172E-3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11"/>
      <c r="H19" s="10"/>
      <c r="I19" s="10">
        <f t="shared" si="5"/>
        <v>13770</v>
      </c>
      <c r="J19" s="10">
        <f t="shared" si="3"/>
        <v>63471057323.566849</v>
      </c>
      <c r="K19" s="11">
        <f t="shared" si="4"/>
        <v>6.0000000000000053E-3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11"/>
      <c r="H20" s="10"/>
      <c r="I20" s="10">
        <f t="shared" si="5"/>
        <v>13770</v>
      </c>
      <c r="J20" s="10">
        <f t="shared" si="3"/>
        <v>63092502309.708595</v>
      </c>
      <c r="K20" s="11">
        <f t="shared" si="4"/>
        <v>5.4000000000002935E-3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11"/>
      <c r="H21" s="10"/>
      <c r="I21" s="10">
        <f t="shared" si="5"/>
        <v>13770</v>
      </c>
      <c r="J21" s="10">
        <f t="shared" si="3"/>
        <v>62753632693.165489</v>
      </c>
      <c r="K21" s="11">
        <f t="shared" si="4"/>
        <v>5.0999999999998824E-3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11"/>
      <c r="H22" s="10"/>
      <c r="I22" s="10">
        <f t="shared" si="5"/>
        <v>13770</v>
      </c>
      <c r="J22" s="10">
        <f t="shared" si="3"/>
        <v>62435213106.323242</v>
      </c>
      <c r="K22" s="11">
        <f t="shared" si="4"/>
        <v>5.2000000000000934E-3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11"/>
      <c r="H23" s="10"/>
      <c r="I23" s="10">
        <f t="shared" si="5"/>
        <v>13770</v>
      </c>
      <c r="J23" s="10">
        <f t="shared" si="3"/>
        <v>62112229512.856377</v>
      </c>
      <c r="K23" s="11">
        <f t="shared" si="4"/>
        <v>5.7000000000000384E-3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11"/>
      <c r="H24" s="10"/>
      <c r="I24" s="10">
        <f t="shared" si="5"/>
        <v>13770</v>
      </c>
      <c r="J24" s="10">
        <f t="shared" si="3"/>
        <v>61760196393.413918</v>
      </c>
      <c r="K24" s="11">
        <f t="shared" si="4"/>
        <v>6.0000000000000053E-3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11"/>
      <c r="H25" s="10"/>
      <c r="I25" s="10">
        <f t="shared" si="5"/>
        <v>13770</v>
      </c>
      <c r="J25" s="10">
        <f t="shared" si="3"/>
        <v>61391845321.485008</v>
      </c>
      <c r="K25" s="11">
        <f t="shared" si="4"/>
        <v>5.8000000000000274E-3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11"/>
      <c r="H26" s="10"/>
      <c r="I26" s="10">
        <f t="shared" si="5"/>
        <v>13770</v>
      </c>
      <c r="J26" s="10">
        <f t="shared" si="3"/>
        <v>61037825931.084717</v>
      </c>
      <c r="K26" s="11">
        <f t="shared" si="4"/>
        <v>4.8000000000001375E-3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11"/>
      <c r="H27" s="10"/>
      <c r="I27" s="10">
        <f t="shared" si="5"/>
        <v>13770</v>
      </c>
      <c r="J27" s="10">
        <f t="shared" si="3"/>
        <v>60746243960.076347</v>
      </c>
      <c r="K27" s="11">
        <f t="shared" si="4"/>
        <v>3.4000000000000696E-3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11"/>
      <c r="H28" s="10"/>
      <c r="I28" s="10">
        <f t="shared" si="5"/>
        <v>13770</v>
      </c>
      <c r="J28" s="10">
        <f t="shared" si="3"/>
        <v>60540406577.71212</v>
      </c>
      <c r="K28" s="11">
        <f t="shared" si="4"/>
        <v>4.0999999999999925E-3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11"/>
      <c r="H29" s="10"/>
      <c r="I29" s="10">
        <f t="shared" si="5"/>
        <v>13770</v>
      </c>
      <c r="J29" s="10">
        <f t="shared" si="3"/>
        <v>60293204439.510124</v>
      </c>
      <c r="K29" s="11">
        <f t="shared" si="4"/>
        <v>5.4000000000000714E-3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11"/>
      <c r="H30" s="10"/>
      <c r="I30" s="10">
        <f t="shared" si="5"/>
        <v>13770</v>
      </c>
      <c r="J30" s="10">
        <f t="shared" si="3"/>
        <v>59969369842.361374</v>
      </c>
      <c r="K30" s="11">
        <f t="shared" si="4"/>
        <v>4.6999999999999265E-3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11"/>
      <c r="H31" s="10"/>
      <c r="I31" s="10">
        <f t="shared" si="5"/>
        <v>13770</v>
      </c>
      <c r="J31" s="10">
        <f t="shared" si="3"/>
        <v>59688832330.408455</v>
      </c>
      <c r="K31" s="11">
        <f t="shared" si="4"/>
        <v>3.6000000000000476E-3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11"/>
      <c r="H32" s="10"/>
      <c r="I32" s="10">
        <f t="shared" si="5"/>
        <v>13770</v>
      </c>
      <c r="J32" s="10">
        <f t="shared" si="3"/>
        <v>59474723326.433289</v>
      </c>
      <c r="K32" s="11">
        <f t="shared" si="4"/>
        <v>2.9999999999998916E-3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11"/>
      <c r="H33" s="10"/>
      <c r="I33" s="10">
        <f t="shared" si="5"/>
        <v>13770</v>
      </c>
      <c r="J33" s="10">
        <f t="shared" si="3"/>
        <v>59296832827.949448</v>
      </c>
      <c r="K33" s="11">
        <f t="shared" si="4"/>
        <v>2.7999999999999137E-3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11"/>
      <c r="H34" s="10"/>
      <c r="I34" s="10">
        <f t="shared" si="5"/>
        <v>13770</v>
      </c>
      <c r="J34" s="10">
        <f t="shared" ref="J34:J65" si="6">IF(I34="","",I34*C34)</f>
        <v>59131265285.151031</v>
      </c>
      <c r="K34" s="11">
        <f t="shared" ref="K34:K65" si="7">IFERROR(J34/J35-1,"")</f>
        <v>3.3000000000000806E-3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11"/>
      <c r="H35" s="10"/>
      <c r="I35" s="10">
        <f t="shared" ref="I35:I66" si="8">IF(H35&lt;&gt;"",H35,I34/(1+IF(G34="",0,G34)))</f>
        <v>13770</v>
      </c>
      <c r="J35" s="10">
        <f t="shared" si="6"/>
        <v>58936773931.178139</v>
      </c>
      <c r="K35" s="11">
        <f t="shared" si="7"/>
        <v>3.7000000000000366E-3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11"/>
      <c r="H36" s="10"/>
      <c r="I36" s="10">
        <f t="shared" si="8"/>
        <v>13770</v>
      </c>
      <c r="J36" s="10">
        <f t="shared" si="6"/>
        <v>58719511737.748466</v>
      </c>
      <c r="K36" s="11">
        <f t="shared" si="7"/>
        <v>3.4000000000002917E-3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11"/>
      <c r="H37" s="10"/>
      <c r="I37" s="10">
        <f t="shared" si="8"/>
        <v>13770</v>
      </c>
      <c r="J37" s="10">
        <f t="shared" si="6"/>
        <v>58520541895.30442</v>
      </c>
      <c r="K37" s="11">
        <f t="shared" si="7"/>
        <v>3.2000000000003137E-3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11"/>
      <c r="H38" s="10"/>
      <c r="I38" s="10">
        <f t="shared" si="8"/>
        <v>13770</v>
      </c>
      <c r="J38" s="10">
        <f t="shared" si="6"/>
        <v>58333873500.104073</v>
      </c>
      <c r="K38" s="11">
        <f t="shared" si="7"/>
        <v>3.4000000000000696E-3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11"/>
      <c r="H39" s="10"/>
      <c r="I39" s="10">
        <f t="shared" si="8"/>
        <v>13770</v>
      </c>
      <c r="J39" s="10">
        <f t="shared" si="6"/>
        <v>58136210384.795769</v>
      </c>
      <c r="K39" s="11">
        <f t="shared" si="7"/>
        <v>3.8000000000000256E-3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11"/>
      <c r="H40" s="10"/>
      <c r="I40" s="10">
        <f t="shared" si="8"/>
        <v>13770</v>
      </c>
      <c r="J40" s="10">
        <f t="shared" si="6"/>
        <v>57916129094.237663</v>
      </c>
      <c r="K40" s="11">
        <f t="shared" si="7"/>
        <v>4.1999999999997595E-3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11"/>
      <c r="H41" s="10"/>
      <c r="I41" s="10">
        <f t="shared" si="8"/>
        <v>13770</v>
      </c>
      <c r="J41" s="10">
        <f t="shared" si="6"/>
        <v>57673898719.615288</v>
      </c>
      <c r="K41" s="11">
        <f t="shared" si="7"/>
        <v>4.6999999999999265E-3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11"/>
      <c r="H42" s="10"/>
      <c r="I42" s="10">
        <f t="shared" si="8"/>
        <v>13770</v>
      </c>
      <c r="J42" s="10">
        <f t="shared" si="6"/>
        <v>57404099452.189995</v>
      </c>
      <c r="K42" s="11">
        <f t="shared" si="7"/>
        <v>5.5000000000000604E-3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11"/>
      <c r="H43" s="10"/>
      <c r="I43" s="10">
        <f t="shared" si="8"/>
        <v>13770</v>
      </c>
      <c r="J43" s="10">
        <f t="shared" si="6"/>
        <v>57090103880.845345</v>
      </c>
      <c r="K43" s="11">
        <f t="shared" si="7"/>
        <v>6.1999999999999833E-3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11"/>
      <c r="H44" s="10"/>
      <c r="I44" s="10">
        <f t="shared" si="8"/>
        <v>13770</v>
      </c>
      <c r="J44" s="10">
        <f t="shared" si="6"/>
        <v>56738326258.045464</v>
      </c>
      <c r="K44" s="11">
        <f t="shared" si="7"/>
        <v>6.9999999999998952E-3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11"/>
      <c r="H45" s="10"/>
      <c r="I45" s="10">
        <f t="shared" si="8"/>
        <v>13770</v>
      </c>
      <c r="J45" s="10">
        <f t="shared" si="6"/>
        <v>56343918826.261635</v>
      </c>
      <c r="K45" s="11">
        <f t="shared" si="7"/>
        <v>7.6000000000000512E-3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11"/>
      <c r="H46" s="10"/>
      <c r="I46" s="10">
        <f t="shared" si="8"/>
        <v>13770</v>
      </c>
      <c r="J46" s="10">
        <f t="shared" si="6"/>
        <v>55918934920.863075</v>
      </c>
      <c r="K46" s="11">
        <f t="shared" si="7"/>
        <v>6.9999999999998952E-3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11"/>
      <c r="H47" s="10"/>
      <c r="I47" s="10">
        <f t="shared" si="8"/>
        <v>13770</v>
      </c>
      <c r="J47" s="10">
        <f t="shared" si="6"/>
        <v>55530223357.361549</v>
      </c>
      <c r="K47" s="11">
        <f t="shared" si="7"/>
        <v>7.3000000000000842E-3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11"/>
      <c r="H48" s="10"/>
      <c r="I48" s="10">
        <f t="shared" si="8"/>
        <v>13770</v>
      </c>
      <c r="J48" s="10">
        <f t="shared" si="6"/>
        <v>55127790486.807846</v>
      </c>
      <c r="K48" s="11">
        <f t="shared" si="7"/>
        <v>8.0999999999999961E-3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11"/>
      <c r="H49" s="10"/>
      <c r="I49" s="10">
        <f t="shared" si="8"/>
        <v>13770</v>
      </c>
      <c r="J49" s="10">
        <f t="shared" si="6"/>
        <v>54684843256.430756</v>
      </c>
      <c r="K49" s="11">
        <f t="shared" si="7"/>
        <v>8.3999999999999631E-3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11"/>
      <c r="H50" s="10"/>
      <c r="I50" s="10">
        <f t="shared" si="8"/>
        <v>13770</v>
      </c>
      <c r="J50" s="10">
        <f t="shared" si="6"/>
        <v>54229316993.683815</v>
      </c>
      <c r="K50" s="11">
        <f t="shared" si="7"/>
        <v>8.3999999999999631E-3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11"/>
      <c r="H51" s="10"/>
      <c r="I51" s="10">
        <f t="shared" si="8"/>
        <v>13770</v>
      </c>
      <c r="J51" s="10">
        <f t="shared" si="6"/>
        <v>53777585277.354042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11"/>
      <c r="H52" s="10"/>
      <c r="I52" s="10">
        <f t="shared" si="8"/>
        <v>13770</v>
      </c>
      <c r="J52" s="10">
        <f t="shared" si="6"/>
        <v>53350779044.994087</v>
      </c>
      <c r="K52" s="11">
        <f t="shared" si="7"/>
        <v>7.8000000000000291E-3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11"/>
      <c r="H53" s="10"/>
      <c r="I53" s="10">
        <f t="shared" si="8"/>
        <v>13770</v>
      </c>
      <c r="J53" s="10">
        <f t="shared" si="6"/>
        <v>52937863708.071136</v>
      </c>
      <c r="K53" s="11">
        <f t="shared" si="7"/>
        <v>7.6000000000000512E-3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11"/>
      <c r="H54" s="10"/>
      <c r="I54" s="10">
        <f t="shared" si="8"/>
        <v>13770</v>
      </c>
      <c r="J54" s="10">
        <f t="shared" si="6"/>
        <v>52538570571.726013</v>
      </c>
      <c r="K54" s="11">
        <f t="shared" si="7"/>
        <v>7.6000000000000512E-3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11"/>
      <c r="H55" s="10"/>
      <c r="I55" s="10">
        <f t="shared" si="8"/>
        <v>13770</v>
      </c>
      <c r="J55" s="10">
        <f t="shared" si="6"/>
        <v>52142289174.003586</v>
      </c>
      <c r="K55" s="11">
        <f t="shared" si="7"/>
        <v>8.0000000000000071E-3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11"/>
      <c r="H56" s="10"/>
      <c r="I56" s="10">
        <f t="shared" si="8"/>
        <v>13770</v>
      </c>
      <c r="J56" s="10">
        <f t="shared" si="6"/>
        <v>51728461482.146416</v>
      </c>
      <c r="K56" s="11">
        <f t="shared" si="7"/>
        <v>7.9000000000000181E-3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11"/>
      <c r="H57" s="10"/>
      <c r="I57" s="10">
        <f t="shared" si="8"/>
        <v>13770</v>
      </c>
      <c r="J57" s="10">
        <f t="shared" si="6"/>
        <v>51323009705.473175</v>
      </c>
      <c r="K57" s="11">
        <f t="shared" si="7"/>
        <v>8.499999999999952E-3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11"/>
      <c r="H58" s="10"/>
      <c r="I58" s="10">
        <f t="shared" si="8"/>
        <v>13770</v>
      </c>
      <c r="J58" s="10">
        <f t="shared" si="6"/>
        <v>50890440957.335823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11"/>
      <c r="H59" s="10"/>
      <c r="I59" s="10">
        <f t="shared" si="8"/>
        <v>13770</v>
      </c>
      <c r="J59" s="10">
        <f t="shared" si="6"/>
        <v>50461518053.877861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11"/>
      <c r="H60" s="10"/>
      <c r="I60" s="10">
        <f t="shared" si="8"/>
        <v>13770</v>
      </c>
      <c r="J60" s="10">
        <f t="shared" si="6"/>
        <v>50036210266.611664</v>
      </c>
      <c r="K60" s="11">
        <f t="shared" si="7"/>
        <v>8.49999999999973E-3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11"/>
      <c r="H61" s="10"/>
      <c r="I61" s="10">
        <f t="shared" si="8"/>
        <v>13770</v>
      </c>
      <c r="J61" s="10">
        <f t="shared" si="6"/>
        <v>49614487126.040329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11"/>
      <c r="H62" s="10"/>
      <c r="I62" s="10">
        <f t="shared" si="8"/>
        <v>13770</v>
      </c>
      <c r="J62" s="10">
        <f t="shared" si="6"/>
        <v>49171939669.019157</v>
      </c>
      <c r="K62" s="11">
        <f t="shared" si="7"/>
        <v>9.5000000000000639E-3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11"/>
      <c r="H63" s="10"/>
      <c r="I63" s="10">
        <f t="shared" si="8"/>
        <v>13770</v>
      </c>
      <c r="J63" s="10">
        <f t="shared" si="6"/>
        <v>48709202247.666328</v>
      </c>
      <c r="K63" s="11">
        <f t="shared" si="7"/>
        <v>9.500000000000286E-3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11"/>
      <c r="H64" s="10"/>
      <c r="I64" s="10">
        <f t="shared" si="8"/>
        <v>13770</v>
      </c>
      <c r="J64" s="10">
        <f t="shared" si="6"/>
        <v>48250819462.770004</v>
      </c>
      <c r="K64" s="11">
        <f t="shared" si="7"/>
        <v>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11"/>
      <c r="H65" s="10"/>
      <c r="I65" s="10">
        <f t="shared" si="8"/>
        <v>13770</v>
      </c>
      <c r="J65" s="10">
        <f t="shared" si="6"/>
        <v>47773088577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11"/>
      <c r="H66" s="10"/>
      <c r="I66" s="10">
        <f t="shared" si="8"/>
        <v>13770</v>
      </c>
      <c r="J66" s="10">
        <f t="shared" ref="J66:J97" si="9">IF(I66="","",I66*C66)</f>
        <v>47300087700</v>
      </c>
      <c r="K66" s="11">
        <f t="shared" ref="K66:K97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13770</v>
      </c>
      <c r="J67" s="10">
        <f t="shared" si="9"/>
        <v>46831770000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5">
        <v>495291</v>
      </c>
      <c r="G2" s="11"/>
      <c r="H2" s="10"/>
      <c r="I2" s="10">
        <f>IF(H2&lt;&gt;"",H2,2262)</f>
        <v>2262</v>
      </c>
      <c r="J2" s="10">
        <f t="shared" ref="J2:J33" si="3">IF(I2="","",I2*C2)</f>
        <v>1120270852.9796653</v>
      </c>
      <c r="K2" s="11">
        <f t="shared" ref="K2:K33" si="4">IFERROR(J2/J3-1,"")</f>
        <v>4.7999999999999154E-3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11"/>
      <c r="H3" s="10"/>
      <c r="I3" s="10">
        <f t="shared" ref="I3:I34" si="5">IF(H3&lt;&gt;"",H3,I2/(1+IF(G2="",0,G2)))</f>
        <v>2262</v>
      </c>
      <c r="J3" s="10">
        <f t="shared" si="3"/>
        <v>1114919240.6246669</v>
      </c>
      <c r="K3" s="11">
        <f t="shared" si="4"/>
        <v>5.5000000000002824E-3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11"/>
      <c r="H4" s="10"/>
      <c r="I4" s="10">
        <f t="shared" si="5"/>
        <v>2262</v>
      </c>
      <c r="J4" s="10">
        <f t="shared" si="3"/>
        <v>1108820726.6282115</v>
      </c>
      <c r="K4" s="11">
        <f t="shared" si="4"/>
        <v>7.5000000000000622E-3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11"/>
      <c r="H5" s="10"/>
      <c r="I5" s="10">
        <f t="shared" si="5"/>
        <v>2262</v>
      </c>
      <c r="J5" s="10">
        <f t="shared" si="3"/>
        <v>1100566478.0428898</v>
      </c>
      <c r="K5" s="11">
        <f t="shared" si="4"/>
        <v>8.9999999999996749E-3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11"/>
      <c r="H6" s="10"/>
      <c r="I6" s="10">
        <f t="shared" si="5"/>
        <v>2262</v>
      </c>
      <c r="J6" s="10">
        <f t="shared" si="3"/>
        <v>1090749730.468672</v>
      </c>
      <c r="K6" s="11">
        <f t="shared" si="4"/>
        <v>1.0000000000000231E-2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11"/>
      <c r="H7" s="10"/>
      <c r="I7" s="10">
        <f t="shared" si="5"/>
        <v>2262</v>
      </c>
      <c r="J7" s="10">
        <f t="shared" si="3"/>
        <v>1079950228.1868038</v>
      </c>
      <c r="K7" s="11">
        <f t="shared" si="4"/>
        <v>1.0799999999999921E-2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11"/>
      <c r="H8" s="10"/>
      <c r="I8" s="10">
        <f t="shared" si="5"/>
        <v>2262</v>
      </c>
      <c r="J8" s="10">
        <f t="shared" si="3"/>
        <v>1068411385.2263592</v>
      </c>
      <c r="K8" s="11">
        <f t="shared" si="4"/>
        <v>1.0999999999999899E-2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11"/>
      <c r="H9" s="10"/>
      <c r="I9" s="10">
        <f t="shared" si="5"/>
        <v>2262</v>
      </c>
      <c r="J9" s="10">
        <f t="shared" si="3"/>
        <v>1056786731.1833426</v>
      </c>
      <c r="K9" s="11">
        <f t="shared" si="4"/>
        <v>1.0999999999999899E-2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11"/>
      <c r="H10" s="10"/>
      <c r="I10" s="10">
        <f t="shared" si="5"/>
        <v>2262</v>
      </c>
      <c r="J10" s="10">
        <f t="shared" si="3"/>
        <v>1045288557.0557297</v>
      </c>
      <c r="K10" s="11">
        <f t="shared" si="4"/>
        <v>1.0499999999999954E-2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11"/>
      <c r="H11" s="10"/>
      <c r="I11" s="10">
        <f t="shared" si="5"/>
        <v>2262</v>
      </c>
      <c r="J11" s="10">
        <f t="shared" si="3"/>
        <v>1034427072.7914199</v>
      </c>
      <c r="K11" s="11">
        <f t="shared" si="4"/>
        <v>1.0000000000000009E-2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11"/>
      <c r="H12" s="10"/>
      <c r="I12" s="10">
        <f t="shared" si="5"/>
        <v>2262</v>
      </c>
      <c r="J12" s="10">
        <f t="shared" si="3"/>
        <v>1024185220.5855641</v>
      </c>
      <c r="K12" s="11">
        <f t="shared" si="4"/>
        <v>9.5000000000000639E-3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11"/>
      <c r="H13" s="10"/>
      <c r="I13" s="10">
        <f t="shared" si="5"/>
        <v>2262</v>
      </c>
      <c r="J13" s="10">
        <f t="shared" si="3"/>
        <v>1014547023.8589045</v>
      </c>
      <c r="K13" s="11">
        <f t="shared" si="4"/>
        <v>8.999999999999897E-3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11"/>
      <c r="H14" s="10"/>
      <c r="I14" s="10">
        <f t="shared" si="5"/>
        <v>2262</v>
      </c>
      <c r="J14" s="10">
        <f t="shared" si="3"/>
        <v>1005497545.9453961</v>
      </c>
      <c r="K14" s="11">
        <f t="shared" si="4"/>
        <v>9.9999999999997868E-3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11"/>
      <c r="H15" s="10"/>
      <c r="I15" s="10">
        <f t="shared" si="5"/>
        <v>2262</v>
      </c>
      <c r="J15" s="10">
        <f t="shared" si="3"/>
        <v>995542124.69841206</v>
      </c>
      <c r="K15" s="11">
        <f t="shared" si="4"/>
        <v>1.1500000000000066E-2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11"/>
      <c r="H16" s="10"/>
      <c r="I16" s="10">
        <f t="shared" si="5"/>
        <v>2262</v>
      </c>
      <c r="J16" s="10">
        <f t="shared" si="3"/>
        <v>984223553.82937419</v>
      </c>
      <c r="K16" s="11">
        <f t="shared" si="4"/>
        <v>1.2999999999999901E-2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11"/>
      <c r="H17" s="10"/>
      <c r="I17" s="10">
        <f t="shared" si="5"/>
        <v>2262</v>
      </c>
      <c r="J17" s="10">
        <f t="shared" si="3"/>
        <v>971592846.82070518</v>
      </c>
      <c r="K17" s="11">
        <f t="shared" si="4"/>
        <v>1.4399999999999968E-2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11"/>
      <c r="H18" s="10"/>
      <c r="I18" s="10">
        <f t="shared" si="5"/>
        <v>2262</v>
      </c>
      <c r="J18" s="10">
        <f t="shared" si="3"/>
        <v>957800519.34217787</v>
      </c>
      <c r="K18" s="11">
        <f t="shared" si="4"/>
        <v>1.4000000000000012E-2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11"/>
      <c r="H19" s="10"/>
      <c r="I19" s="10">
        <f t="shared" si="5"/>
        <v>2262</v>
      </c>
      <c r="J19" s="10">
        <f t="shared" si="3"/>
        <v>944576449.05540216</v>
      </c>
      <c r="K19" s="11">
        <f t="shared" si="4"/>
        <v>1.4499999999999957E-2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11"/>
      <c r="H20" s="10"/>
      <c r="I20" s="10">
        <f t="shared" si="5"/>
        <v>2262</v>
      </c>
      <c r="J20" s="10">
        <f t="shared" si="3"/>
        <v>931075849.24140179</v>
      </c>
      <c r="K20" s="11">
        <f t="shared" si="4"/>
        <v>1.5500000000000069E-2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11"/>
      <c r="H21" s="10"/>
      <c r="I21" s="10">
        <f t="shared" si="5"/>
        <v>2262</v>
      </c>
      <c r="J21" s="10">
        <f t="shared" si="3"/>
        <v>916864450.26233554</v>
      </c>
      <c r="K21" s="11">
        <f t="shared" si="4"/>
        <v>1.6499999999999959E-2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11"/>
      <c r="H22" s="10"/>
      <c r="I22" s="10">
        <f t="shared" si="5"/>
        <v>2262</v>
      </c>
      <c r="J22" s="10">
        <f t="shared" si="3"/>
        <v>901981751.36481607</v>
      </c>
      <c r="K22" s="11">
        <f t="shared" si="4"/>
        <v>1.7099999999999893E-2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11"/>
      <c r="H23" s="10"/>
      <c r="I23" s="10">
        <f t="shared" si="5"/>
        <v>2262</v>
      </c>
      <c r="J23" s="10">
        <f t="shared" si="3"/>
        <v>886817177.62738788</v>
      </c>
      <c r="K23" s="11">
        <f t="shared" si="4"/>
        <v>1.7099999999999893E-2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11"/>
      <c r="H24" s="10"/>
      <c r="I24" s="10">
        <f t="shared" si="5"/>
        <v>2262</v>
      </c>
      <c r="J24" s="10">
        <f t="shared" si="3"/>
        <v>871907558.37910533</v>
      </c>
      <c r="K24" s="11">
        <f t="shared" si="4"/>
        <v>1.7099999999999893E-2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11"/>
      <c r="H25" s="10"/>
      <c r="I25" s="10">
        <f t="shared" si="5"/>
        <v>2262</v>
      </c>
      <c r="J25" s="10">
        <f t="shared" si="3"/>
        <v>857248607.19605291</v>
      </c>
      <c r="K25" s="11">
        <f t="shared" si="4"/>
        <v>1.6999999999999904E-2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11"/>
      <c r="H26" s="10"/>
      <c r="I26" s="10">
        <f t="shared" si="5"/>
        <v>2262</v>
      </c>
      <c r="J26" s="10">
        <f t="shared" si="3"/>
        <v>842918984.46022916</v>
      </c>
      <c r="K26" s="11">
        <f t="shared" si="4"/>
        <v>1.6899999999999915E-2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11"/>
      <c r="H27" s="10"/>
      <c r="I27" s="10">
        <f t="shared" si="5"/>
        <v>2262</v>
      </c>
      <c r="J27" s="10">
        <f t="shared" si="3"/>
        <v>828910398.72183025</v>
      </c>
      <c r="K27" s="11">
        <f t="shared" si="4"/>
        <v>1.6799999999999926E-2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11"/>
      <c r="H28" s="10"/>
      <c r="I28" s="10">
        <f t="shared" si="5"/>
        <v>2262</v>
      </c>
      <c r="J28" s="10">
        <f t="shared" si="3"/>
        <v>815214790.24570251</v>
      </c>
      <c r="K28" s="11">
        <f t="shared" si="4"/>
        <v>1.6799999999999926E-2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11"/>
      <c r="H29" s="10"/>
      <c r="I29" s="10">
        <f t="shared" si="5"/>
        <v>2262</v>
      </c>
      <c r="J29" s="10">
        <f t="shared" si="3"/>
        <v>801745466.41001427</v>
      </c>
      <c r="K29" s="11">
        <f t="shared" si="4"/>
        <v>1.6699999999999937E-2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11"/>
      <c r="H30" s="10"/>
      <c r="I30" s="10">
        <f t="shared" si="5"/>
        <v>2262</v>
      </c>
      <c r="J30" s="10">
        <f t="shared" si="3"/>
        <v>788576243.14941907</v>
      </c>
      <c r="K30" s="11">
        <f t="shared" si="4"/>
        <v>1.6599999999999948E-2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11"/>
      <c r="H31" s="10"/>
      <c r="I31" s="10">
        <f t="shared" si="5"/>
        <v>2262</v>
      </c>
      <c r="J31" s="10">
        <f t="shared" si="3"/>
        <v>775699629.30298948</v>
      </c>
      <c r="K31" s="11">
        <f t="shared" si="4"/>
        <v>1.6500000000000181E-2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11"/>
      <c r="H32" s="10"/>
      <c r="I32" s="10">
        <f t="shared" si="5"/>
        <v>2262</v>
      </c>
      <c r="J32" s="10">
        <f t="shared" si="3"/>
        <v>763108341.66550851</v>
      </c>
      <c r="K32" s="11">
        <f t="shared" si="4"/>
        <v>1.639999999999997E-2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11"/>
      <c r="H33" s="10"/>
      <c r="I33" s="10">
        <f t="shared" si="5"/>
        <v>2262</v>
      </c>
      <c r="J33" s="10">
        <f t="shared" si="3"/>
        <v>750795298.76575029</v>
      </c>
      <c r="K33" s="11">
        <f t="shared" si="4"/>
        <v>1.6299999999999981E-2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11"/>
      <c r="H34" s="10"/>
      <c r="I34" s="10">
        <f t="shared" si="5"/>
        <v>2262</v>
      </c>
      <c r="J34" s="10">
        <f t="shared" ref="J34:J65" si="6">IF(I34="","",I34*C34)</f>
        <v>738753614.84379649</v>
      </c>
      <c r="K34" s="11">
        <f t="shared" ref="K34:K65" si="7">IFERROR(J34/J35-1,"")</f>
        <v>1.6199999999999992E-2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11"/>
      <c r="H35" s="10"/>
      <c r="I35" s="10">
        <f t="shared" ref="I35:I66" si="8">IF(H35&lt;&gt;"",H35,I34/(1+IF(G34="",0,G34)))</f>
        <v>2262</v>
      </c>
      <c r="J35" s="10">
        <f t="shared" si="6"/>
        <v>726976594.02066183</v>
      </c>
      <c r="K35" s="11">
        <f t="shared" si="7"/>
        <v>1.6000000000000236E-2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11"/>
      <c r="H36" s="10"/>
      <c r="I36" s="10">
        <f t="shared" si="8"/>
        <v>2262</v>
      </c>
      <c r="J36" s="10">
        <f t="shared" si="6"/>
        <v>715528143.7211237</v>
      </c>
      <c r="K36" s="11">
        <f t="shared" si="7"/>
        <v>1.5900000000000025E-2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11"/>
      <c r="H37" s="10"/>
      <c r="I37" s="10">
        <f t="shared" si="8"/>
        <v>2262</v>
      </c>
      <c r="J37" s="10">
        <f t="shared" si="6"/>
        <v>704329307.72824466</v>
      </c>
      <c r="K37" s="11">
        <f t="shared" si="7"/>
        <v>1.5500000000000291E-2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11"/>
      <c r="H38" s="10"/>
      <c r="I38" s="10">
        <f t="shared" si="8"/>
        <v>2262</v>
      </c>
      <c r="J38" s="10">
        <f t="shared" si="6"/>
        <v>693578835.77375138</v>
      </c>
      <c r="K38" s="11">
        <f t="shared" si="7"/>
        <v>1.5500000000000069E-2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11"/>
      <c r="H39" s="10"/>
      <c r="I39" s="10">
        <f t="shared" si="8"/>
        <v>2262</v>
      </c>
      <c r="J39" s="10">
        <f t="shared" si="6"/>
        <v>682992452.75603282</v>
      </c>
      <c r="K39" s="11">
        <f t="shared" si="7"/>
        <v>1.5999999999999792E-2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11"/>
      <c r="H40" s="10"/>
      <c r="I40" s="10">
        <f t="shared" si="8"/>
        <v>2262</v>
      </c>
      <c r="J40" s="10">
        <f t="shared" si="6"/>
        <v>672236666.09845757</v>
      </c>
      <c r="K40" s="11">
        <f t="shared" si="7"/>
        <v>1.6999999999999904E-2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11"/>
      <c r="H41" s="10"/>
      <c r="I41" s="10">
        <f t="shared" si="8"/>
        <v>2262</v>
      </c>
      <c r="J41" s="10">
        <f t="shared" si="6"/>
        <v>660999671.67989933</v>
      </c>
      <c r="K41" s="11">
        <f t="shared" si="7"/>
        <v>1.739999999999986E-2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11"/>
      <c r="H42" s="10"/>
      <c r="I42" s="10">
        <f t="shared" si="8"/>
        <v>2262</v>
      </c>
      <c r="J42" s="10">
        <f t="shared" si="6"/>
        <v>649694979.04452467</v>
      </c>
      <c r="K42" s="11">
        <f t="shared" si="7"/>
        <v>1.6999999999999904E-2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11"/>
      <c r="H43" s="10"/>
      <c r="I43" s="10">
        <f t="shared" si="8"/>
        <v>2262</v>
      </c>
      <c r="J43" s="10">
        <f t="shared" si="6"/>
        <v>638834787.65439987</v>
      </c>
      <c r="K43" s="11">
        <f t="shared" si="7"/>
        <v>1.6499999999999959E-2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11"/>
      <c r="H44" s="10"/>
      <c r="I44" s="10">
        <f t="shared" si="8"/>
        <v>2262</v>
      </c>
      <c r="J44" s="10">
        <f t="shared" si="6"/>
        <v>628465113.28519416</v>
      </c>
      <c r="K44" s="11">
        <f t="shared" si="7"/>
        <v>1.6999999999999904E-2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11"/>
      <c r="H45" s="10"/>
      <c r="I45" s="10">
        <f t="shared" si="8"/>
        <v>2262</v>
      </c>
      <c r="J45" s="10">
        <f t="shared" si="6"/>
        <v>617959796.74060392</v>
      </c>
      <c r="K45" s="11">
        <f t="shared" si="7"/>
        <v>1.6999999999999904E-2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11"/>
      <c r="H46" s="10"/>
      <c r="I46" s="10">
        <f t="shared" si="8"/>
        <v>2262</v>
      </c>
      <c r="J46" s="10">
        <f t="shared" si="6"/>
        <v>607630085.29066277</v>
      </c>
      <c r="K46" s="11">
        <f t="shared" si="7"/>
        <v>1.8000000000000238E-2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11"/>
      <c r="H47" s="10"/>
      <c r="I47" s="10">
        <f t="shared" si="8"/>
        <v>2262</v>
      </c>
      <c r="J47" s="10">
        <f t="shared" si="6"/>
        <v>596886134.8631264</v>
      </c>
      <c r="K47" s="11">
        <f t="shared" si="7"/>
        <v>2.0000000000000018E-2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11"/>
      <c r="H48" s="10"/>
      <c r="I48" s="10">
        <f t="shared" si="8"/>
        <v>2262</v>
      </c>
      <c r="J48" s="10">
        <f t="shared" si="6"/>
        <v>585182485.15992785</v>
      </c>
      <c r="K48" s="11">
        <f t="shared" si="7"/>
        <v>2.200000000000002E-2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11"/>
      <c r="H49" s="10"/>
      <c r="I49" s="10">
        <f t="shared" si="8"/>
        <v>2262</v>
      </c>
      <c r="J49" s="10">
        <f t="shared" si="6"/>
        <v>572585601.9177376</v>
      </c>
      <c r="K49" s="11">
        <f t="shared" si="7"/>
        <v>2.4000000000000021E-2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11"/>
      <c r="H50" s="10"/>
      <c r="I50" s="10">
        <f t="shared" si="8"/>
        <v>2262</v>
      </c>
      <c r="J50" s="10">
        <f t="shared" si="6"/>
        <v>559165626.87279058</v>
      </c>
      <c r="K50" s="11">
        <f t="shared" si="7"/>
        <v>2.4999999999999911E-2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11"/>
      <c r="H51" s="10"/>
      <c r="I51" s="10">
        <f t="shared" si="8"/>
        <v>2262</v>
      </c>
      <c r="J51" s="10">
        <f t="shared" si="6"/>
        <v>545527440.85150301</v>
      </c>
      <c r="K51" s="11">
        <f t="shared" si="7"/>
        <v>2.6499999999999968E-2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11"/>
      <c r="H52" s="10"/>
      <c r="I52" s="10">
        <f t="shared" si="8"/>
        <v>2262</v>
      </c>
      <c r="J52" s="10">
        <f t="shared" si="6"/>
        <v>531444170.33755773</v>
      </c>
      <c r="K52" s="11">
        <f t="shared" si="7"/>
        <v>2.9500000000000082E-2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11"/>
      <c r="H53" s="10"/>
      <c r="I53" s="10">
        <f t="shared" si="8"/>
        <v>2262</v>
      </c>
      <c r="J53" s="10">
        <f t="shared" si="6"/>
        <v>516215804.11613184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11"/>
      <c r="H54" s="10"/>
      <c r="I54" s="10">
        <f t="shared" si="8"/>
        <v>2262</v>
      </c>
      <c r="J54" s="10">
        <f t="shared" si="6"/>
        <v>501423801.9583602</v>
      </c>
      <c r="K54" s="11">
        <f t="shared" si="7"/>
        <v>2.9400000000000093E-2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11"/>
      <c r="H55" s="10"/>
      <c r="I55" s="10">
        <f t="shared" si="8"/>
        <v>2262</v>
      </c>
      <c r="J55" s="10">
        <f t="shared" si="6"/>
        <v>487102974.5078299</v>
      </c>
      <c r="K55" s="11">
        <f t="shared" si="7"/>
        <v>3.2899999999999929E-2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11"/>
      <c r="H56" s="10"/>
      <c r="I56" s="10">
        <f t="shared" si="8"/>
        <v>2262</v>
      </c>
      <c r="J56" s="10">
        <f t="shared" si="6"/>
        <v>471587737.92993504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11"/>
      <c r="H57" s="10"/>
      <c r="I57" s="10">
        <f t="shared" si="8"/>
        <v>2262</v>
      </c>
      <c r="J57" s="10">
        <f t="shared" si="6"/>
        <v>455376340.2181682</v>
      </c>
      <c r="K57" s="11">
        <f t="shared" si="7"/>
        <v>3.5199999999999898E-2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11"/>
      <c r="H58" s="10"/>
      <c r="I58" s="10">
        <f t="shared" si="8"/>
        <v>2262</v>
      </c>
      <c r="J58" s="10">
        <f t="shared" si="6"/>
        <v>439892136.99591213</v>
      </c>
      <c r="K58" s="11">
        <f t="shared" si="7"/>
        <v>3.5099999999999909E-2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11"/>
      <c r="H59" s="10"/>
      <c r="I59" s="10">
        <f t="shared" si="8"/>
        <v>2262</v>
      </c>
      <c r="J59" s="10">
        <f t="shared" si="6"/>
        <v>424975497.04947561</v>
      </c>
      <c r="K59" s="11">
        <f t="shared" si="7"/>
        <v>3.6899999999999933E-2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11"/>
      <c r="H60" s="10"/>
      <c r="I60" s="10">
        <f t="shared" si="8"/>
        <v>2262</v>
      </c>
      <c r="J60" s="10">
        <f t="shared" si="6"/>
        <v>409851959.73524511</v>
      </c>
      <c r="K60" s="11">
        <f t="shared" si="7"/>
        <v>3.6399999999999988E-2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11"/>
      <c r="H61" s="10"/>
      <c r="I61" s="10">
        <f t="shared" si="8"/>
        <v>2262</v>
      </c>
      <c r="J61" s="10">
        <f t="shared" si="6"/>
        <v>395457313.52300763</v>
      </c>
      <c r="K61" s="11">
        <f t="shared" si="7"/>
        <v>3.6599999999999966E-2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11"/>
      <c r="H62" s="10"/>
      <c r="I62" s="10">
        <f t="shared" si="8"/>
        <v>2262</v>
      </c>
      <c r="J62" s="10">
        <f t="shared" si="6"/>
        <v>381494610.76886708</v>
      </c>
      <c r="K62" s="11">
        <f t="shared" si="7"/>
        <v>4.0100000000000025E-2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11"/>
      <c r="H63" s="10"/>
      <c r="I63" s="10">
        <f t="shared" si="8"/>
        <v>2262</v>
      </c>
      <c r="J63" s="10">
        <f t="shared" si="6"/>
        <v>366786473.19379586</v>
      </c>
      <c r="K63" s="11">
        <f t="shared" si="7"/>
        <v>3.620000000000001E-2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11"/>
      <c r="H64" s="10"/>
      <c r="I64" s="10">
        <f t="shared" si="8"/>
        <v>2262</v>
      </c>
      <c r="J64" s="10">
        <f t="shared" si="6"/>
        <v>353972662.80042064</v>
      </c>
      <c r="K64" s="11">
        <f t="shared" si="7"/>
        <v>3.7900000000000045E-2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11"/>
      <c r="H65" s="10"/>
      <c r="I65" s="10">
        <f t="shared" si="8"/>
        <v>2262</v>
      </c>
      <c r="J65" s="10">
        <f t="shared" si="6"/>
        <v>341046982.17595202</v>
      </c>
      <c r="K65" s="11">
        <f t="shared" si="7"/>
        <v>3.5700000000000065E-2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11"/>
      <c r="H66" s="10"/>
      <c r="I66" s="10">
        <f t="shared" si="8"/>
        <v>2262</v>
      </c>
      <c r="J66" s="10">
        <f t="shared" ref="J66:J97" si="9">IF(I66="","",I66*C66)</f>
        <v>329291283.36000001</v>
      </c>
      <c r="K66" s="11">
        <f t="shared" ref="K66:K97" si="10">IFERROR(J66/J67-1,"")</f>
        <v>3.7600000000000078E-2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2262</v>
      </c>
      <c r="J67" s="10">
        <f t="shared" si="9"/>
        <v>317358600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5">
        <v>90861040</v>
      </c>
      <c r="G2" s="11"/>
      <c r="H2" s="10"/>
      <c r="I2" s="10">
        <f>IF(H2&lt;&gt;"",H2,23214)</f>
        <v>23214</v>
      </c>
      <c r="J2" s="10">
        <f t="shared" ref="J2:J33" si="3">IF(I2="","",I2*C2)</f>
        <v>2107645501833.1987</v>
      </c>
      <c r="K2" s="11">
        <f t="shared" ref="K2:K33" si="4">IFERROR(J2/J3-1,"")</f>
        <v>1.1200000000000099E-2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11"/>
      <c r="H3" s="10"/>
      <c r="I3" s="10">
        <f t="shared" ref="I3:I34" si="5">IF(H3&lt;&gt;"",H3,I2/(1+IF(G2="",0,G2)))</f>
        <v>23214</v>
      </c>
      <c r="J3" s="10">
        <f t="shared" si="3"/>
        <v>2084301326971.1218</v>
      </c>
      <c r="K3" s="11">
        <f t="shared" si="4"/>
        <v>7.7999999999998071E-3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11"/>
      <c r="H4" s="10"/>
      <c r="I4" s="10">
        <f t="shared" si="5"/>
        <v>23214</v>
      </c>
      <c r="J4" s="10">
        <f t="shared" si="3"/>
        <v>2068169604059.4583</v>
      </c>
      <c r="K4" s="11">
        <f t="shared" si="4"/>
        <v>5.9000000000000163E-3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11"/>
      <c r="H5" s="10"/>
      <c r="I5" s="10">
        <f t="shared" si="5"/>
        <v>23214</v>
      </c>
      <c r="J5" s="10">
        <f t="shared" si="3"/>
        <v>2056038974112.1963</v>
      </c>
      <c r="K5" s="11">
        <f t="shared" si="4"/>
        <v>4.5999999999999375E-3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11"/>
      <c r="H6" s="10"/>
      <c r="I6" s="10">
        <f t="shared" si="5"/>
        <v>23214</v>
      </c>
      <c r="J6" s="10">
        <f t="shared" si="3"/>
        <v>2046624501405.7302</v>
      </c>
      <c r="K6" s="11">
        <f t="shared" si="4"/>
        <v>3.4000000000002917E-3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11"/>
      <c r="H7" s="10"/>
      <c r="I7" s="10">
        <f t="shared" si="5"/>
        <v>23214</v>
      </c>
      <c r="J7" s="10">
        <f t="shared" si="3"/>
        <v>2039689556912.2283</v>
      </c>
      <c r="K7" s="11">
        <f t="shared" si="4"/>
        <v>2.3999999999999577E-3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11"/>
      <c r="H8" s="10"/>
      <c r="I8" s="10">
        <f t="shared" si="5"/>
        <v>23214</v>
      </c>
      <c r="J8" s="10">
        <f t="shared" si="3"/>
        <v>2034806022458.3284</v>
      </c>
      <c r="K8" s="11">
        <f t="shared" si="4"/>
        <v>2.5999999999999357E-3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11"/>
      <c r="H9" s="10"/>
      <c r="I9" s="10">
        <f t="shared" si="5"/>
        <v>23214</v>
      </c>
      <c r="J9" s="10">
        <f t="shared" si="3"/>
        <v>2029529246417.6426</v>
      </c>
      <c r="K9" s="11">
        <f t="shared" si="4"/>
        <v>3.1000000000001027E-3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11"/>
      <c r="H10" s="10"/>
      <c r="I10" s="10">
        <f t="shared" si="5"/>
        <v>23214</v>
      </c>
      <c r="J10" s="10">
        <f t="shared" si="3"/>
        <v>2023257149254.9519</v>
      </c>
      <c r="K10" s="11">
        <f t="shared" si="4"/>
        <v>3.2000000000000917E-3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11"/>
      <c r="H11" s="10"/>
      <c r="I11" s="10">
        <f t="shared" si="5"/>
        <v>23214</v>
      </c>
      <c r="J11" s="10">
        <f t="shared" si="3"/>
        <v>2016803378443.9312</v>
      </c>
      <c r="K11" s="11">
        <f t="shared" si="4"/>
        <v>4.8999999999999044E-3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11"/>
      <c r="H12" s="10"/>
      <c r="I12" s="10">
        <f t="shared" si="5"/>
        <v>23214</v>
      </c>
      <c r="J12" s="10">
        <f t="shared" si="3"/>
        <v>2006969229220.7495</v>
      </c>
      <c r="K12" s="11">
        <f t="shared" si="4"/>
        <v>6.7999999999999172E-3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11"/>
      <c r="H13" s="10"/>
      <c r="I13" s="10">
        <f t="shared" si="5"/>
        <v>23214</v>
      </c>
      <c r="J13" s="10">
        <f t="shared" si="3"/>
        <v>1993414013926.0527</v>
      </c>
      <c r="K13" s="11">
        <f t="shared" si="4"/>
        <v>6.1999999999999833E-3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11"/>
      <c r="H14" s="10"/>
      <c r="I14" s="10">
        <f t="shared" si="5"/>
        <v>23214</v>
      </c>
      <c r="J14" s="10">
        <f t="shared" si="3"/>
        <v>1981131001715.4172</v>
      </c>
      <c r="K14" s="11">
        <f t="shared" si="4"/>
        <v>4.8999999999999044E-3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11"/>
      <c r="H15" s="10"/>
      <c r="I15" s="10">
        <f t="shared" si="5"/>
        <v>23214</v>
      </c>
      <c r="J15" s="10">
        <f t="shared" si="3"/>
        <v>1971470794820.7957</v>
      </c>
      <c r="K15" s="11">
        <f t="shared" si="4"/>
        <v>4.8999999999999044E-3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11"/>
      <c r="H16" s="10"/>
      <c r="I16" s="10">
        <f t="shared" si="5"/>
        <v>23214</v>
      </c>
      <c r="J16" s="10">
        <f t="shared" si="3"/>
        <v>1961857692129.3618</v>
      </c>
      <c r="K16" s="11">
        <f t="shared" si="4"/>
        <v>3.8000000000000256E-3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11"/>
      <c r="H17" s="10"/>
      <c r="I17" s="10">
        <f t="shared" si="5"/>
        <v>23214</v>
      </c>
      <c r="J17" s="10">
        <f t="shared" si="3"/>
        <v>1954430854880.8147</v>
      </c>
      <c r="K17" s="11">
        <f t="shared" si="4"/>
        <v>2.3999999999999577E-3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11"/>
      <c r="H18" s="10"/>
      <c r="I18" s="10">
        <f t="shared" si="5"/>
        <v>23214</v>
      </c>
      <c r="J18" s="10">
        <f t="shared" si="3"/>
        <v>1949751451397.4609</v>
      </c>
      <c r="K18" s="11">
        <f t="shared" si="4"/>
        <v>1.9000000000000128E-3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11"/>
      <c r="H19" s="10"/>
      <c r="I19" s="10">
        <f t="shared" si="5"/>
        <v>23214</v>
      </c>
      <c r="J19" s="10">
        <f t="shared" si="3"/>
        <v>1946053948894.5613</v>
      </c>
      <c r="K19" s="11">
        <f t="shared" si="4"/>
        <v>1.1000000000001009E-3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11"/>
      <c r="H20" s="10"/>
      <c r="I20" s="10">
        <f t="shared" si="5"/>
        <v>23214</v>
      </c>
      <c r="J20" s="10">
        <f t="shared" si="3"/>
        <v>1943915641688.7034</v>
      </c>
      <c r="K20" s="11">
        <f t="shared" si="4"/>
        <v>1.1000000000001009E-3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11"/>
      <c r="H21" s="10"/>
      <c r="I21" s="10">
        <f t="shared" si="5"/>
        <v>23214</v>
      </c>
      <c r="J21" s="10">
        <f t="shared" si="3"/>
        <v>1941779684036.2634</v>
      </c>
      <c r="K21" s="11">
        <f t="shared" si="4"/>
        <v>1.4000000000000679E-3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11"/>
      <c r="H22" s="10"/>
      <c r="I22" s="10">
        <f t="shared" si="5"/>
        <v>23214</v>
      </c>
      <c r="J22" s="10">
        <f t="shared" si="3"/>
        <v>1939064993045.999</v>
      </c>
      <c r="K22" s="11">
        <f t="shared" si="4"/>
        <v>1.5000000000000568E-3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11"/>
      <c r="H23" s="10"/>
      <c r="I23" s="10">
        <f t="shared" si="5"/>
        <v>23214</v>
      </c>
      <c r="J23" s="10">
        <f t="shared" si="3"/>
        <v>1936160751918.1218</v>
      </c>
      <c r="K23" s="11">
        <f t="shared" si="4"/>
        <v>3.8000000000000256E-3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11"/>
      <c r="H24" s="10"/>
      <c r="I24" s="10">
        <f t="shared" si="5"/>
        <v>23214</v>
      </c>
      <c r="J24" s="10">
        <f t="shared" si="3"/>
        <v>1928831193383.2654</v>
      </c>
      <c r="K24" s="11">
        <f t="shared" si="4"/>
        <v>8.1999999999999851E-3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11"/>
      <c r="H25" s="10"/>
      <c r="I25" s="10">
        <f t="shared" si="5"/>
        <v>23214</v>
      </c>
      <c r="J25" s="10">
        <f t="shared" si="3"/>
        <v>1913143417360.906</v>
      </c>
      <c r="K25" s="11">
        <f t="shared" si="4"/>
        <v>1.0999999999999899E-2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11"/>
      <c r="H26" s="10"/>
      <c r="I26" s="10">
        <f t="shared" si="5"/>
        <v>23214</v>
      </c>
      <c r="J26" s="10">
        <f t="shared" si="3"/>
        <v>1892327811435.1199</v>
      </c>
      <c r="K26" s="11">
        <f t="shared" si="4"/>
        <v>1.0000000000000009E-2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11"/>
      <c r="H27" s="10"/>
      <c r="I27" s="10">
        <f t="shared" si="5"/>
        <v>23214</v>
      </c>
      <c r="J27" s="10">
        <f t="shared" si="3"/>
        <v>1873591892510.0198</v>
      </c>
      <c r="K27" s="11">
        <f t="shared" si="4"/>
        <v>7.6000000000000512E-3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11"/>
      <c r="H28" s="10"/>
      <c r="I28" s="10">
        <f t="shared" si="5"/>
        <v>23214</v>
      </c>
      <c r="J28" s="10">
        <f t="shared" si="3"/>
        <v>1859459996536.3435</v>
      </c>
      <c r="K28" s="11">
        <f t="shared" si="4"/>
        <v>4.5000000000001705E-3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11"/>
      <c r="H29" s="10"/>
      <c r="I29" s="10">
        <f t="shared" si="5"/>
        <v>23214</v>
      </c>
      <c r="J29" s="10">
        <f t="shared" si="3"/>
        <v>1851129911932.6465</v>
      </c>
      <c r="K29" s="11">
        <f t="shared" si="4"/>
        <v>1.4000000000000679E-3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11"/>
      <c r="H30" s="10"/>
      <c r="I30" s="10">
        <f t="shared" si="5"/>
        <v>23214</v>
      </c>
      <c r="J30" s="10">
        <f t="shared" si="3"/>
        <v>1848541953198.1689</v>
      </c>
      <c r="K30" s="11">
        <f t="shared" si="4"/>
        <v>5.9999999999993392E-4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11"/>
      <c r="H31" s="10"/>
      <c r="I31" s="10">
        <f t="shared" si="5"/>
        <v>23214</v>
      </c>
      <c r="J31" s="10">
        <f t="shared" si="3"/>
        <v>1847433493102.3079</v>
      </c>
      <c r="K31" s="11">
        <f t="shared" si="4"/>
        <v>6.0000000000015596E-4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11"/>
      <c r="H32" s="10"/>
      <c r="I32" s="10">
        <f t="shared" si="5"/>
        <v>23214</v>
      </c>
      <c r="J32" s="10">
        <f t="shared" si="3"/>
        <v>1846325697683.6975</v>
      </c>
      <c r="K32" s="11">
        <f t="shared" si="4"/>
        <v>4.9999999999994493E-4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11"/>
      <c r="H33" s="10"/>
      <c r="I33" s="10">
        <f t="shared" si="5"/>
        <v>23214</v>
      </c>
      <c r="J33" s="10">
        <f t="shared" si="3"/>
        <v>1845402996185.6047</v>
      </c>
      <c r="K33" s="11">
        <f t="shared" si="4"/>
        <v>-9.9999999999988987E-5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11"/>
      <c r="H34" s="10"/>
      <c r="I34" s="10">
        <f t="shared" si="5"/>
        <v>23214</v>
      </c>
      <c r="J34" s="10">
        <f t="shared" ref="J34:J65" si="6">IF(I34="","",I34*C34)</f>
        <v>1845587554941.0989</v>
      </c>
      <c r="K34" s="11">
        <f t="shared" ref="K34:K65" si="7">IFERROR(J34/J35-1,"")</f>
        <v>-1.6000000000000458E-3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11"/>
      <c r="H35" s="10"/>
      <c r="I35" s="10">
        <f t="shared" ref="I35:I66" si="8">IF(H35&lt;&gt;"",H35,I34/(1+IF(G34="",0,G34)))</f>
        <v>23214</v>
      </c>
      <c r="J35" s="10">
        <f t="shared" si="6"/>
        <v>1848545227304.7866</v>
      </c>
      <c r="K35" s="11">
        <f t="shared" si="7"/>
        <v>6.9999999999992291E-4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11"/>
      <c r="H36" s="10"/>
      <c r="I36" s="10">
        <f t="shared" si="8"/>
        <v>23214</v>
      </c>
      <c r="J36" s="10">
        <f t="shared" si="6"/>
        <v>1847252150799.2273</v>
      </c>
      <c r="K36" s="11">
        <f t="shared" si="7"/>
        <v>2.5999999999999357E-3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11"/>
      <c r="H37" s="10"/>
      <c r="I37" s="10">
        <f t="shared" si="8"/>
        <v>23214</v>
      </c>
      <c r="J37" s="10">
        <f t="shared" si="6"/>
        <v>1842461750248.5813</v>
      </c>
      <c r="K37" s="11">
        <f t="shared" si="7"/>
        <v>0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11"/>
      <c r="H38" s="10"/>
      <c r="I38" s="10">
        <f t="shared" si="8"/>
        <v>23214</v>
      </c>
      <c r="J38" s="10">
        <f t="shared" si="6"/>
        <v>1842461750248.5813</v>
      </c>
      <c r="K38" s="11">
        <f t="shared" si="7"/>
        <v>-1.7000000000000348E-3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11"/>
      <c r="H39" s="10"/>
      <c r="I39" s="10">
        <f t="shared" si="8"/>
        <v>23214</v>
      </c>
      <c r="J39" s="10">
        <f t="shared" si="6"/>
        <v>1845599269005.8914</v>
      </c>
      <c r="K39" s="11">
        <f t="shared" si="7"/>
        <v>-8.0000000000013394E-4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11"/>
      <c r="H40" s="10"/>
      <c r="I40" s="10">
        <f t="shared" si="8"/>
        <v>23214</v>
      </c>
      <c r="J40" s="10">
        <f t="shared" si="6"/>
        <v>1847076930550.3318</v>
      </c>
      <c r="K40" s="11">
        <f t="shared" si="7"/>
        <v>3.9999999999995595E-4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11"/>
      <c r="H41" s="10"/>
      <c r="I41" s="10">
        <f t="shared" si="8"/>
        <v>23214</v>
      </c>
      <c r="J41" s="10">
        <f t="shared" si="6"/>
        <v>1846338395192.2549</v>
      </c>
      <c r="K41" s="11">
        <f t="shared" si="7"/>
        <v>-1.8000000000000238E-3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11"/>
      <c r="H42" s="10"/>
      <c r="I42" s="10">
        <f t="shared" si="8"/>
        <v>23214</v>
      </c>
      <c r="J42" s="10">
        <f t="shared" si="6"/>
        <v>1849667797227.2639</v>
      </c>
      <c r="K42" s="11">
        <f t="shared" si="7"/>
        <v>-2.7000000000001467E-3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11"/>
      <c r="H43" s="10"/>
      <c r="I43" s="10">
        <f t="shared" si="8"/>
        <v>23214</v>
      </c>
      <c r="J43" s="10">
        <f t="shared" si="6"/>
        <v>1854675420863.5959</v>
      </c>
      <c r="K43" s="11">
        <f t="shared" si="7"/>
        <v>1.7000000000002569E-3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11"/>
      <c r="H44" s="10"/>
      <c r="I44" s="10">
        <f t="shared" si="8"/>
        <v>23214</v>
      </c>
      <c r="J44" s="10">
        <f t="shared" si="6"/>
        <v>1851527823563.5376</v>
      </c>
      <c r="K44" s="11">
        <f t="shared" si="7"/>
        <v>5.5000000000000604E-3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11"/>
      <c r="H45" s="10"/>
      <c r="I45" s="10">
        <f t="shared" si="8"/>
        <v>23214</v>
      </c>
      <c r="J45" s="10">
        <f t="shared" si="6"/>
        <v>1841400122887.6555</v>
      </c>
      <c r="K45" s="11">
        <f t="shared" si="7"/>
        <v>5.8000000000002494E-3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11"/>
      <c r="H46" s="10"/>
      <c r="I46" s="10">
        <f t="shared" si="8"/>
        <v>23214</v>
      </c>
      <c r="J46" s="10">
        <f t="shared" si="6"/>
        <v>1830781589667.5833</v>
      </c>
      <c r="K46" s="11">
        <f t="shared" si="7"/>
        <v>4.4999999999997264E-3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11"/>
      <c r="H47" s="10"/>
      <c r="I47" s="10">
        <f t="shared" si="8"/>
        <v>23214</v>
      </c>
      <c r="J47" s="10">
        <f t="shared" si="6"/>
        <v>1822579979758.6697</v>
      </c>
      <c r="K47" s="11">
        <f t="shared" si="7"/>
        <v>3.5000000000000586E-3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11"/>
      <c r="H48" s="10"/>
      <c r="I48" s="10">
        <f t="shared" si="8"/>
        <v>23214</v>
      </c>
      <c r="J48" s="10">
        <f t="shared" si="6"/>
        <v>1816223198563.6965</v>
      </c>
      <c r="K48" s="11">
        <f t="shared" si="7"/>
        <v>3.5000000000000586E-3</v>
      </c>
      <c r="L48" t="inlineStr">
        <is>
          <t xml:space="preserve">Decolonisation - loss of Candenat &amp; Migoku; the Migoku Crisis.</t>
        </is>
      </c>
      <c r="M48" t="inlineStr">
        <is>
          <t xml:space="preserve">Emaran decolonisation (1715-19): loss of Candenat and Migoku and the Migoku Crisis.</t>
        </is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11"/>
      <c r="H49" s="10"/>
      <c r="I49" s="10">
        <f t="shared" si="8"/>
        <v>23214</v>
      </c>
      <c r="J49" s="10">
        <f t="shared" si="6"/>
        <v>1809888588503.9326</v>
      </c>
      <c r="K49" s="11">
        <f t="shared" si="7"/>
        <v>5.2000000000000934E-3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11"/>
      <c r="H50" s="10"/>
      <c r="I50" s="10">
        <f t="shared" si="8"/>
        <v>23214</v>
      </c>
      <c r="J50" s="10">
        <f t="shared" si="6"/>
        <v>1800525854062.8059</v>
      </c>
      <c r="K50" s="11">
        <f t="shared" si="7"/>
        <v>7.5000000000000622E-3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11"/>
      <c r="H51" s="10"/>
      <c r="I51" s="10">
        <f t="shared" si="8"/>
        <v>23214</v>
      </c>
      <c r="J51" s="10">
        <f t="shared" si="6"/>
        <v>1787122435794.3481</v>
      </c>
      <c r="K51" s="11">
        <f t="shared" si="7"/>
        <v>6.9999999999998952E-3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11"/>
      <c r="H52" s="10"/>
      <c r="I52" s="10">
        <f t="shared" si="8"/>
        <v>23214</v>
      </c>
      <c r="J52" s="10">
        <f t="shared" si="6"/>
        <v>1774699539021.2</v>
      </c>
      <c r="K52" s="11">
        <f t="shared" si="7"/>
        <v>6.5000000000001723E-3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11"/>
      <c r="H53" s="10"/>
      <c r="I53" s="10">
        <f t="shared" si="8"/>
        <v>23214</v>
      </c>
      <c r="J53" s="10">
        <f t="shared" si="6"/>
        <v>1763238488843.7156</v>
      </c>
      <c r="K53" s="11">
        <f t="shared" si="7"/>
        <v>6.6999999999999282E-3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11"/>
      <c r="H54" s="10"/>
      <c r="I54" s="10">
        <f t="shared" si="8"/>
        <v>23214</v>
      </c>
      <c r="J54" s="10">
        <f t="shared" si="6"/>
        <v>1751503415956.8052</v>
      </c>
      <c r="K54" s="11">
        <f t="shared" si="7"/>
        <v>6.3999999999999613E-3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11"/>
      <c r="H55" s="10"/>
      <c r="I55" s="10">
        <f t="shared" si="8"/>
        <v>23214</v>
      </c>
      <c r="J55" s="10">
        <f t="shared" si="6"/>
        <v>1740365079448.3359</v>
      </c>
      <c r="K55" s="11">
        <f t="shared" si="7"/>
        <v>6.0999999999999943E-3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11"/>
      <c r="H56" s="10"/>
      <c r="I56" s="10">
        <f t="shared" si="8"/>
        <v>23214</v>
      </c>
      <c r="J56" s="10">
        <f t="shared" si="6"/>
        <v>1729813218813.5732</v>
      </c>
      <c r="K56" s="11">
        <f t="shared" si="7"/>
        <v>5.5000000000000604E-3</v>
      </c>
      <c r="L56" t="inlineStr">
        <is>
          <t xml:space="preserve">Islatan Stabilisation Crisis - 6th Republic falls; the Islatan is reset under the 7th Republic.</t>
        </is>
      </c>
      <c r="M56" t="inlineStr">
        <is>
          <t xml:space="preserve">Islatan Stabilisation Crisis (1711): Emara's currency collapse as the 6th Republic fell, forcing a hard reset of the Islatan under the 7th Republic.</t>
        </is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11"/>
      <c r="H57" s="10"/>
      <c r="I57" s="10">
        <f t="shared" si="8"/>
        <v>23214</v>
      </c>
      <c r="J57" s="10">
        <f t="shared" si="6"/>
        <v>1720351286736.5222</v>
      </c>
      <c r="K57" s="11">
        <f t="shared" si="7"/>
        <v>5.0000000000001155E-3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11"/>
      <c r="H58" s="10"/>
      <c r="I58" s="10">
        <f t="shared" si="8"/>
        <v>23214</v>
      </c>
      <c r="J58" s="10">
        <f t="shared" si="6"/>
        <v>1711792325110.9673</v>
      </c>
      <c r="K58" s="11">
        <f t="shared" si="7"/>
        <v>4.0000000000000036E-3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11"/>
      <c r="H59" s="10"/>
      <c r="I59" s="10">
        <f t="shared" si="8"/>
        <v>23214</v>
      </c>
      <c r="J59" s="10">
        <f t="shared" si="6"/>
        <v>1704972435369.4893</v>
      </c>
      <c r="K59" s="11">
        <f t="shared" si="7"/>
        <v>3.9999999999997815E-3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11"/>
      <c r="H60" s="10"/>
      <c r="I60" s="10">
        <f t="shared" si="8"/>
        <v>23214</v>
      </c>
      <c r="J60" s="10">
        <f t="shared" si="6"/>
        <v>1698179716503.4756</v>
      </c>
      <c r="K60" s="11">
        <f t="shared" si="7"/>
        <v>2.9999999999998916E-3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11"/>
      <c r="H61" s="10"/>
      <c r="I61" s="10">
        <f t="shared" si="8"/>
        <v>23214</v>
      </c>
      <c r="J61" s="10">
        <f t="shared" si="6"/>
        <v>1693100415257.7026</v>
      </c>
      <c r="K61" s="11">
        <f t="shared" si="7"/>
        <v>2.9999999999998916E-3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11"/>
      <c r="H62" s="10"/>
      <c r="I62" s="10">
        <f t="shared" si="8"/>
        <v>23214</v>
      </c>
      <c r="J62" s="10">
        <f t="shared" si="6"/>
        <v>1688036306338.6868</v>
      </c>
      <c r="K62" s="11">
        <f t="shared" si="7"/>
        <v>2.0000000000000018E-3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11"/>
      <c r="H63" s="10"/>
      <c r="I63" s="10">
        <f t="shared" si="8"/>
        <v>23214</v>
      </c>
      <c r="J63" s="10">
        <f t="shared" si="6"/>
        <v>1684666972393.8989</v>
      </c>
      <c r="K63" s="11">
        <f t="shared" si="7"/>
        <v>2.0000000000000018E-3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11"/>
      <c r="H64" s="10"/>
      <c r="I64" s="10">
        <f t="shared" si="8"/>
        <v>23214</v>
      </c>
      <c r="J64" s="10">
        <f t="shared" si="6"/>
        <v>1681304363666.5657</v>
      </c>
      <c r="K64" s="11">
        <f t="shared" si="7"/>
        <v>2.0000000000000018E-3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11"/>
      <c r="H65" s="10"/>
      <c r="I65" s="10">
        <f t="shared" si="8"/>
        <v>23214</v>
      </c>
      <c r="J65" s="10">
        <f t="shared" si="6"/>
        <v>1677948466733.0994</v>
      </c>
      <c r="K65" s="11">
        <f t="shared" si="7"/>
        <v>2.9999999999996696E-3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11"/>
      <c r="H66" s="10"/>
      <c r="I66" s="10">
        <f t="shared" si="8"/>
        <v>23214</v>
      </c>
      <c r="J66" s="10">
        <f t="shared" ref="J66:J97" si="9">IF(I66="","",I66*C66)</f>
        <v>1672929677699.9998</v>
      </c>
      <c r="K66" s="11">
        <f t="shared" ref="K66:K97" si="10">IFERROR(J66/J67-1,"")</f>
        <v>2.9999999999998916E-3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23214</v>
      </c>
      <c r="J67" s="10">
        <f t="shared" si="9"/>
        <v>1667925900000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5">
        <v>51690</v>
      </c>
      <c r="G2" s="11"/>
      <c r="H2" s="10"/>
      <c r="I2" s="10">
        <f>IF(H2&lt;&gt;"",H2,4881)</f>
        <v>4881</v>
      </c>
      <c r="J2" s="10">
        <f t="shared" ref="J2:J33" si="3">IF(I2="","",I2*C2)</f>
        <v>252222322.69938144</v>
      </c>
      <c r="K2" s="11">
        <f t="shared" ref="K2:K33" si="4">IFERROR(J2/J3-1,"")</f>
        <v>-8.0000000000000071E-3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11"/>
      <c r="H3" s="10"/>
      <c r="I3" s="10">
        <f t="shared" ref="I3:I34" si="5">IF(H3&lt;&gt;"",H3,I2/(1+IF(G2="",0,G2)))</f>
        <v>4881</v>
      </c>
      <c r="J3" s="10">
        <f t="shared" si="3"/>
        <v>254256373.68889257</v>
      </c>
      <c r="K3" s="11">
        <f t="shared" si="4"/>
        <v>-5.2999999999999714E-3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11"/>
      <c r="H4" s="10"/>
      <c r="I4" s="10">
        <f t="shared" si="5"/>
        <v>4881</v>
      </c>
      <c r="J4" s="10">
        <f t="shared" si="3"/>
        <v>255611112.58559623</v>
      </c>
      <c r="K4" s="11">
        <f t="shared" si="4"/>
        <v>-3.1999999999998696E-3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11"/>
      <c r="H5" s="10"/>
      <c r="I5" s="10">
        <f t="shared" si="5"/>
        <v>4881</v>
      </c>
      <c r="J5" s="10">
        <f t="shared" si="3"/>
        <v>256431694.00641674</v>
      </c>
      <c r="K5" s="11">
        <f t="shared" si="4"/>
        <v>-7.0000000000003393E-4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11"/>
      <c r="H6" s="10"/>
      <c r="I6" s="10">
        <f t="shared" si="5"/>
        <v>4881</v>
      </c>
      <c r="J6" s="10">
        <f t="shared" si="3"/>
        <v>256611321.93176898</v>
      </c>
      <c r="K6" s="11">
        <f t="shared" si="4"/>
        <v>1.2000000000000899E-3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11"/>
      <c r="H7" s="10"/>
      <c r="I7" s="10">
        <f t="shared" si="5"/>
        <v>4881</v>
      </c>
      <c r="J7" s="10">
        <f t="shared" si="3"/>
        <v>256303757.42286152</v>
      </c>
      <c r="K7" s="11">
        <f t="shared" si="4"/>
        <v>0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11"/>
      <c r="H8" s="10"/>
      <c r="I8" s="10">
        <f t="shared" si="5"/>
        <v>4881</v>
      </c>
      <c r="J8" s="10">
        <f t="shared" si="3"/>
        <v>256303757.42286152</v>
      </c>
      <c r="K8" s="11">
        <f t="shared" si="4"/>
        <v>-9.000000000000119E-4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11"/>
      <c r="H9" s="10"/>
      <c r="I9" s="10">
        <f t="shared" si="5"/>
        <v>4881</v>
      </c>
      <c r="J9" s="10">
        <f t="shared" si="3"/>
        <v>256534638.59759936</v>
      </c>
      <c r="K9" s="11">
        <f t="shared" si="4"/>
        <v>8.9999999999990088E-4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11"/>
      <c r="H10" s="10"/>
      <c r="I10" s="10">
        <f t="shared" si="5"/>
        <v>4881</v>
      </c>
      <c r="J10" s="10">
        <f t="shared" si="3"/>
        <v>256303965.02907321</v>
      </c>
      <c r="K10" s="11">
        <f t="shared" si="4"/>
        <v>2.3999999999999577E-3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11"/>
      <c r="H11" s="10"/>
      <c r="I11" s="10">
        <f t="shared" si="5"/>
        <v>4881</v>
      </c>
      <c r="J11" s="10">
        <f t="shared" si="3"/>
        <v>255690308.28917918</v>
      </c>
      <c r="K11" s="11">
        <f t="shared" si="4"/>
        <v>2.8999999999999027E-3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11"/>
      <c r="H12" s="10"/>
      <c r="I12" s="10">
        <f t="shared" si="5"/>
        <v>4881</v>
      </c>
      <c r="J12" s="10">
        <f t="shared" si="3"/>
        <v>254950950.53263456</v>
      </c>
      <c r="K12" s="11">
        <f t="shared" si="4"/>
        <v>-7.0999999999999952E-3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11"/>
      <c r="H13" s="10"/>
      <c r="I13" s="10">
        <f t="shared" si="5"/>
        <v>4881</v>
      </c>
      <c r="J13" s="10">
        <f t="shared" si="3"/>
        <v>256774046.26108828</v>
      </c>
      <c r="K13" s="11">
        <f t="shared" si="4"/>
        <v>-6.4999999999999503E-3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11"/>
      <c r="H14" s="10"/>
      <c r="I14" s="10">
        <f t="shared" si="5"/>
        <v>4881</v>
      </c>
      <c r="J14" s="10">
        <f t="shared" si="3"/>
        <v>258453997.24316886</v>
      </c>
      <c r="K14" s="11">
        <f t="shared" si="4"/>
        <v>-6.0000000000000053E-3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11"/>
      <c r="H15" s="10"/>
      <c r="I15" s="10">
        <f t="shared" si="5"/>
        <v>4881</v>
      </c>
      <c r="J15" s="10">
        <f t="shared" si="3"/>
        <v>260014081.73357028</v>
      </c>
      <c r="K15" s="11">
        <f t="shared" si="4"/>
        <v>-5.2999999999999714E-3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11"/>
      <c r="H16" s="10"/>
      <c r="I16" s="10">
        <f t="shared" si="5"/>
        <v>4881</v>
      </c>
      <c r="J16" s="10">
        <f t="shared" si="3"/>
        <v>261399499.07868731</v>
      </c>
      <c r="K16" s="11">
        <f t="shared" si="4"/>
        <v>-4.6000000000000485E-3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11"/>
      <c r="H17" s="10"/>
      <c r="I17" s="10">
        <f t="shared" si="5"/>
        <v>4881</v>
      </c>
      <c r="J17" s="10">
        <f t="shared" si="3"/>
        <v>262607493.54901278</v>
      </c>
      <c r="K17" s="11">
        <f t="shared" si="4"/>
        <v>-3.7000000000001476E-3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11"/>
      <c r="H18" s="10"/>
      <c r="I18" s="10">
        <f t="shared" si="5"/>
        <v>4881</v>
      </c>
      <c r="J18" s="10">
        <f t="shared" si="3"/>
        <v>263582749.72298786</v>
      </c>
      <c r="K18" s="11">
        <f t="shared" si="4"/>
        <v>-2.8999999999999027E-3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11"/>
      <c r="H19" s="10"/>
      <c r="I19" s="10">
        <f t="shared" si="5"/>
        <v>4881</v>
      </c>
      <c r="J19" s="10">
        <f t="shared" si="3"/>
        <v>264349362.87532628</v>
      </c>
      <c r="K19" s="11">
        <f t="shared" si="4"/>
        <v>5.1000000000001044E-3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11"/>
      <c r="H20" s="10"/>
      <c r="I20" s="10">
        <f t="shared" si="5"/>
        <v>4881</v>
      </c>
      <c r="J20" s="10">
        <f t="shared" si="3"/>
        <v>263008021.96331337</v>
      </c>
      <c r="K20" s="11">
        <f t="shared" si="4"/>
        <v>8.69999999999993E-3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11"/>
      <c r="H21" s="10"/>
      <c r="I21" s="10">
        <f t="shared" si="5"/>
        <v>4881</v>
      </c>
      <c r="J21" s="10">
        <f t="shared" si="3"/>
        <v>260739587.55161434</v>
      </c>
      <c r="K21" s="11">
        <f t="shared" si="4"/>
        <v>8.899999999999908E-3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11"/>
      <c r="H22" s="10"/>
      <c r="I22" s="10">
        <f t="shared" si="5"/>
        <v>4881</v>
      </c>
      <c r="J22" s="10">
        <f t="shared" si="3"/>
        <v>258439476.21331584</v>
      </c>
      <c r="K22" s="11">
        <f t="shared" si="4"/>
        <v>9.200000000000097E-3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11"/>
      <c r="H23" s="10"/>
      <c r="I23" s="10">
        <f t="shared" si="5"/>
        <v>4881</v>
      </c>
      <c r="J23" s="10">
        <f t="shared" si="3"/>
        <v>256083507.94026539</v>
      </c>
      <c r="K23" s="11">
        <f t="shared" si="4"/>
        <v>9.700000000000264E-3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11"/>
      <c r="H24" s="10"/>
      <c r="I24" s="10">
        <f t="shared" si="5"/>
        <v>4881</v>
      </c>
      <c r="J24" s="10">
        <f t="shared" si="3"/>
        <v>253623361.33531281</v>
      </c>
      <c r="K24" s="11">
        <f t="shared" si="4"/>
        <v>1.0099999999999998E-2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11"/>
      <c r="H25" s="10"/>
      <c r="I25" s="10">
        <f t="shared" si="5"/>
        <v>4881</v>
      </c>
      <c r="J25" s="10">
        <f t="shared" si="3"/>
        <v>251087378.80933848</v>
      </c>
      <c r="K25" s="11">
        <f t="shared" si="4"/>
        <v>1.069999999999971E-2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11"/>
      <c r="H26" s="10"/>
      <c r="I26" s="10">
        <f t="shared" si="5"/>
        <v>4881</v>
      </c>
      <c r="J26" s="10">
        <f t="shared" si="3"/>
        <v>248429186.51364255</v>
      </c>
      <c r="K26" s="11">
        <f t="shared" si="4"/>
        <v>1.1400000000000077E-2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11"/>
      <c r="H27" s="10"/>
      <c r="I27" s="10">
        <f t="shared" si="5"/>
        <v>4881</v>
      </c>
      <c r="J27" s="10">
        <f t="shared" si="3"/>
        <v>245629015.73427182</v>
      </c>
      <c r="K27" s="11">
        <f t="shared" si="4"/>
        <v>1.4000000000000012E-2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11"/>
      <c r="H28" s="10"/>
      <c r="I28" s="10">
        <f t="shared" si="5"/>
        <v>4881</v>
      </c>
      <c r="J28" s="10">
        <f t="shared" si="3"/>
        <v>242237688.10085979</v>
      </c>
      <c r="K28" s="11">
        <f t="shared" si="4"/>
        <v>1.7200000000000104E-2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11"/>
      <c r="H29" s="10"/>
      <c r="I29" s="10">
        <f t="shared" si="5"/>
        <v>4881</v>
      </c>
      <c r="J29" s="10">
        <f t="shared" si="3"/>
        <v>238141651.69176146</v>
      </c>
      <c r="K29" s="11">
        <f t="shared" si="4"/>
        <v>1.8699999999999717E-2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11"/>
      <c r="H30" s="10"/>
      <c r="I30" s="10">
        <f t="shared" si="5"/>
        <v>4881</v>
      </c>
      <c r="J30" s="10">
        <f t="shared" si="3"/>
        <v>233770149.8888402</v>
      </c>
      <c r="K30" s="11">
        <f t="shared" si="4"/>
        <v>1.9099999999999895E-2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11"/>
      <c r="H31" s="10"/>
      <c r="I31" s="10">
        <f t="shared" si="5"/>
        <v>4881</v>
      </c>
      <c r="J31" s="10">
        <f t="shared" si="3"/>
        <v>229388823.36261427</v>
      </c>
      <c r="K31" s="11">
        <f t="shared" si="4"/>
        <v>1.9500000000000073E-2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11"/>
      <c r="H32" s="10"/>
      <c r="I32" s="10">
        <f t="shared" si="5"/>
        <v>4881</v>
      </c>
      <c r="J32" s="10">
        <f t="shared" si="3"/>
        <v>225001298.05062702</v>
      </c>
      <c r="K32" s="11">
        <f t="shared" si="4"/>
        <v>1.9700000000000051E-2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11"/>
      <c r="H33" s="10"/>
      <c r="I33" s="10">
        <f t="shared" si="5"/>
        <v>4881</v>
      </c>
      <c r="J33" s="10">
        <f t="shared" si="3"/>
        <v>220654406.24755025</v>
      </c>
      <c r="K33" s="11">
        <f t="shared" si="4"/>
        <v>1.9600000000000062E-2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11"/>
      <c r="H34" s="10"/>
      <c r="I34" s="10">
        <f t="shared" si="5"/>
        <v>4881</v>
      </c>
      <c r="J34" s="10">
        <f t="shared" ref="J34:J65" si="6">IF(I34="","",I34*C34)</f>
        <v>216412716.99445885</v>
      </c>
      <c r="K34" s="11">
        <f t="shared" ref="K34:K65" si="7">IFERROR(J34/J35-1,"")</f>
        <v>1.8799999999999706E-2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11"/>
      <c r="H35" s="10"/>
      <c r="I35" s="10">
        <f t="shared" ref="I35:I66" si="8">IF(H35&lt;&gt;"",H35,I34/(1+IF(G34="",0,G34)))</f>
        <v>4881</v>
      </c>
      <c r="J35" s="10">
        <f t="shared" si="6"/>
        <v>212419235.36951208</v>
      </c>
      <c r="K35" s="11">
        <f t="shared" si="7"/>
        <v>1.4100000000000223E-2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11"/>
      <c r="H36" s="10"/>
      <c r="I36" s="10">
        <f t="shared" si="8"/>
        <v>4881</v>
      </c>
      <c r="J36" s="10">
        <f t="shared" si="6"/>
        <v>209465768.04014599</v>
      </c>
      <c r="K36" s="11">
        <f t="shared" si="7"/>
        <v>5.6999999999998163E-3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11"/>
      <c r="H37" s="10"/>
      <c r="I37" s="10">
        <f t="shared" si="8"/>
        <v>4881</v>
      </c>
      <c r="J37" s="10">
        <f t="shared" si="6"/>
        <v>208278580.13338572</v>
      </c>
      <c r="K37" s="11">
        <f t="shared" si="7"/>
        <v>2.1000000000002128E-3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11"/>
      <c r="H38" s="10"/>
      <c r="I38" s="10">
        <f t="shared" si="8"/>
        <v>4881</v>
      </c>
      <c r="J38" s="10">
        <f t="shared" si="6"/>
        <v>207842111.69881818</v>
      </c>
      <c r="K38" s="11">
        <f t="shared" si="7"/>
        <v>2.8999999999999027E-3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11"/>
      <c r="H39" s="10"/>
      <c r="I39" s="10">
        <f t="shared" si="8"/>
        <v>4881</v>
      </c>
      <c r="J39" s="10">
        <f t="shared" si="6"/>
        <v>207241112.47264752</v>
      </c>
      <c r="K39" s="11">
        <f t="shared" si="7"/>
        <v>3.7000000000000366E-3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11"/>
      <c r="H40" s="10"/>
      <c r="I40" s="10">
        <f t="shared" si="8"/>
        <v>4881</v>
      </c>
      <c r="J40" s="10">
        <f t="shared" si="6"/>
        <v>206477147.02864152</v>
      </c>
      <c r="K40" s="11">
        <f t="shared" si="7"/>
        <v>6.0000000000000053E-3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11"/>
      <c r="H41" s="10"/>
      <c r="I41" s="10">
        <f t="shared" si="8"/>
        <v>4881</v>
      </c>
      <c r="J41" s="10">
        <f t="shared" si="6"/>
        <v>205245672.99069732</v>
      </c>
      <c r="K41" s="11">
        <f t="shared" si="7"/>
        <v>8.69999999999993E-3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11"/>
      <c r="H42" s="10"/>
      <c r="I42" s="10">
        <f t="shared" si="8"/>
        <v>4881</v>
      </c>
      <c r="J42" s="10">
        <f t="shared" si="6"/>
        <v>203475436.69148147</v>
      </c>
      <c r="K42" s="11">
        <f t="shared" si="7"/>
        <v>8.899999999999908E-3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11"/>
      <c r="H43" s="10"/>
      <c r="I43" s="10">
        <f t="shared" si="8"/>
        <v>4881</v>
      </c>
      <c r="J43" s="10">
        <f t="shared" si="6"/>
        <v>201680480.41578102</v>
      </c>
      <c r="K43" s="11">
        <f t="shared" si="7"/>
        <v>2.9000000000001247E-3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11"/>
      <c r="H44" s="10"/>
      <c r="I44" s="10">
        <f t="shared" si="8"/>
        <v>4881</v>
      </c>
      <c r="J44" s="10">
        <f t="shared" si="6"/>
        <v>201097298.25085354</v>
      </c>
      <c r="K44" s="11">
        <f t="shared" si="7"/>
        <v>6.9999999999992291E-4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11"/>
      <c r="H45" s="10"/>
      <c r="I45" s="10">
        <f t="shared" si="8"/>
        <v>4881</v>
      </c>
      <c r="J45" s="10">
        <f t="shared" si="6"/>
        <v>200956628.61082599</v>
      </c>
      <c r="K45" s="11">
        <f t="shared" si="7"/>
        <v>1.3000000000000789E-3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11"/>
      <c r="H46" s="10"/>
      <c r="I46" s="10">
        <f t="shared" si="8"/>
        <v>4881</v>
      </c>
      <c r="J46" s="10">
        <f t="shared" si="6"/>
        <v>200695724.16940573</v>
      </c>
      <c r="K46" s="11">
        <f t="shared" si="7"/>
        <v>2.3999999999999577E-3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11"/>
      <c r="H47" s="10"/>
      <c r="I47" s="10">
        <f t="shared" si="8"/>
        <v>4881</v>
      </c>
      <c r="J47" s="10">
        <f t="shared" si="6"/>
        <v>200215207.67099535</v>
      </c>
      <c r="K47" s="11">
        <f t="shared" si="7"/>
        <v>3.6000000000000476E-3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11"/>
      <c r="H48" s="10"/>
      <c r="I48" s="10">
        <f t="shared" si="8"/>
        <v>4881</v>
      </c>
      <c r="J48" s="10">
        <f t="shared" si="6"/>
        <v>199497018.40473831</v>
      </c>
      <c r="K48" s="11">
        <f t="shared" si="7"/>
        <v>4.9999999999998934E-3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11"/>
      <c r="H49" s="10"/>
      <c r="I49" s="10">
        <f t="shared" si="8"/>
        <v>4881</v>
      </c>
      <c r="J49" s="10">
        <f t="shared" si="6"/>
        <v>198504495.92511275</v>
      </c>
      <c r="K49" s="11">
        <f t="shared" si="7"/>
        <v>6.6999999999999282E-3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11"/>
      <c r="H50" s="10"/>
      <c r="I50" s="10">
        <f t="shared" si="8"/>
        <v>4881</v>
      </c>
      <c r="J50" s="10">
        <f t="shared" si="6"/>
        <v>197183367.36377546</v>
      </c>
      <c r="K50" s="11">
        <f t="shared" si="7"/>
        <v>1.089999999999991E-2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11"/>
      <c r="H51" s="10"/>
      <c r="I51" s="10">
        <f t="shared" si="8"/>
        <v>4881</v>
      </c>
      <c r="J51" s="10">
        <f t="shared" si="6"/>
        <v>195057243.41059995</v>
      </c>
      <c r="K51" s="11">
        <f t="shared" si="7"/>
        <v>1.2699999999999934E-2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11"/>
      <c r="H52" s="10"/>
      <c r="I52" s="10">
        <f t="shared" si="8"/>
        <v>4881</v>
      </c>
      <c r="J52" s="10">
        <f t="shared" si="6"/>
        <v>192611082.6608077</v>
      </c>
      <c r="K52" s="11">
        <f t="shared" si="7"/>
        <v>1.2999999999999901E-2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11"/>
      <c r="H53" s="10"/>
      <c r="I53" s="10">
        <f t="shared" si="8"/>
        <v>4881</v>
      </c>
      <c r="J53" s="10">
        <f t="shared" si="6"/>
        <v>190139272.12320605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11"/>
      <c r="H54" s="10"/>
      <c r="I54" s="10">
        <f t="shared" si="8"/>
        <v>4881</v>
      </c>
      <c r="J54" s="10">
        <f t="shared" si="6"/>
        <v>187680655.53568852</v>
      </c>
      <c r="K54" s="11">
        <f t="shared" si="7"/>
        <v>1.4299999999999979E-2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11"/>
      <c r="H55" s="10"/>
      <c r="I55" s="10">
        <f t="shared" si="8"/>
        <v>4881</v>
      </c>
      <c r="J55" s="10">
        <f t="shared" si="6"/>
        <v>185034659.89913094</v>
      </c>
      <c r="K55" s="11">
        <f t="shared" si="7"/>
        <v>1.6499999999999959E-2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11"/>
      <c r="H56" s="10"/>
      <c r="I56" s="10">
        <f t="shared" si="8"/>
        <v>4881</v>
      </c>
      <c r="J56" s="10">
        <f t="shared" si="6"/>
        <v>182031145.99029115</v>
      </c>
      <c r="K56" s="11">
        <f t="shared" si="7"/>
        <v>2.2399999999999975E-2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11"/>
      <c r="H57" s="10"/>
      <c r="I57" s="10">
        <f t="shared" si="8"/>
        <v>4881</v>
      </c>
      <c r="J57" s="10">
        <f t="shared" si="6"/>
        <v>178042983.16734269</v>
      </c>
      <c r="K57" s="11">
        <f t="shared" si="7"/>
        <v>2.6899999999999924E-2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11"/>
      <c r="H58" s="10"/>
      <c r="I58" s="10">
        <f t="shared" si="8"/>
        <v>4881</v>
      </c>
      <c r="J58" s="10">
        <f t="shared" si="6"/>
        <v>173379085.76038826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11"/>
      <c r="H59" s="10"/>
      <c r="I59" s="10">
        <f t="shared" si="8"/>
        <v>4881</v>
      </c>
      <c r="J59" s="10">
        <f t="shared" si="6"/>
        <v>168853803.81806412</v>
      </c>
      <c r="K59" s="11">
        <f t="shared" si="7"/>
        <v>2.6599999999999957E-2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11"/>
      <c r="H60" s="10"/>
      <c r="I60" s="10">
        <f t="shared" si="8"/>
        <v>4881</v>
      </c>
      <c r="J60" s="10">
        <f t="shared" si="6"/>
        <v>164478671.16507319</v>
      </c>
      <c r="K60" s="11">
        <f t="shared" si="7"/>
        <v>2.629999999999999E-2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11"/>
      <c r="H61" s="10"/>
      <c r="I61" s="10">
        <f t="shared" si="8"/>
        <v>4881</v>
      </c>
      <c r="J61" s="10">
        <f t="shared" si="6"/>
        <v>160263734.93624982</v>
      </c>
      <c r="K61" s="11">
        <f t="shared" si="7"/>
        <v>2.6199999999999779E-2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11"/>
      <c r="H62" s="10"/>
      <c r="I62" s="10">
        <f t="shared" si="8"/>
        <v>4881</v>
      </c>
      <c r="J62" s="10">
        <f t="shared" si="6"/>
        <v>156172027.80768842</v>
      </c>
      <c r="K62" s="11">
        <f t="shared" si="7"/>
        <v>2.6100000000000012E-2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11"/>
      <c r="H63" s="10"/>
      <c r="I63" s="10">
        <f t="shared" si="8"/>
        <v>4881</v>
      </c>
      <c r="J63" s="10">
        <f t="shared" si="6"/>
        <v>152199617.78353807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11"/>
      <c r="H64" s="10"/>
      <c r="I64" s="10">
        <f t="shared" si="8"/>
        <v>4881</v>
      </c>
      <c r="J64" s="10">
        <f t="shared" si="6"/>
        <v>148227130.68127978</v>
      </c>
      <c r="K64" s="11">
        <f t="shared" si="7"/>
        <v>2.7800000000000047E-2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11"/>
      <c r="H65" s="10"/>
      <c r="I65" s="10">
        <f t="shared" si="8"/>
        <v>4881</v>
      </c>
      <c r="J65" s="10">
        <f t="shared" si="6"/>
        <v>144217873.78992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11"/>
      <c r="H66" s="10"/>
      <c r="I66" s="10">
        <f t="shared" si="8"/>
        <v>4881</v>
      </c>
      <c r="J66" s="10">
        <f t="shared" ref="J66:J97" si="9">IF(I66="","",I66*C66)</f>
        <v>140344369.19999999</v>
      </c>
      <c r="K66" s="11">
        <f t="shared" ref="K66:K97" si="10">IFERROR(J66/J67-1,"")</f>
        <v>2.6899999999999924E-2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4881</v>
      </c>
      <c r="J67" s="10">
        <f t="shared" si="9"/>
        <v>136668000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5">
        <v>4070555</v>
      </c>
      <c r="G2" s="11"/>
      <c r="H2" s="10"/>
      <c r="I2" s="10">
        <f>IF(H2&lt;&gt;"",H2,2111)</f>
        <v>2111</v>
      </c>
      <c r="J2" s="10">
        <f t="shared" ref="J2:J33" si="3">IF(I2="","",I2*C2)</f>
        <v>8594387703.0662174</v>
      </c>
      <c r="K2" s="11">
        <f t="shared" ref="K2:K33" si="4">IFERROR(J2/J3-1,"")</f>
        <v>1.4599999999999946E-2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11"/>
      <c r="H3" s="10"/>
      <c r="I3" s="10">
        <f t="shared" ref="I3:I34" si="5">IF(H3&lt;&gt;"",H3,I2/(1+IF(G2="",0,G2)))</f>
        <v>2111</v>
      </c>
      <c r="J3" s="10">
        <f t="shared" si="3"/>
        <v>8470715260.2663288</v>
      </c>
      <c r="K3" s="11">
        <f t="shared" si="4"/>
        <v>1.4799999999999924E-2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11"/>
      <c r="H4" s="10"/>
      <c r="I4" s="10">
        <f t="shared" si="5"/>
        <v>2111</v>
      </c>
      <c r="J4" s="10">
        <f t="shared" si="3"/>
        <v>8347177040.073246</v>
      </c>
      <c r="K4" s="11">
        <f t="shared" si="4"/>
        <v>1.4999999999999902E-2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11"/>
      <c r="H5" s="10"/>
      <c r="I5" s="10">
        <f t="shared" si="5"/>
        <v>2111</v>
      </c>
      <c r="J5" s="10">
        <f t="shared" si="3"/>
        <v>8223819743.9145288</v>
      </c>
      <c r="K5" s="11">
        <f t="shared" si="4"/>
        <v>1.4999999999999902E-2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11"/>
      <c r="H6" s="10"/>
      <c r="I6" s="10">
        <f t="shared" si="5"/>
        <v>2111</v>
      </c>
      <c r="J6" s="10">
        <f t="shared" si="3"/>
        <v>8102285461.9847584</v>
      </c>
      <c r="K6" s="11">
        <f t="shared" si="4"/>
        <v>1.5200000000000102E-2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11"/>
      <c r="H7" s="10"/>
      <c r="I7" s="10">
        <f t="shared" si="5"/>
        <v>2111</v>
      </c>
      <c r="J7" s="10">
        <f t="shared" si="3"/>
        <v>7980974647.3451118</v>
      </c>
      <c r="K7" s="11">
        <f t="shared" si="4"/>
        <v>1.5600000000000058E-2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11"/>
      <c r="H8" s="10"/>
      <c r="I8" s="10">
        <f t="shared" si="5"/>
        <v>2111</v>
      </c>
      <c r="J8" s="10">
        <f t="shared" si="3"/>
        <v>7858383859.1424885</v>
      </c>
      <c r="K8" s="11">
        <f t="shared" si="4"/>
        <v>1.5800000000000036E-2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11"/>
      <c r="H9" s="10"/>
      <c r="I9" s="10">
        <f t="shared" si="5"/>
        <v>2111</v>
      </c>
      <c r="J9" s="10">
        <f t="shared" si="3"/>
        <v>7736152647.3149128</v>
      </c>
      <c r="K9" s="11">
        <f t="shared" si="4"/>
        <v>1.5200000000000102E-2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11"/>
      <c r="H10" s="10"/>
      <c r="I10" s="10">
        <f t="shared" si="5"/>
        <v>2111</v>
      </c>
      <c r="J10" s="10">
        <f t="shared" si="3"/>
        <v>7620323726.6695356</v>
      </c>
      <c r="K10" s="11">
        <f t="shared" si="4"/>
        <v>1.4799999999999924E-2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11"/>
      <c r="H11" s="10"/>
      <c r="I11" s="10">
        <f t="shared" si="5"/>
        <v>2111</v>
      </c>
      <c r="J11" s="10">
        <f t="shared" si="3"/>
        <v>7509187747.9991493</v>
      </c>
      <c r="K11" s="11">
        <f t="shared" si="4"/>
        <v>1.4799999999999924E-2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11"/>
      <c r="H12" s="10"/>
      <c r="I12" s="10">
        <f t="shared" si="5"/>
        <v>2111</v>
      </c>
      <c r="J12" s="10">
        <f t="shared" si="3"/>
        <v>7399672593.6136675</v>
      </c>
      <c r="K12" s="11">
        <f t="shared" si="4"/>
        <v>1.4599999999999946E-2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11"/>
      <c r="H13" s="10"/>
      <c r="I13" s="10">
        <f t="shared" si="5"/>
        <v>2111</v>
      </c>
      <c r="J13" s="10">
        <f t="shared" si="3"/>
        <v>7293191990.5516138</v>
      </c>
      <c r="K13" s="11">
        <f t="shared" si="4"/>
        <v>1.4699999999999935E-2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11"/>
      <c r="H14" s="10"/>
      <c r="I14" s="10">
        <f t="shared" si="5"/>
        <v>2111</v>
      </c>
      <c r="J14" s="10">
        <f t="shared" si="3"/>
        <v>7187535222.7767954</v>
      </c>
      <c r="K14" s="11">
        <f t="shared" si="4"/>
        <v>1.5099999999999891E-2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11"/>
      <c r="H15" s="10"/>
      <c r="I15" s="10">
        <f t="shared" si="5"/>
        <v>2111</v>
      </c>
      <c r="J15" s="10">
        <f t="shared" si="3"/>
        <v>7080617892.5985575</v>
      </c>
      <c r="K15" s="11">
        <f t="shared" si="4"/>
        <v>1.540000000000008E-2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11"/>
      <c r="H16" s="10"/>
      <c r="I16" s="10">
        <f t="shared" si="5"/>
        <v>2111</v>
      </c>
      <c r="J16" s="10">
        <f t="shared" si="3"/>
        <v>6973230148.3145132</v>
      </c>
      <c r="K16" s="11">
        <f t="shared" si="4"/>
        <v>1.5600000000000058E-2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11"/>
      <c r="H17" s="10"/>
      <c r="I17" s="10">
        <f t="shared" si="5"/>
        <v>2111</v>
      </c>
      <c r="J17" s="10">
        <f t="shared" si="3"/>
        <v>6866118696.6468229</v>
      </c>
      <c r="K17" s="11">
        <f t="shared" si="4"/>
        <v>1.5900000000000025E-2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11"/>
      <c r="H18" s="10"/>
      <c r="I18" s="10">
        <f t="shared" si="5"/>
        <v>2111</v>
      </c>
      <c r="J18" s="10">
        <f t="shared" si="3"/>
        <v>6758656065.2099838</v>
      </c>
      <c r="K18" s="11">
        <f t="shared" si="4"/>
        <v>1.7099999999999893E-2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11"/>
      <c r="H19" s="10"/>
      <c r="I19" s="10">
        <f t="shared" si="5"/>
        <v>2111</v>
      </c>
      <c r="J19" s="10">
        <f t="shared" si="3"/>
        <v>6645026118.5822287</v>
      </c>
      <c r="K19" s="11">
        <f t="shared" si="4"/>
        <v>4.1199999999999903E-2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11"/>
      <c r="H20" s="10"/>
      <c r="I20" s="10">
        <f t="shared" si="5"/>
        <v>2111</v>
      </c>
      <c r="J20" s="10">
        <f t="shared" si="3"/>
        <v>6382084247.5818567</v>
      </c>
      <c r="K20" s="11">
        <f t="shared" si="4"/>
        <v>6.8799999999999972E-2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11"/>
      <c r="H21" s="10"/>
      <c r="I21" s="10">
        <f t="shared" si="5"/>
        <v>2111</v>
      </c>
      <c r="J21" s="10">
        <f t="shared" si="3"/>
        <v>5971261459.1896114</v>
      </c>
      <c r="K21" s="11">
        <f t="shared" si="4"/>
        <v>7.5199999999999934E-2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11"/>
      <c r="H22" s="10"/>
      <c r="I22" s="10">
        <f t="shared" si="5"/>
        <v>2111</v>
      </c>
      <c r="J22" s="10">
        <f t="shared" si="3"/>
        <v>5553628589.2760525</v>
      </c>
      <c r="K22" s="11">
        <f t="shared" si="4"/>
        <v>8.0999999999999961E-2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11"/>
      <c r="H23" s="10"/>
      <c r="I23" s="10">
        <f t="shared" si="5"/>
        <v>2111</v>
      </c>
      <c r="J23" s="10">
        <f t="shared" si="3"/>
        <v>5137491756.962121</v>
      </c>
      <c r="K23" s="11">
        <f t="shared" si="4"/>
        <v>6.9799999999999862E-2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11"/>
      <c r="H24" s="10"/>
      <c r="I24" s="10">
        <f t="shared" si="5"/>
        <v>2111</v>
      </c>
      <c r="J24" s="10">
        <f t="shared" si="3"/>
        <v>4802291790.0188084</v>
      </c>
      <c r="K24" s="11">
        <f t="shared" si="4"/>
        <v>6.0199999999999809E-2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11"/>
      <c r="H25" s="10"/>
      <c r="I25" s="10">
        <f t="shared" si="5"/>
        <v>2111</v>
      </c>
      <c r="J25" s="10">
        <f t="shared" si="3"/>
        <v>4529609309.581974</v>
      </c>
      <c r="K25" s="11">
        <f t="shared" si="4"/>
        <v>5.4000000000000048E-2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11"/>
      <c r="H26" s="10"/>
      <c r="I26" s="10">
        <f t="shared" si="5"/>
        <v>2111</v>
      </c>
      <c r="J26" s="10">
        <f t="shared" si="3"/>
        <v>4297542039.4515877</v>
      </c>
      <c r="K26" s="11">
        <f t="shared" si="4"/>
        <v>4.1400000000000103E-2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11"/>
      <c r="H27" s="10"/>
      <c r="I27" s="10">
        <f t="shared" si="5"/>
        <v>2111</v>
      </c>
      <c r="J27" s="10">
        <f t="shared" si="3"/>
        <v>4126696792.2523408</v>
      </c>
      <c r="K27" s="11">
        <f t="shared" si="4"/>
        <v>4.170000000000007E-2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11"/>
      <c r="H28" s="10"/>
      <c r="I28" s="10">
        <f t="shared" si="5"/>
        <v>2111</v>
      </c>
      <c r="J28" s="10">
        <f t="shared" si="3"/>
        <v>3961502152.4933672</v>
      </c>
      <c r="K28" s="11">
        <f t="shared" si="4"/>
        <v>3.7700000000000289E-2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11"/>
      <c r="H29" s="10"/>
      <c r="I29" s="10">
        <f t="shared" si="5"/>
        <v>2111</v>
      </c>
      <c r="J29" s="10">
        <f t="shared" si="3"/>
        <v>3817579408.7822747</v>
      </c>
      <c r="K29" s="11">
        <f t="shared" si="4"/>
        <v>3.8000000000000034E-2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11"/>
      <c r="H30" s="10"/>
      <c r="I30" s="10">
        <f t="shared" si="5"/>
        <v>2111</v>
      </c>
      <c r="J30" s="10">
        <f t="shared" si="3"/>
        <v>3677822166.456912</v>
      </c>
      <c r="K30" s="11">
        <f t="shared" si="4"/>
        <v>4.2399999999999993E-2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11"/>
      <c r="H31" s="10"/>
      <c r="I31" s="10">
        <f t="shared" si="5"/>
        <v>2111</v>
      </c>
      <c r="J31" s="10">
        <f t="shared" si="3"/>
        <v>3528225409.1106215</v>
      </c>
      <c r="K31" s="11">
        <f t="shared" si="4"/>
        <v>3.9199999999999902E-2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11"/>
      <c r="H32" s="10"/>
      <c r="I32" s="10">
        <f t="shared" si="5"/>
        <v>2111</v>
      </c>
      <c r="J32" s="10">
        <f t="shared" si="3"/>
        <v>3395136074.9717302</v>
      </c>
      <c r="K32" s="11">
        <f t="shared" si="4"/>
        <v>3.3400000000000096E-2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11"/>
      <c r="H33" s="10"/>
      <c r="I33" s="10">
        <f t="shared" si="5"/>
        <v>2111</v>
      </c>
      <c r="J33" s="10">
        <f t="shared" si="3"/>
        <v>3285403594.9020028</v>
      </c>
      <c r="K33" s="11">
        <f t="shared" si="4"/>
        <v>3.6399999999999988E-2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11"/>
      <c r="H34" s="10"/>
      <c r="I34" s="10">
        <f t="shared" si="5"/>
        <v>2111</v>
      </c>
      <c r="J34" s="10">
        <f t="shared" ref="J34:J65" si="6">IF(I34="","",I34*C34)</f>
        <v>3170015047.1844878</v>
      </c>
      <c r="K34" s="11">
        <f t="shared" ref="K34:K65" si="7">IFERROR(J34/J35-1,"")</f>
        <v>6.3999999999999613E-3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11"/>
      <c r="H35" s="10"/>
      <c r="I35" s="10">
        <f t="shared" ref="I35:I66" si="8">IF(H35&lt;&gt;"",H35,I34/(1+IF(G34="",0,G34)))</f>
        <v>2111</v>
      </c>
      <c r="J35" s="10">
        <f t="shared" si="6"/>
        <v>3149855968.9829965</v>
      </c>
      <c r="K35" s="11">
        <f t="shared" si="7"/>
        <v>9.8000000000000309E-3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11"/>
      <c r="H36" s="10"/>
      <c r="I36" s="10">
        <f t="shared" si="8"/>
        <v>2111</v>
      </c>
      <c r="J36" s="10">
        <f t="shared" si="6"/>
        <v>3119286956.8062949</v>
      </c>
      <c r="K36" s="11">
        <f t="shared" si="7"/>
        <v>8.0000000000000071E-3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11"/>
      <c r="H37" s="10"/>
      <c r="I37" s="10">
        <f t="shared" si="8"/>
        <v>2111</v>
      </c>
      <c r="J37" s="10">
        <f t="shared" si="6"/>
        <v>3094530711.1173558</v>
      </c>
      <c r="K37" s="11">
        <f t="shared" si="7"/>
        <v>-2.8000000000001357E-3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11"/>
      <c r="H38" s="10"/>
      <c r="I38" s="10">
        <f t="shared" si="8"/>
        <v>2111</v>
      </c>
      <c r="J38" s="10">
        <f t="shared" si="6"/>
        <v>3103219726.3511395</v>
      </c>
      <c r="K38" s="11">
        <f t="shared" si="7"/>
        <v>5.2000000000000934E-3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11"/>
      <c r="H39" s="10"/>
      <c r="I39" s="10">
        <f t="shared" si="8"/>
        <v>2111</v>
      </c>
      <c r="J39" s="10">
        <f t="shared" si="6"/>
        <v>3087166460.7552123</v>
      </c>
      <c r="K39" s="11">
        <f t="shared" si="7"/>
        <v>2.100000000000013E-2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11"/>
      <c r="H40" s="10"/>
      <c r="I40" s="10">
        <f t="shared" si="8"/>
        <v>2111</v>
      </c>
      <c r="J40" s="10">
        <f t="shared" si="6"/>
        <v>3023669403.286202</v>
      </c>
      <c r="K40" s="11">
        <f t="shared" si="7"/>
        <v>2.0999999999999686E-2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11"/>
      <c r="H41" s="10"/>
      <c r="I41" s="10">
        <f t="shared" si="8"/>
        <v>2111</v>
      </c>
      <c r="J41" s="10">
        <f t="shared" si="6"/>
        <v>2961478357.7729702</v>
      </c>
      <c r="K41" s="11">
        <f t="shared" si="7"/>
        <v>2.0999999999999908E-2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11"/>
      <c r="H42" s="10"/>
      <c r="I42" s="10">
        <f t="shared" si="8"/>
        <v>2111</v>
      </c>
      <c r="J42" s="10">
        <f t="shared" si="6"/>
        <v>2900566462.0695109</v>
      </c>
      <c r="K42" s="11">
        <f t="shared" si="7"/>
        <v>2.1600000000000064E-2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11"/>
      <c r="H43" s="10"/>
      <c r="I43" s="10">
        <f t="shared" si="8"/>
        <v>2111</v>
      </c>
      <c r="J43" s="10">
        <f t="shared" si="6"/>
        <v>2839238901.7908287</v>
      </c>
      <c r="K43" s="11">
        <f t="shared" si="7"/>
        <v>-2.3900000000000143E-2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11"/>
      <c r="H44" s="10"/>
      <c r="I44" s="10">
        <f t="shared" si="8"/>
        <v>2111</v>
      </c>
      <c r="J44" s="10">
        <f t="shared" si="6"/>
        <v>2908758223.3283772</v>
      </c>
      <c r="K44" s="11">
        <f t="shared" si="7"/>
        <v>-8.3999999999999964E-2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11"/>
      <c r="H45" s="10"/>
      <c r="I45" s="10">
        <f t="shared" si="8"/>
        <v>2111</v>
      </c>
      <c r="J45" s="10">
        <f t="shared" si="6"/>
        <v>3175500243.8082719</v>
      </c>
      <c r="K45" s="11">
        <f t="shared" si="7"/>
        <v>-7.9099999999999948E-2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11"/>
      <c r="H46" s="10"/>
      <c r="I46" s="10">
        <f t="shared" si="8"/>
        <v>2111</v>
      </c>
      <c r="J46" s="10">
        <f t="shared" si="6"/>
        <v>3448257404.5045843</v>
      </c>
      <c r="K46" s="11">
        <f t="shared" si="7"/>
        <v>-7.0200000000000151E-2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11"/>
      <c r="H47" s="10"/>
      <c r="I47" s="10">
        <f t="shared" si="8"/>
        <v>2111</v>
      </c>
      <c r="J47" s="10">
        <f t="shared" si="6"/>
        <v>3708601209.4048018</v>
      </c>
      <c r="K47" s="11">
        <f t="shared" si="7"/>
        <v>-3.0200000000000005E-2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11"/>
      <c r="H48" s="10"/>
      <c r="I48" s="10">
        <f t="shared" si="8"/>
        <v>2111</v>
      </c>
      <c r="J48" s="10">
        <f t="shared" si="6"/>
        <v>3824088687.7756257</v>
      </c>
      <c r="K48" s="11">
        <f t="shared" si="7"/>
        <v>6.3999999999999613E-3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11"/>
      <c r="H49" s="10"/>
      <c r="I49" s="10">
        <f t="shared" si="8"/>
        <v>2111</v>
      </c>
      <c r="J49" s="10">
        <f t="shared" si="6"/>
        <v>3799770158.7595644</v>
      </c>
      <c r="K49" s="11">
        <f t="shared" si="7"/>
        <v>2.0999999999999908E-2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11"/>
      <c r="H50" s="10"/>
      <c r="I50" s="10">
        <f t="shared" si="8"/>
        <v>2111</v>
      </c>
      <c r="J50" s="10">
        <f t="shared" si="6"/>
        <v>3721616218.1778302</v>
      </c>
      <c r="K50" s="11">
        <f t="shared" si="7"/>
        <v>2.0999999999999908E-2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11"/>
      <c r="H51" s="10"/>
      <c r="I51" s="10">
        <f t="shared" si="8"/>
        <v>2111</v>
      </c>
      <c r="J51" s="10">
        <f t="shared" si="6"/>
        <v>3645069753.357327</v>
      </c>
      <c r="K51" s="11">
        <f t="shared" si="7"/>
        <v>2.0999999999999908E-2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11"/>
      <c r="H52" s="10"/>
      <c r="I52" s="10">
        <f t="shared" si="8"/>
        <v>2111</v>
      </c>
      <c r="J52" s="10">
        <f t="shared" si="6"/>
        <v>3570097701.623239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11"/>
      <c r="H53" s="10"/>
      <c r="I53" s="10">
        <f t="shared" si="8"/>
        <v>2111</v>
      </c>
      <c r="J53" s="10">
        <f t="shared" si="6"/>
        <v>3496667680.3361797</v>
      </c>
      <c r="K53" s="11">
        <f t="shared" si="7"/>
        <v>2.0899999999999919E-2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11"/>
      <c r="H54" s="10"/>
      <c r="I54" s="10">
        <f t="shared" si="8"/>
        <v>2111</v>
      </c>
      <c r="J54" s="10">
        <f t="shared" si="6"/>
        <v>3425083436.5130568</v>
      </c>
      <c r="K54" s="11">
        <f t="shared" si="7"/>
        <v>2.1800000000000042E-2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11"/>
      <c r="H55" s="10"/>
      <c r="I55" s="10">
        <f t="shared" si="8"/>
        <v>2111</v>
      </c>
      <c r="J55" s="10">
        <f t="shared" si="6"/>
        <v>3352009626.6520424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11"/>
      <c r="H56" s="10"/>
      <c r="I56" s="10">
        <f t="shared" si="8"/>
        <v>2111</v>
      </c>
      <c r="J56" s="10">
        <f t="shared" si="6"/>
        <v>3278569666.1307144</v>
      </c>
      <c r="K56" s="11">
        <f t="shared" si="7"/>
        <v>2.200000000000002E-2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11"/>
      <c r="H57" s="10"/>
      <c r="I57" s="10">
        <f t="shared" si="8"/>
        <v>2111</v>
      </c>
      <c r="J57" s="10">
        <f t="shared" si="6"/>
        <v>3207993802.4762373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11"/>
      <c r="H58" s="10"/>
      <c r="I58" s="10">
        <f t="shared" si="8"/>
        <v>2111</v>
      </c>
      <c r="J58" s="10">
        <f t="shared" si="6"/>
        <v>3135868819.6248655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11"/>
      <c r="H59" s="10"/>
      <c r="I59" s="10">
        <f t="shared" si="8"/>
        <v>2111</v>
      </c>
      <c r="J59" s="10">
        <f t="shared" si="6"/>
        <v>3062371894.1649079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11"/>
      <c r="H60" s="10"/>
      <c r="I60" s="10">
        <f t="shared" si="8"/>
        <v>2111</v>
      </c>
      <c r="J60" s="10">
        <f t="shared" si="6"/>
        <v>2987679896.7462521</v>
      </c>
      <c r="K60" s="11">
        <f t="shared" si="7"/>
        <v>2.55000000000003E-2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11"/>
      <c r="H61" s="10"/>
      <c r="I61" s="10">
        <f t="shared" si="8"/>
        <v>2111</v>
      </c>
      <c r="J61" s="10">
        <f t="shared" si="6"/>
        <v>2913388490.2450037</v>
      </c>
      <c r="K61" s="11">
        <f t="shared" si="7"/>
        <v>2.6000000000000023E-2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11"/>
      <c r="H62" s="10"/>
      <c r="I62" s="10">
        <f t="shared" si="8"/>
        <v>2111</v>
      </c>
      <c r="J62" s="10">
        <f t="shared" si="6"/>
        <v>2839559932.0126743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11"/>
      <c r="H63" s="10"/>
      <c r="I63" s="10">
        <f t="shared" si="8"/>
        <v>2111</v>
      </c>
      <c r="J63" s="10">
        <f t="shared" si="6"/>
        <v>2767602272.9168367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11"/>
      <c r="H64" s="10"/>
      <c r="I64" s="10">
        <f t="shared" si="8"/>
        <v>2111</v>
      </c>
      <c r="J64" s="10">
        <f t="shared" si="6"/>
        <v>2697468102.2581253</v>
      </c>
      <c r="K64" s="11">
        <f t="shared" si="7"/>
        <v>2.5500000000000078E-2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11"/>
      <c r="H65" s="10"/>
      <c r="I65" s="10">
        <f t="shared" si="8"/>
        <v>2111</v>
      </c>
      <c r="J65" s="10">
        <f t="shared" si="6"/>
        <v>2630393078.75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11"/>
      <c r="H66" s="10"/>
      <c r="I66" s="10">
        <f t="shared" si="8"/>
        <v>2111</v>
      </c>
      <c r="J66" s="10">
        <f t="shared" ref="J66:J97" si="9">IF(I66="","",I66*C66)</f>
        <v>2566237150</v>
      </c>
      <c r="K66" s="11">
        <f t="shared" ref="K66:K97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2111</v>
      </c>
      <c r="J67" s="10">
        <f t="shared" si="9"/>
        <v>2503646000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5">
        <v>90945636</v>
      </c>
      <c r="G2" s="11"/>
      <c r="H2" s="10"/>
      <c r="I2" s="10">
        <f>IF(H2&lt;&gt;"",H2,1817)</f>
        <v>1817</v>
      </c>
      <c r="J2" s="10">
        <f t="shared" ref="J2:J33" si="3">IF(I2="","",I2*C2)</f>
        <v>165244485045.58444</v>
      </c>
      <c r="K2" s="11">
        <f t="shared" ref="K2:K33" si="4">IFERROR(J2/J3-1,"")</f>
        <v>1.1900000000000022E-2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11"/>
      <c r="H3" s="10"/>
      <c r="I3" s="10">
        <f t="shared" ref="I3:I34" si="5">IF(H3&lt;&gt;"",H3,I2/(1+IF(G2="",0,G2)))</f>
        <v>1817</v>
      </c>
      <c r="J3" s="10">
        <f t="shared" si="3"/>
        <v>163301200756.58112</v>
      </c>
      <c r="K3" s="11">
        <f t="shared" si="4"/>
        <v>1.2599999999999945E-2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11"/>
      <c r="H4" s="10"/>
      <c r="I4" s="10">
        <f t="shared" si="5"/>
        <v>1817</v>
      </c>
      <c r="J4" s="10">
        <f t="shared" si="3"/>
        <v>161269208726.62564</v>
      </c>
      <c r="K4" s="11">
        <f t="shared" si="4"/>
        <v>1.330000000000009E-2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11"/>
      <c r="H5" s="10"/>
      <c r="I5" s="10">
        <f t="shared" si="5"/>
        <v>1817</v>
      </c>
      <c r="J5" s="10">
        <f t="shared" si="3"/>
        <v>159152480732.87836</v>
      </c>
      <c r="K5" s="11">
        <f t="shared" si="4"/>
        <v>1.3700000000000045E-2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11"/>
      <c r="H6" s="10"/>
      <c r="I6" s="10">
        <f t="shared" si="5"/>
        <v>1817</v>
      </c>
      <c r="J6" s="10">
        <f t="shared" si="3"/>
        <v>157001559369.51599</v>
      </c>
      <c r="K6" s="11">
        <f t="shared" si="4"/>
        <v>1.419999999999999E-2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11"/>
      <c r="H7" s="10"/>
      <c r="I7" s="10">
        <f t="shared" si="5"/>
        <v>1817</v>
      </c>
      <c r="J7" s="10">
        <f t="shared" si="3"/>
        <v>154803351774.32065</v>
      </c>
      <c r="K7" s="11">
        <f t="shared" si="4"/>
        <v>1.4499999999999957E-2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11"/>
      <c r="H8" s="10"/>
      <c r="I8" s="10">
        <f t="shared" si="5"/>
        <v>1817</v>
      </c>
      <c r="J8" s="10">
        <f t="shared" si="3"/>
        <v>152590785386.22046</v>
      </c>
      <c r="K8" s="11">
        <f t="shared" si="4"/>
        <v>1.4499999999999957E-2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11"/>
      <c r="H9" s="10"/>
      <c r="I9" s="10">
        <f t="shared" si="5"/>
        <v>1817</v>
      </c>
      <c r="J9" s="10">
        <f t="shared" si="3"/>
        <v>150409842667.54111</v>
      </c>
      <c r="K9" s="11">
        <f t="shared" si="4"/>
        <v>1.4399999999999968E-2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11"/>
      <c r="H10" s="10"/>
      <c r="I10" s="10">
        <f t="shared" si="5"/>
        <v>1817</v>
      </c>
      <c r="J10" s="10">
        <f t="shared" si="3"/>
        <v>148274687172.26056</v>
      </c>
      <c r="K10" s="11">
        <f t="shared" si="4"/>
        <v>1.5099999999999891E-2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11"/>
      <c r="H11" s="10"/>
      <c r="I11" s="10">
        <f t="shared" si="5"/>
        <v>1817</v>
      </c>
      <c r="J11" s="10">
        <f t="shared" si="3"/>
        <v>146069044598.81842</v>
      </c>
      <c r="K11" s="11">
        <f t="shared" si="4"/>
        <v>1.5600000000000058E-2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11"/>
      <c r="H12" s="10"/>
      <c r="I12" s="10">
        <f t="shared" si="5"/>
        <v>1817</v>
      </c>
      <c r="J12" s="10">
        <f t="shared" si="3"/>
        <v>143825368844.83893</v>
      </c>
      <c r="K12" s="11">
        <f t="shared" si="4"/>
        <v>1.6299999999999981E-2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11"/>
      <c r="H13" s="10"/>
      <c r="I13" s="10">
        <f t="shared" si="5"/>
        <v>1817</v>
      </c>
      <c r="J13" s="10">
        <f t="shared" si="3"/>
        <v>141518615413.59729</v>
      </c>
      <c r="K13" s="11">
        <f t="shared" si="4"/>
        <v>1.6999999999999904E-2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11"/>
      <c r="H14" s="10"/>
      <c r="I14" s="10">
        <f t="shared" si="5"/>
        <v>1817</v>
      </c>
      <c r="J14" s="10">
        <f t="shared" si="3"/>
        <v>139153014172.66205</v>
      </c>
      <c r="K14" s="11">
        <f t="shared" si="4"/>
        <v>1.7300000000000093E-2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11"/>
      <c r="H15" s="10"/>
      <c r="I15" s="10">
        <f t="shared" si="5"/>
        <v>1817</v>
      </c>
      <c r="J15" s="10">
        <f t="shared" si="3"/>
        <v>136786605890.75203</v>
      </c>
      <c r="K15" s="11">
        <f t="shared" si="4"/>
        <v>1.8100000000000227E-2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11"/>
      <c r="H16" s="10"/>
      <c r="I16" s="10">
        <f t="shared" si="5"/>
        <v>1817</v>
      </c>
      <c r="J16" s="10">
        <f t="shared" si="3"/>
        <v>134354784295.01228</v>
      </c>
      <c r="K16" s="11">
        <f t="shared" si="4"/>
        <v>1.8699999999999939E-2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11"/>
      <c r="H17" s="10"/>
      <c r="I17" s="10">
        <f t="shared" si="5"/>
        <v>1817</v>
      </c>
      <c r="J17" s="10">
        <f t="shared" si="3"/>
        <v>131888469907.73759</v>
      </c>
      <c r="K17" s="11">
        <f t="shared" si="4"/>
        <v>1.8799999999999928E-2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11"/>
      <c r="H18" s="10"/>
      <c r="I18" s="10">
        <f t="shared" si="5"/>
        <v>1817</v>
      </c>
      <c r="J18" s="10">
        <f t="shared" si="3"/>
        <v>129454721150.11543</v>
      </c>
      <c r="K18" s="11">
        <f t="shared" si="4"/>
        <v>1.8999999999999906E-2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11"/>
      <c r="H19" s="10"/>
      <c r="I19" s="10">
        <f t="shared" si="5"/>
        <v>1817</v>
      </c>
      <c r="J19" s="10">
        <f t="shared" si="3"/>
        <v>127040943228.76883</v>
      </c>
      <c r="K19" s="11">
        <f t="shared" si="4"/>
        <v>1.9400000000000084E-2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11"/>
      <c r="H20" s="10"/>
      <c r="I20" s="10">
        <f t="shared" si="5"/>
        <v>1817</v>
      </c>
      <c r="J20" s="10">
        <f t="shared" si="3"/>
        <v>124623252137.3051</v>
      </c>
      <c r="K20" s="11">
        <f t="shared" si="4"/>
        <v>1.9700000000000051E-2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11"/>
      <c r="H21" s="10"/>
      <c r="I21" s="10">
        <f t="shared" si="5"/>
        <v>1817</v>
      </c>
      <c r="J21" s="10">
        <f t="shared" si="3"/>
        <v>122215604724.23763</v>
      </c>
      <c r="K21" s="11">
        <f t="shared" si="4"/>
        <v>2.0000000000000018E-2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11"/>
      <c r="H22" s="10"/>
      <c r="I22" s="10">
        <f t="shared" si="5"/>
        <v>1817</v>
      </c>
      <c r="J22" s="10">
        <f t="shared" si="3"/>
        <v>119819220317.88002</v>
      </c>
      <c r="K22" s="11">
        <f t="shared" si="4"/>
        <v>2.0100000000000007E-2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11"/>
      <c r="H23" s="10"/>
      <c r="I23" s="10">
        <f t="shared" si="5"/>
        <v>1817</v>
      </c>
      <c r="J23" s="10">
        <f t="shared" si="3"/>
        <v>117458308320.63525</v>
      </c>
      <c r="K23" s="11">
        <f t="shared" si="4"/>
        <v>2.0399999999999974E-2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11"/>
      <c r="H24" s="10"/>
      <c r="I24" s="10">
        <f t="shared" si="5"/>
        <v>1817</v>
      </c>
      <c r="J24" s="10">
        <f t="shared" si="3"/>
        <v>115110063034.72684</v>
      </c>
      <c r="K24" s="11">
        <f t="shared" si="4"/>
        <v>2.0999999999999908E-2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11"/>
      <c r="H25" s="10"/>
      <c r="I25" s="10">
        <f t="shared" si="5"/>
        <v>1817</v>
      </c>
      <c r="J25" s="10">
        <f t="shared" si="3"/>
        <v>112742471140.77066</v>
      </c>
      <c r="K25" s="11">
        <f t="shared" si="4"/>
        <v>2.1300000000000097E-2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11"/>
      <c r="H26" s="10"/>
      <c r="I26" s="10">
        <f t="shared" si="5"/>
        <v>1817</v>
      </c>
      <c r="J26" s="10">
        <f t="shared" si="3"/>
        <v>110391139861.71609</v>
      </c>
      <c r="K26" s="11">
        <f t="shared" si="4"/>
        <v>2.1700000000000053E-2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11"/>
      <c r="H27" s="10"/>
      <c r="I27" s="10">
        <f t="shared" si="5"/>
        <v>1817</v>
      </c>
      <c r="J27" s="10">
        <f t="shared" si="3"/>
        <v>108046530157.30263</v>
      </c>
      <c r="K27" s="11">
        <f t="shared" si="4"/>
        <v>2.2100000000000009E-2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11"/>
      <c r="H28" s="10"/>
      <c r="I28" s="10">
        <f t="shared" si="5"/>
        <v>1817</v>
      </c>
      <c r="J28" s="10">
        <f t="shared" si="3"/>
        <v>105710331823.9924</v>
      </c>
      <c r="K28" s="11">
        <f t="shared" si="4"/>
        <v>2.2299999999999986E-2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11"/>
      <c r="H29" s="10"/>
      <c r="I29" s="10">
        <f t="shared" si="5"/>
        <v>1817</v>
      </c>
      <c r="J29" s="10">
        <f t="shared" si="3"/>
        <v>103404413405.05957</v>
      </c>
      <c r="K29" s="11">
        <f t="shared" si="4"/>
        <v>2.2499999999999964E-2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11"/>
      <c r="H30" s="10"/>
      <c r="I30" s="10">
        <f t="shared" si="5"/>
        <v>1817</v>
      </c>
      <c r="J30" s="10">
        <f t="shared" si="3"/>
        <v>101129010665.09494</v>
      </c>
      <c r="K30" s="11">
        <f t="shared" si="4"/>
        <v>2.2799999999999931E-2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11"/>
      <c r="H31" s="10"/>
      <c r="I31" s="10">
        <f t="shared" si="5"/>
        <v>1817</v>
      </c>
      <c r="J31" s="10">
        <f t="shared" si="3"/>
        <v>98874668229.463181</v>
      </c>
      <c r="K31" s="11">
        <f t="shared" si="4"/>
        <v>2.3099999999999898E-2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11"/>
      <c r="H32" s="10"/>
      <c r="I32" s="10">
        <f t="shared" si="5"/>
        <v>1817</v>
      </c>
      <c r="J32" s="10">
        <f t="shared" si="3"/>
        <v>96642232655.129684</v>
      </c>
      <c r="K32" s="11">
        <f t="shared" si="4"/>
        <v>2.3299999999999876E-2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11"/>
      <c r="H33" s="10"/>
      <c r="I33" s="10">
        <f t="shared" si="5"/>
        <v>1817</v>
      </c>
      <c r="J33" s="10">
        <f t="shared" si="3"/>
        <v>94441740110.553787</v>
      </c>
      <c r="K33" s="11">
        <f t="shared" si="4"/>
        <v>2.3500000000000076E-2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11"/>
      <c r="H34" s="10"/>
      <c r="I34" s="10">
        <f t="shared" si="5"/>
        <v>1817</v>
      </c>
      <c r="J34" s="10">
        <f t="shared" ref="J34:J65" si="6">IF(I34="","",I34*C34)</f>
        <v>92273317157.355911</v>
      </c>
      <c r="K34" s="11">
        <f t="shared" ref="K34:K65" si="7">IFERROR(J34/J35-1,"")</f>
        <v>2.3400000000000087E-2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11"/>
      <c r="H35" s="10"/>
      <c r="I35" s="10">
        <f t="shared" ref="I35:I66" si="8">IF(H35&lt;&gt;"",H35,I34/(1+IF(G34="",0,G34)))</f>
        <v>1817</v>
      </c>
      <c r="J35" s="10">
        <f t="shared" si="6"/>
        <v>90163491457.256104</v>
      </c>
      <c r="K35" s="11">
        <f t="shared" si="7"/>
        <v>2.3300000000000098E-2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11"/>
      <c r="H36" s="10"/>
      <c r="I36" s="10">
        <f t="shared" si="8"/>
        <v>1817</v>
      </c>
      <c r="J36" s="10">
        <f t="shared" si="6"/>
        <v>88110516424.563766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11"/>
      <c r="H37" s="10"/>
      <c r="I37" s="10">
        <f t="shared" si="8"/>
        <v>1817</v>
      </c>
      <c r="J37" s="10">
        <f t="shared" si="6"/>
        <v>86087461088.9729</v>
      </c>
      <c r="K37" s="11">
        <f t="shared" si="7"/>
        <v>2.3800000000000043E-2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11"/>
      <c r="H38" s="10"/>
      <c r="I38" s="10">
        <f t="shared" si="8"/>
        <v>1817</v>
      </c>
      <c r="J38" s="10">
        <f t="shared" si="6"/>
        <v>84086209307.45546</v>
      </c>
      <c r="K38" s="11">
        <f t="shared" si="7"/>
        <v>2.3300000000000098E-2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11"/>
      <c r="H39" s="10"/>
      <c r="I39" s="10">
        <f t="shared" si="8"/>
        <v>1817</v>
      </c>
      <c r="J39" s="10">
        <f t="shared" si="6"/>
        <v>82171610776.366119</v>
      </c>
      <c r="K39" s="11">
        <f t="shared" si="7"/>
        <v>2.2999999999999687E-2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11"/>
      <c r="H40" s="10"/>
      <c r="I40" s="10">
        <f t="shared" si="8"/>
        <v>1817</v>
      </c>
      <c r="J40" s="10">
        <f t="shared" si="6"/>
        <v>80324155206.614014</v>
      </c>
      <c r="K40" s="11">
        <f t="shared" si="7"/>
        <v>2.3600000000000065E-2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11"/>
      <c r="H41" s="10"/>
      <c r="I41" s="10">
        <f t="shared" si="8"/>
        <v>1817</v>
      </c>
      <c r="J41" s="10">
        <f t="shared" si="6"/>
        <v>78472211026.391174</v>
      </c>
      <c r="K41" s="11">
        <f t="shared" si="7"/>
        <v>2.3500000000000076E-2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11"/>
      <c r="H42" s="10"/>
      <c r="I42" s="10">
        <f t="shared" si="8"/>
        <v>1817</v>
      </c>
      <c r="J42" s="10">
        <f t="shared" si="6"/>
        <v>76670455326.224884</v>
      </c>
      <c r="K42" s="11">
        <f t="shared" si="7"/>
        <v>2.3600000000000065E-2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11"/>
      <c r="H43" s="10"/>
      <c r="I43" s="10">
        <f t="shared" si="8"/>
        <v>1817</v>
      </c>
      <c r="J43" s="10">
        <f t="shared" si="6"/>
        <v>74902750416.397888</v>
      </c>
      <c r="K43" s="11">
        <f t="shared" si="7"/>
        <v>2.2999999999999909E-2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11"/>
      <c r="H44" s="10"/>
      <c r="I44" s="10">
        <f t="shared" si="8"/>
        <v>1817</v>
      </c>
      <c r="J44" s="10">
        <f t="shared" si="6"/>
        <v>73218719859.62648</v>
      </c>
      <c r="K44" s="11">
        <f t="shared" si="7"/>
        <v>2.2499999999999964E-2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11"/>
      <c r="H45" s="10"/>
      <c r="I45" s="10">
        <f t="shared" si="8"/>
        <v>1817</v>
      </c>
      <c r="J45" s="10">
        <f t="shared" si="6"/>
        <v>71607549984.964783</v>
      </c>
      <c r="K45" s="11">
        <f t="shared" si="7"/>
        <v>2.2000000000000242E-2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11"/>
      <c r="H46" s="10"/>
      <c r="I46" s="10">
        <f t="shared" si="8"/>
        <v>1817</v>
      </c>
      <c r="J46" s="10">
        <f t="shared" si="6"/>
        <v>70066095875.699387</v>
      </c>
      <c r="K46" s="11">
        <f t="shared" si="7"/>
        <v>2.2199999999999998E-2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11"/>
      <c r="H47" s="10"/>
      <c r="I47" s="10">
        <f t="shared" si="8"/>
        <v>1817</v>
      </c>
      <c r="J47" s="10">
        <f t="shared" si="6"/>
        <v>68544409974.270584</v>
      </c>
      <c r="K47" s="11">
        <f t="shared" si="7"/>
        <v>2.2199999999999998E-2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11"/>
      <c r="H48" s="10"/>
      <c r="I48" s="10">
        <f t="shared" si="8"/>
        <v>1817</v>
      </c>
      <c r="J48" s="10">
        <f t="shared" si="6"/>
        <v>67055771839.435127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11"/>
      <c r="H49" s="10"/>
      <c r="I49" s="10">
        <f t="shared" si="8"/>
        <v>1817</v>
      </c>
      <c r="J49" s="10">
        <f t="shared" si="6"/>
        <v>65670132053.114418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11"/>
      <c r="H50" s="10"/>
      <c r="I50" s="10">
        <f t="shared" si="8"/>
        <v>1817</v>
      </c>
      <c r="J50" s="10">
        <f t="shared" si="6"/>
        <v>64287941314.845245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11"/>
      <c r="H51" s="10"/>
      <c r="I51" s="10">
        <f t="shared" si="8"/>
        <v>1817</v>
      </c>
      <c r="J51" s="10">
        <f t="shared" si="6"/>
        <v>62934842207.386436</v>
      </c>
      <c r="K51" s="11">
        <f t="shared" si="7"/>
        <v>2.1400000000000086E-2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11"/>
      <c r="H52" s="10"/>
      <c r="I52" s="10">
        <f t="shared" si="8"/>
        <v>1817</v>
      </c>
      <c r="J52" s="10">
        <f t="shared" si="6"/>
        <v>61616254363.996895</v>
      </c>
      <c r="K52" s="11">
        <f t="shared" si="7"/>
        <v>2.2500000000000187E-2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11"/>
      <c r="H53" s="10"/>
      <c r="I53" s="10">
        <f t="shared" si="8"/>
        <v>1817</v>
      </c>
      <c r="J53" s="10">
        <f t="shared" si="6"/>
        <v>60260395466.011627</v>
      </c>
      <c r="K53" s="11">
        <f t="shared" si="7"/>
        <v>2.3400000000000087E-2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11"/>
      <c r="H54" s="10"/>
      <c r="I54" s="10">
        <f t="shared" si="8"/>
        <v>1817</v>
      </c>
      <c r="J54" s="10">
        <f t="shared" si="6"/>
        <v>58882543937.86557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11"/>
      <c r="H55" s="10"/>
      <c r="I55" s="10">
        <f t="shared" si="8"/>
        <v>1817</v>
      </c>
      <c r="J55" s="10">
        <f t="shared" si="6"/>
        <v>57530575415.598991</v>
      </c>
      <c r="K55" s="11">
        <f t="shared" si="7"/>
        <v>2.3700000000000054E-2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11"/>
      <c r="H56" s="10"/>
      <c r="I56" s="10">
        <f t="shared" si="8"/>
        <v>1817</v>
      </c>
      <c r="J56" s="10">
        <f t="shared" si="6"/>
        <v>56198667007.520744</v>
      </c>
      <c r="K56" s="11">
        <f t="shared" si="7"/>
        <v>2.3999999999999799E-2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11"/>
      <c r="H57" s="10"/>
      <c r="I57" s="10">
        <f t="shared" si="8"/>
        <v>1817</v>
      </c>
      <c r="J57" s="10">
        <f t="shared" si="6"/>
        <v>54881510749.531982</v>
      </c>
      <c r="K57" s="11">
        <f t="shared" si="7"/>
        <v>2.2999999999999909E-2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11"/>
      <c r="H58" s="10"/>
      <c r="I58" s="10">
        <f t="shared" si="8"/>
        <v>1817</v>
      </c>
      <c r="J58" s="10">
        <f t="shared" si="6"/>
        <v>53647615590.940361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11"/>
      <c r="H59" s="10"/>
      <c r="I59" s="10">
        <f t="shared" si="8"/>
        <v>1817</v>
      </c>
      <c r="J59" s="10">
        <f t="shared" si="6"/>
        <v>52492774550.822266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11"/>
      <c r="H60" s="10"/>
      <c r="I60" s="10">
        <f t="shared" si="8"/>
        <v>1817</v>
      </c>
      <c r="J60" s="10">
        <f t="shared" si="6"/>
        <v>51413099462.117798</v>
      </c>
      <c r="K60" s="11">
        <f t="shared" si="7"/>
        <v>2.0999999999999908E-2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11"/>
      <c r="H61" s="10"/>
      <c r="I61" s="10">
        <f t="shared" si="8"/>
        <v>1817</v>
      </c>
      <c r="J61" s="10">
        <f t="shared" si="6"/>
        <v>50355631206.775513</v>
      </c>
      <c r="K61" s="11">
        <f t="shared" si="7"/>
        <v>2.0999999999999686E-2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11"/>
      <c r="H62" s="10"/>
      <c r="I62" s="10">
        <f t="shared" si="8"/>
        <v>1817</v>
      </c>
      <c r="J62" s="10">
        <f t="shared" si="6"/>
        <v>49319913033.080826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11"/>
      <c r="H63" s="10"/>
      <c r="I63" s="10">
        <f t="shared" si="8"/>
        <v>1817</v>
      </c>
      <c r="J63" s="10">
        <f t="shared" si="6"/>
        <v>48352855914.785126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11"/>
      <c r="H64" s="10"/>
      <c r="I64" s="10">
        <f t="shared" si="8"/>
        <v>1817</v>
      </c>
      <c r="J64" s="10">
        <f t="shared" si="6"/>
        <v>47404760700.76973</v>
      </c>
      <c r="K64" s="11">
        <f t="shared" si="7"/>
        <v>1.8999999999999906E-2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11"/>
      <c r="H65" s="10"/>
      <c r="I65" s="10">
        <f t="shared" si="8"/>
        <v>1817</v>
      </c>
      <c r="J65" s="10">
        <f t="shared" si="6"/>
        <v>46520864279.459991</v>
      </c>
      <c r="K65" s="11">
        <f t="shared" si="7"/>
        <v>1.8000000000000016E-2</v>
      </c>
      <c r="L65" t="inlineStr">
        <is>
          <t xml:space="preserve">Keiratam War with Ztesh &amp; population transfer.</t>
        </is>
      </c>
      <c r="M65" t="inlineStr">
        <is>
          <t xml:space="preserve">Keiratam War (1701-02): Ztesh's war with Erkizil over Keiratam, ending in a forced population transfer.</t>
        </is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11"/>
      <c r="H66" s="10"/>
      <c r="I66" s="10">
        <f t="shared" si="8"/>
        <v>1817</v>
      </c>
      <c r="J66" s="10">
        <f t="shared" ref="J66:J97" si="9">IF(I66="","",I66*C66)</f>
        <v>45698294969.999992</v>
      </c>
      <c r="K66" s="11">
        <f t="shared" ref="K66:K97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1817</v>
      </c>
      <c r="J67" s="10">
        <f t="shared" si="9"/>
        <v>44934410000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5">
        <v>260844816</v>
      </c>
      <c r="G2" s="11"/>
      <c r="H2" s="10"/>
      <c r="I2" s="10">
        <f>IF(H2&lt;&gt;"",H2,10754)</f>
        <v>10754</v>
      </c>
      <c r="J2" s="10">
        <f t="shared" ref="J2:J33" si="3">IF(I2="","",I2*C2)</f>
        <v>2805249794767.1274</v>
      </c>
      <c r="K2" s="11">
        <f t="shared" ref="K2:K33" si="4">IFERROR(J2/J3-1,"")</f>
        <v>1.0599999999999721E-2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11"/>
      <c r="H3" s="10"/>
      <c r="I3" s="10">
        <f t="shared" ref="I3:I34" si="5">IF(H3&lt;&gt;"",H3,I2/(1+IF(G2="",0,G2)))</f>
        <v>10754</v>
      </c>
      <c r="J3" s="10">
        <f t="shared" si="3"/>
        <v>2775826038756.311</v>
      </c>
      <c r="K3" s="11">
        <f t="shared" si="4"/>
        <v>1.0699999999999932E-2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11"/>
      <c r="H4" s="10"/>
      <c r="I4" s="10">
        <f t="shared" si="5"/>
        <v>10754</v>
      </c>
      <c r="J4" s="10">
        <f t="shared" si="3"/>
        <v>2746439139958.7524</v>
      </c>
      <c r="K4" s="11">
        <f t="shared" si="4"/>
        <v>1.0399999999999965E-2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11"/>
      <c r="H5" s="10"/>
      <c r="I5" s="10">
        <f t="shared" si="5"/>
        <v>10754</v>
      </c>
      <c r="J5" s="10">
        <f t="shared" si="3"/>
        <v>2718170170188.7891</v>
      </c>
      <c r="K5" s="11">
        <f t="shared" si="4"/>
        <v>1.110000000000011E-2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11"/>
      <c r="H6" s="10"/>
      <c r="I6" s="10">
        <f t="shared" si="5"/>
        <v>10754</v>
      </c>
      <c r="J6" s="10">
        <f t="shared" si="3"/>
        <v>2688329710403.312</v>
      </c>
      <c r="K6" s="11">
        <f t="shared" si="4"/>
        <v>1.1300000000000088E-2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11"/>
      <c r="H7" s="10"/>
      <c r="I7" s="10">
        <f t="shared" si="5"/>
        <v>10754</v>
      </c>
      <c r="J7" s="10">
        <f t="shared" si="3"/>
        <v>2658291021856.3354</v>
      </c>
      <c r="K7" s="11">
        <f t="shared" si="4"/>
        <v>1.1400000000000077E-2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11"/>
      <c r="H8" s="10"/>
      <c r="I8" s="10">
        <f t="shared" si="5"/>
        <v>10754</v>
      </c>
      <c r="J8" s="10">
        <f t="shared" si="3"/>
        <v>2628328081724.6738</v>
      </c>
      <c r="K8" s="11">
        <f t="shared" si="4"/>
        <v>1.2299999999999978E-2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11"/>
      <c r="H9" s="10"/>
      <c r="I9" s="10">
        <f t="shared" si="5"/>
        <v>10754</v>
      </c>
      <c r="J9" s="10">
        <f t="shared" si="3"/>
        <v>2596392454533.9067</v>
      </c>
      <c r="K9" s="11">
        <f t="shared" si="4"/>
        <v>1.2399999999999967E-2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11"/>
      <c r="H10" s="10"/>
      <c r="I10" s="10">
        <f t="shared" si="5"/>
        <v>10754</v>
      </c>
      <c r="J10" s="10">
        <f t="shared" si="3"/>
        <v>2564591519689.7539</v>
      </c>
      <c r="K10" s="11">
        <f t="shared" si="4"/>
        <v>1.2399999999999967E-2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11"/>
      <c r="H11" s="10"/>
      <c r="I11" s="10">
        <f t="shared" si="5"/>
        <v>10754</v>
      </c>
      <c r="J11" s="10">
        <f t="shared" si="3"/>
        <v>2533180086615.7192</v>
      </c>
      <c r="K11" s="11">
        <f t="shared" si="4"/>
        <v>1.3600000000000056E-2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11"/>
      <c r="H12" s="10"/>
      <c r="I12" s="10">
        <f t="shared" si="5"/>
        <v>10754</v>
      </c>
      <c r="J12" s="10">
        <f t="shared" si="3"/>
        <v>2499191087821.3486</v>
      </c>
      <c r="K12" s="11">
        <f t="shared" si="4"/>
        <v>1.2599999999999945E-2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11"/>
      <c r="H13" s="10"/>
      <c r="I13" s="10">
        <f t="shared" si="5"/>
        <v>10754</v>
      </c>
      <c r="J13" s="10">
        <f t="shared" si="3"/>
        <v>2468093114577.6699</v>
      </c>
      <c r="K13" s="11">
        <f t="shared" si="4"/>
        <v>1.1700000000000044E-2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11"/>
      <c r="H14" s="10"/>
      <c r="I14" s="10">
        <f t="shared" si="5"/>
        <v>10754</v>
      </c>
      <c r="J14" s="10">
        <f t="shared" si="3"/>
        <v>2439550375187.9707</v>
      </c>
      <c r="K14" s="11">
        <f t="shared" si="4"/>
        <v>1.1300000000000088E-2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11"/>
      <c r="H15" s="10"/>
      <c r="I15" s="10">
        <f t="shared" si="5"/>
        <v>10754</v>
      </c>
      <c r="J15" s="10">
        <f t="shared" si="3"/>
        <v>2412291481447.6123</v>
      </c>
      <c r="K15" s="11">
        <f t="shared" si="4"/>
        <v>1.1099999999999888E-2</v>
      </c>
      <c r="L15" t="inlineStr">
        <is>
          <t xml:space="preserve">Rearmament Squeeze - Cold War military budgets crowd out civilian growth.</t>
        </is>
      </c>
      <c r="M15" t="inlineStr">
        <is>
          <t xml:space="preserve">Rearmament Squeeze (1751-53): the Cold War arms race that diverted spending from civilian growth, beginning Estijan's long stagnation.</t>
        </is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11"/>
      <c r="H16" s="10"/>
      <c r="I16" s="10">
        <f t="shared" si="5"/>
        <v>10754</v>
      </c>
      <c r="J16" s="10">
        <f t="shared" si="3"/>
        <v>2385809001530.6226</v>
      </c>
      <c r="K16" s="11">
        <f t="shared" si="4"/>
        <v>1.089999999999991E-2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11"/>
      <c r="H17" s="10"/>
      <c r="I17" s="10">
        <f t="shared" si="5"/>
        <v>10754</v>
      </c>
      <c r="J17" s="10">
        <f t="shared" si="3"/>
        <v>2360084085004.0781</v>
      </c>
      <c r="K17" s="11">
        <f t="shared" si="4"/>
        <v>1.0899999999999688E-2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11"/>
      <c r="H18" s="10"/>
      <c r="I18" s="10">
        <f t="shared" si="5"/>
        <v>10754</v>
      </c>
      <c r="J18" s="10">
        <f t="shared" si="3"/>
        <v>2334636546645.6411</v>
      </c>
      <c r="K18" s="11">
        <f t="shared" si="4"/>
        <v>1.0800000000000143E-2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11"/>
      <c r="H19" s="10"/>
      <c r="I19" s="10">
        <f t="shared" si="5"/>
        <v>10754</v>
      </c>
      <c r="J19" s="10">
        <f t="shared" si="3"/>
        <v>2309691874402.0981</v>
      </c>
      <c r="K19" s="11">
        <f t="shared" si="4"/>
        <v>9.300000000000086E-3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11"/>
      <c r="H20" s="10"/>
      <c r="I20" s="10">
        <f t="shared" si="5"/>
        <v>10754</v>
      </c>
      <c r="J20" s="10">
        <f t="shared" si="3"/>
        <v>2288409664522.043</v>
      </c>
      <c r="K20" s="11">
        <f t="shared" si="4"/>
        <v>8.3999999999999631E-3</v>
      </c>
      <c r="L20" t="inlineStr">
        <is>
          <t xml:space="preserve">Estijan-Daconia War - invasion &amp; overthrow of Daconia.</t>
        </is>
      </c>
      <c r="M20" t="inlineStr">
        <is>
          <t xml:space="preserve">Estijan-Daconia War (1747): Estijan's invasion and overthrow of the Daconian government.</t>
        </is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11"/>
      <c r="H21" s="10"/>
      <c r="I21" s="10">
        <f t="shared" si="5"/>
        <v>10754</v>
      </c>
      <c r="J21" s="10">
        <f t="shared" si="3"/>
        <v>2269347148474.8545</v>
      </c>
      <c r="K21" s="11">
        <f t="shared" si="4"/>
        <v>6.8999999999999062E-3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11"/>
      <c r="H22" s="10"/>
      <c r="I22" s="10">
        <f t="shared" si="5"/>
        <v>10754</v>
      </c>
      <c r="J22" s="10">
        <f t="shared" si="3"/>
        <v>2253795956375.8613</v>
      </c>
      <c r="K22" s="11">
        <f t="shared" si="4"/>
        <v>5.3000000000000824E-3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11"/>
      <c r="H23" s="10"/>
      <c r="I23" s="10">
        <f t="shared" si="5"/>
        <v>10754</v>
      </c>
      <c r="J23" s="10">
        <f t="shared" si="3"/>
        <v>2241913813166.0811</v>
      </c>
      <c r="K23" s="11">
        <f t="shared" si="4"/>
        <v>2.8999999999999027E-3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11"/>
      <c r="H24" s="10"/>
      <c r="I24" s="10">
        <f t="shared" si="5"/>
        <v>10754</v>
      </c>
      <c r="J24" s="10">
        <f t="shared" si="3"/>
        <v>2235431063083.1401</v>
      </c>
      <c r="K24" s="11">
        <f t="shared" si="4"/>
        <v>-1.6000000000001569E-3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11"/>
      <c r="H25" s="10"/>
      <c r="I25" s="10">
        <f t="shared" si="5"/>
        <v>10754</v>
      </c>
      <c r="J25" s="10">
        <f t="shared" si="3"/>
        <v>2239013484658.5942</v>
      </c>
      <c r="K25" s="11">
        <f t="shared" si="4"/>
        <v>-1.0999999999999899E-3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11"/>
      <c r="H26" s="10"/>
      <c r="I26" s="10">
        <f t="shared" si="5"/>
        <v>10754</v>
      </c>
      <c r="J26" s="10">
        <f t="shared" si="3"/>
        <v>2241479111681.4438</v>
      </c>
      <c r="K26" s="11">
        <f t="shared" si="4"/>
        <v>2.2999999999999687E-3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11"/>
      <c r="H27" s="10"/>
      <c r="I27" s="10">
        <f t="shared" si="5"/>
        <v>10754</v>
      </c>
      <c r="J27" s="10">
        <f t="shared" si="3"/>
        <v>2236335539939.583</v>
      </c>
      <c r="K27" s="11">
        <f t="shared" si="4"/>
        <v>6.0000000000002274E-3</v>
      </c>
      <c r="L27" t="inlineStr">
        <is>
          <t xml:space="preserve">Collapse of the Huan (Jan) &amp; the Great Crash (Mar) - hyperinflation &amp; empire dissolution.</t>
        </is>
      </c>
      <c r="M27" t="inlineStr">
        <is>
          <t xml:space="preserve">Collapse of the Huan (1740): dissolution of the Estijan Huan, hyperinflating its currency and breaking the empire apart.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11"/>
      <c r="H28" s="10"/>
      <c r="I28" s="10">
        <f t="shared" si="5"/>
        <v>10754</v>
      </c>
      <c r="J28" s="10">
        <f t="shared" si="3"/>
        <v>2222997554611.9111</v>
      </c>
      <c r="K28" s="11">
        <f t="shared" si="4"/>
        <v>1.110000000000011E-2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11"/>
      <c r="H29" s="10"/>
      <c r="I29" s="10">
        <f t="shared" si="5"/>
        <v>10754</v>
      </c>
      <c r="J29" s="10">
        <f t="shared" si="3"/>
        <v>2198593170420.2463</v>
      </c>
      <c r="K29" s="11">
        <f t="shared" si="4"/>
        <v>1.2000000000000011E-2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11"/>
      <c r="H30" s="10"/>
      <c r="I30" s="10">
        <f t="shared" si="5"/>
        <v>10754</v>
      </c>
      <c r="J30" s="10">
        <f t="shared" si="3"/>
        <v>2172522895672.1802</v>
      </c>
      <c r="K30" s="11">
        <f t="shared" si="4"/>
        <v>1.21E-2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11"/>
      <c r="H31" s="10"/>
      <c r="I31" s="10">
        <f t="shared" si="5"/>
        <v>10754</v>
      </c>
      <c r="J31" s="10">
        <f t="shared" si="3"/>
        <v>2146549644968.0664</v>
      </c>
      <c r="K31" s="11">
        <f t="shared" si="4"/>
        <v>1.3800000000000034E-2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11"/>
      <c r="H32" s="10"/>
      <c r="I32" s="10">
        <f t="shared" si="5"/>
        <v>10754</v>
      </c>
      <c r="J32" s="10">
        <f t="shared" si="3"/>
        <v>2117330484284.9343</v>
      </c>
      <c r="K32" s="11">
        <f t="shared" si="4"/>
        <v>1.2399999999999967E-2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11"/>
      <c r="H33" s="10"/>
      <c r="I33" s="10">
        <f t="shared" si="5"/>
        <v>10754</v>
      </c>
      <c r="J33" s="10">
        <f t="shared" si="3"/>
        <v>2091397159507.0469</v>
      </c>
      <c r="K33" s="11">
        <f t="shared" si="4"/>
        <v>1.21E-2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11"/>
      <c r="H34" s="10"/>
      <c r="I34" s="10">
        <f t="shared" si="5"/>
        <v>10754</v>
      </c>
      <c r="J34" s="10">
        <f t="shared" ref="J34:J65" si="6">IF(I34="","",I34*C34)</f>
        <v>2066393794592.4778</v>
      </c>
      <c r="K34" s="11">
        <f t="shared" ref="K34:K65" si="7">IFERROR(J34/J35-1,"")</f>
        <v>1.21E-2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11"/>
      <c r="H35" s="10"/>
      <c r="I35" s="10">
        <f t="shared" ref="I35:I66" si="8">IF(H35&lt;&gt;"",H35,I34/(1+IF(G34="",0,G34)))</f>
        <v>10754</v>
      </c>
      <c r="J35" s="10">
        <f t="shared" si="6"/>
        <v>2041689353416.1426</v>
      </c>
      <c r="K35" s="11">
        <f t="shared" si="7"/>
        <v>1.1300000000000088E-2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11"/>
      <c r="H36" s="10"/>
      <c r="I36" s="10">
        <f t="shared" si="8"/>
        <v>10754</v>
      </c>
      <c r="J36" s="10">
        <f t="shared" si="6"/>
        <v>2018876054005.876</v>
      </c>
      <c r="K36" s="11">
        <f t="shared" si="7"/>
        <v>1.0699999999999932E-2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11"/>
      <c r="H37" s="10"/>
      <c r="I37" s="10">
        <f t="shared" si="8"/>
        <v>10754</v>
      </c>
      <c r="J37" s="10">
        <f t="shared" si="6"/>
        <v>1997502774320.6453</v>
      </c>
      <c r="K37" s="11">
        <f t="shared" si="7"/>
        <v>1.0299999999999976E-2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11"/>
      <c r="H38" s="10"/>
      <c r="I38" s="10">
        <f t="shared" si="8"/>
        <v>10754</v>
      </c>
      <c r="J38" s="10">
        <f t="shared" si="6"/>
        <v>1977138250342.1216</v>
      </c>
      <c r="K38" s="11">
        <f t="shared" si="7"/>
        <v>1.0000000000000009E-2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11"/>
      <c r="H39" s="10"/>
      <c r="I39" s="10">
        <f t="shared" si="8"/>
        <v>10754</v>
      </c>
      <c r="J39" s="10">
        <f t="shared" si="6"/>
        <v>1957562624101.1104</v>
      </c>
      <c r="K39" s="11">
        <f t="shared" si="7"/>
        <v>1.0199999999999987E-2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11"/>
      <c r="H40" s="10"/>
      <c r="I40" s="10">
        <f t="shared" si="8"/>
        <v>10754</v>
      </c>
      <c r="J40" s="10">
        <f t="shared" si="6"/>
        <v>1937797093744.9124</v>
      </c>
      <c r="K40" s="11">
        <f t="shared" si="7"/>
        <v>9.7000000000000419E-3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11"/>
      <c r="H41" s="10"/>
      <c r="I41" s="10">
        <f t="shared" si="8"/>
        <v>10754</v>
      </c>
      <c r="J41" s="10">
        <f t="shared" si="6"/>
        <v>1919181037679.4219</v>
      </c>
      <c r="K41" s="11">
        <f t="shared" si="7"/>
        <v>9.100000000000108E-3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11"/>
      <c r="H42" s="10"/>
      <c r="I42" s="10">
        <f t="shared" si="8"/>
        <v>10754</v>
      </c>
      <c r="J42" s="10">
        <f t="shared" si="6"/>
        <v>1901873984421.189</v>
      </c>
      <c r="K42" s="11">
        <f t="shared" si="7"/>
        <v>9.300000000000086E-3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11"/>
      <c r="H43" s="10"/>
      <c r="I43" s="10">
        <f t="shared" si="8"/>
        <v>10754</v>
      </c>
      <c r="J43" s="10">
        <f t="shared" si="6"/>
        <v>1884349533757.2463</v>
      </c>
      <c r="K43" s="11">
        <f t="shared" si="7"/>
        <v>9.200000000000097E-3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11"/>
      <c r="H44" s="10"/>
      <c r="I44" s="10">
        <f t="shared" si="8"/>
        <v>10754</v>
      </c>
      <c r="J44" s="10">
        <f t="shared" si="6"/>
        <v>1867171555447.1326</v>
      </c>
      <c r="K44" s="11">
        <f t="shared" si="7"/>
        <v>8.999999999999897E-3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11"/>
      <c r="H45" s="10"/>
      <c r="I45" s="10">
        <f t="shared" si="8"/>
        <v>10754</v>
      </c>
      <c r="J45" s="10">
        <f t="shared" si="6"/>
        <v>1850516903317.2773</v>
      </c>
      <c r="K45" s="11">
        <f t="shared" si="7"/>
        <v>8.3999999999999631E-3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11"/>
      <c r="H46" s="10"/>
      <c r="I46" s="10">
        <f t="shared" si="8"/>
        <v>10754</v>
      </c>
      <c r="J46" s="10">
        <f t="shared" si="6"/>
        <v>1835102046129.7874</v>
      </c>
      <c r="K46" s="11">
        <f t="shared" si="7"/>
        <v>9.5000000000000639E-3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11"/>
      <c r="H47" s="10"/>
      <c r="I47" s="10">
        <f t="shared" si="8"/>
        <v>10754</v>
      </c>
      <c r="J47" s="10">
        <f t="shared" si="6"/>
        <v>1817832636086.9609</v>
      </c>
      <c r="K47" s="11">
        <f t="shared" si="7"/>
        <v>1.330000000000009E-2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11"/>
      <c r="H48" s="10"/>
      <c r="I48" s="10">
        <f t="shared" si="8"/>
        <v>10754</v>
      </c>
      <c r="J48" s="10">
        <f t="shared" si="6"/>
        <v>1793972797875.2202</v>
      </c>
      <c r="K48" s="11">
        <f t="shared" si="7"/>
        <v>1.2199999999999989E-2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11"/>
      <c r="H49" s="10"/>
      <c r="I49" s="10">
        <f t="shared" si="8"/>
        <v>10754</v>
      </c>
      <c r="J49" s="10">
        <f t="shared" si="6"/>
        <v>1772350126333.946</v>
      </c>
      <c r="K49" s="11">
        <f t="shared" si="7"/>
        <v>1.4599999999999946E-2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11"/>
      <c r="H50" s="10"/>
      <c r="I50" s="10">
        <f t="shared" si="8"/>
        <v>10754</v>
      </c>
      <c r="J50" s="10">
        <f t="shared" si="6"/>
        <v>1746846172219.5408</v>
      </c>
      <c r="K50" s="11">
        <f t="shared" si="7"/>
        <v>1.5900000000000025E-2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11"/>
      <c r="H51" s="10"/>
      <c r="I51" s="10">
        <f t="shared" si="8"/>
        <v>10754</v>
      </c>
      <c r="J51" s="10">
        <f t="shared" si="6"/>
        <v>1719506026399.7842</v>
      </c>
      <c r="K51" s="11">
        <f t="shared" si="7"/>
        <v>1.7099999999999893E-2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11"/>
      <c r="H52" s="10"/>
      <c r="I52" s="10">
        <f t="shared" si="8"/>
        <v>10754</v>
      </c>
      <c r="J52" s="10">
        <f t="shared" si="6"/>
        <v>1690596820764.708</v>
      </c>
      <c r="K52" s="11">
        <f t="shared" si="7"/>
        <v>1.8499999999999961E-2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11"/>
      <c r="H53" s="10"/>
      <c r="I53" s="10">
        <f t="shared" si="8"/>
        <v>10754</v>
      </c>
      <c r="J53" s="10">
        <f t="shared" si="6"/>
        <v>1659888876548.5596</v>
      </c>
      <c r="K53" s="11">
        <f t="shared" si="7"/>
        <v>2.0000000000000018E-2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11"/>
      <c r="H54" s="10"/>
      <c r="I54" s="10">
        <f t="shared" si="8"/>
        <v>10754</v>
      </c>
      <c r="J54" s="10">
        <f t="shared" si="6"/>
        <v>1627342035831.9211</v>
      </c>
      <c r="K54" s="11">
        <f t="shared" si="7"/>
        <v>2.1500000000000075E-2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11"/>
      <c r="H55" s="10"/>
      <c r="I55" s="10">
        <f t="shared" si="8"/>
        <v>10754</v>
      </c>
      <c r="J55" s="10">
        <f t="shared" si="6"/>
        <v>1593090588185.9236</v>
      </c>
      <c r="K55" s="11">
        <f t="shared" si="7"/>
        <v>2.2699999999999942E-2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11"/>
      <c r="H56" s="10"/>
      <c r="I56" s="10">
        <f t="shared" si="8"/>
        <v>10754</v>
      </c>
      <c r="J56" s="10">
        <f t="shared" si="6"/>
        <v>1557730114584.8477</v>
      </c>
      <c r="K56" s="11">
        <f t="shared" si="7"/>
        <v>2.3800000000000043E-2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11"/>
      <c r="H57" s="10"/>
      <c r="I57" s="10">
        <f t="shared" si="8"/>
        <v>10754</v>
      </c>
      <c r="J57" s="10">
        <f t="shared" si="6"/>
        <v>1521517986506.0046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11"/>
      <c r="H58" s="10"/>
      <c r="I58" s="10">
        <f t="shared" si="8"/>
        <v>10754</v>
      </c>
      <c r="J58" s="10">
        <f t="shared" si="6"/>
        <v>1484407791713.1755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11"/>
      <c r="H59" s="10"/>
      <c r="I59" s="10">
        <f t="shared" si="8"/>
        <v>10754</v>
      </c>
      <c r="J59" s="10">
        <f t="shared" si="6"/>
        <v>1446791219993.3484</v>
      </c>
      <c r="K59" s="11">
        <f t="shared" si="7"/>
        <v>2.8000000000000025E-2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11"/>
      <c r="H60" s="10"/>
      <c r="I60" s="10">
        <f t="shared" si="8"/>
        <v>10754</v>
      </c>
      <c r="J60" s="10">
        <f t="shared" si="6"/>
        <v>1407384455246.4478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11"/>
      <c r="H61" s="10"/>
      <c r="I61" s="10">
        <f t="shared" si="8"/>
        <v>10754</v>
      </c>
      <c r="J61" s="10">
        <f t="shared" si="6"/>
        <v>1366392674996.5513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11"/>
      <c r="H62" s="10"/>
      <c r="I62" s="10">
        <f t="shared" si="8"/>
        <v>10754</v>
      </c>
      <c r="J62" s="10">
        <f t="shared" si="6"/>
        <v>1324023909880.3792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11"/>
      <c r="H63" s="10"/>
      <c r="I63" s="10">
        <f t="shared" si="8"/>
        <v>10754</v>
      </c>
      <c r="J63" s="10">
        <f t="shared" si="6"/>
        <v>1285460106679.9797</v>
      </c>
      <c r="K63" s="11">
        <f t="shared" si="7"/>
        <v>2.5000000000000133E-2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11"/>
      <c r="H64" s="10"/>
      <c r="I64" s="10">
        <f t="shared" si="8"/>
        <v>10754</v>
      </c>
      <c r="J64" s="10">
        <f t="shared" si="6"/>
        <v>1254107421151.1997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11"/>
      <c r="H65" s="10"/>
      <c r="I65" s="10">
        <f t="shared" si="8"/>
        <v>10754</v>
      </c>
      <c r="J65" s="10">
        <f t="shared" si="6"/>
        <v>1227110979599.9998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11"/>
      <c r="H66" s="10"/>
      <c r="I66" s="10">
        <f t="shared" si="8"/>
        <v>10754</v>
      </c>
      <c r="J66" s="10">
        <f t="shared" ref="J66:J97" si="9">IF(I66="","",I66*C66)</f>
        <v>1203049979999.9998</v>
      </c>
      <c r="K66" s="11">
        <f t="shared" ref="K66:K97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10754</v>
      </c>
      <c r="J67" s="10">
        <f t="shared" si="9"/>
        <v>1182940000000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5">
        <v>74667447</v>
      </c>
      <c r="G2" s="11"/>
      <c r="H2" s="10"/>
      <c r="I2" s="10">
        <f>IF(H2&lt;&gt;"",H2,35397)</f>
        <v>35397</v>
      </c>
      <c r="J2" s="10">
        <f t="shared" ref="J2:J33" si="3">IF(I2="","",I2*C2)</f>
        <v>2643042105650.2378</v>
      </c>
      <c r="K2" s="11">
        <f t="shared" ref="K2:K33" si="4">IFERROR(J2/J3-1,"")</f>
        <v>1.3000000000000789E-3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11"/>
      <c r="H3" s="10"/>
      <c r="I3" s="10">
        <f t="shared" ref="I3:I34" si="5">IF(H3&lt;&gt;"",H3,I2/(1+IF(G2="",0,G2)))</f>
        <v>35397</v>
      </c>
      <c r="J3" s="10">
        <f t="shared" si="3"/>
        <v>2639610611854.8262</v>
      </c>
      <c r="K3" s="11">
        <f t="shared" si="4"/>
        <v>1.8000000000000238E-3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11"/>
      <c r="H4" s="10"/>
      <c r="I4" s="10">
        <f t="shared" si="5"/>
        <v>35397</v>
      </c>
      <c r="J4" s="10">
        <f t="shared" si="3"/>
        <v>2634867849725.3203</v>
      </c>
      <c r="K4" s="11">
        <f t="shared" si="4"/>
        <v>2.3999999999997357E-3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11"/>
      <c r="H5" s="10"/>
      <c r="I5" s="10">
        <f t="shared" si="5"/>
        <v>35397</v>
      </c>
      <c r="J5" s="10">
        <f t="shared" si="3"/>
        <v>2628559307387.5908</v>
      </c>
      <c r="K5" s="11">
        <f t="shared" si="4"/>
        <v>2.7999999999999137E-3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11"/>
      <c r="H6" s="10"/>
      <c r="I6" s="10">
        <f t="shared" si="5"/>
        <v>35397</v>
      </c>
      <c r="J6" s="10">
        <f t="shared" si="3"/>
        <v>2621219891690.8564</v>
      </c>
      <c r="K6" s="11">
        <f t="shared" si="4"/>
        <v>1.5999999999998238E-3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11"/>
      <c r="H7" s="10"/>
      <c r="I7" s="10">
        <f t="shared" si="5"/>
        <v>35397</v>
      </c>
      <c r="J7" s="10">
        <f t="shared" si="3"/>
        <v>2617032639467.7085</v>
      </c>
      <c r="K7" s="11">
        <f t="shared" si="4"/>
        <v>2.3999999999999577E-3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11"/>
      <c r="H8" s="10"/>
      <c r="I8" s="10">
        <f t="shared" si="5"/>
        <v>35397</v>
      </c>
      <c r="J8" s="10">
        <f t="shared" si="3"/>
        <v>2610766799149.749</v>
      </c>
      <c r="K8" s="11">
        <f t="shared" si="4"/>
        <v>2.6999999999999247E-3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11"/>
      <c r="H9" s="10"/>
      <c r="I9" s="10">
        <f t="shared" si="5"/>
        <v>35397</v>
      </c>
      <c r="J9" s="10">
        <f t="shared" si="3"/>
        <v>2603736710032.6611</v>
      </c>
      <c r="K9" s="11">
        <f t="shared" si="4"/>
        <v>3.6000000000000476E-3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11"/>
      <c r="H10" s="10"/>
      <c r="I10" s="10">
        <f t="shared" si="5"/>
        <v>35397</v>
      </c>
      <c r="J10" s="10">
        <f t="shared" si="3"/>
        <v>2594396881260.1245</v>
      </c>
      <c r="K10" s="11">
        <f t="shared" si="4"/>
        <v>4.5999999999999375E-3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11"/>
      <c r="H11" s="10"/>
      <c r="I11" s="10">
        <f t="shared" si="5"/>
        <v>35397</v>
      </c>
      <c r="J11" s="10">
        <f t="shared" si="3"/>
        <v>2582517301672.4316</v>
      </c>
      <c r="K11" s="11">
        <f t="shared" si="4"/>
        <v>4.6999999999999265E-3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11"/>
      <c r="H12" s="10"/>
      <c r="I12" s="10">
        <f t="shared" si="5"/>
        <v>35397</v>
      </c>
      <c r="J12" s="10">
        <f t="shared" si="3"/>
        <v>2570436251291.3623</v>
      </c>
      <c r="K12" s="11">
        <f t="shared" si="4"/>
        <v>5.8999999999997943E-3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11"/>
      <c r="H13" s="10"/>
      <c r="I13" s="10">
        <f t="shared" si="5"/>
        <v>35397</v>
      </c>
      <c r="J13" s="10">
        <f t="shared" si="3"/>
        <v>2555359629477.4458</v>
      </c>
      <c r="K13" s="11">
        <f t="shared" si="4"/>
        <v>6.2999999999999723E-3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11"/>
      <c r="H14" s="10"/>
      <c r="I14" s="10">
        <f t="shared" si="5"/>
        <v>35397</v>
      </c>
      <c r="J14" s="10">
        <f t="shared" si="3"/>
        <v>2539361651075.6694</v>
      </c>
      <c r="K14" s="11">
        <f t="shared" si="4"/>
        <v>7.2000000000003173E-3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11"/>
      <c r="H15" s="10"/>
      <c r="I15" s="10">
        <f t="shared" si="5"/>
        <v>35397</v>
      </c>
      <c r="J15" s="10">
        <f t="shared" si="3"/>
        <v>2521208946659.7188</v>
      </c>
      <c r="K15" s="11">
        <f t="shared" si="4"/>
        <v>6.8999999999999062E-3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11"/>
      <c r="H16" s="10"/>
      <c r="I16" s="10">
        <f t="shared" si="5"/>
        <v>35397</v>
      </c>
      <c r="J16" s="10">
        <f t="shared" si="3"/>
        <v>2503931817121.5801</v>
      </c>
      <c r="K16" s="11">
        <f t="shared" si="4"/>
        <v>7.9000000000000181E-3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11"/>
      <c r="H17" s="10"/>
      <c r="I17" s="10">
        <f t="shared" si="5"/>
        <v>35397</v>
      </c>
      <c r="J17" s="10">
        <f t="shared" si="3"/>
        <v>2484305801291.3779</v>
      </c>
      <c r="K17" s="11">
        <f t="shared" si="4"/>
        <v>9.8000000000000309E-3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11"/>
      <c r="H18" s="10"/>
      <c r="I18" s="10">
        <f t="shared" si="5"/>
        <v>35397</v>
      </c>
      <c r="J18" s="10">
        <f t="shared" si="3"/>
        <v>2460195881651.1963</v>
      </c>
      <c r="K18" s="11">
        <f t="shared" si="4"/>
        <v>1.2699999999999934E-2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11"/>
      <c r="H19" s="10"/>
      <c r="I19" s="10">
        <f t="shared" si="5"/>
        <v>35397</v>
      </c>
      <c r="J19" s="10">
        <f t="shared" si="3"/>
        <v>2429343222722.6191</v>
      </c>
      <c r="K19" s="11">
        <f t="shared" si="4"/>
        <v>1.0499999999999954E-2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11"/>
      <c r="H20" s="10"/>
      <c r="I20" s="10">
        <f t="shared" si="5"/>
        <v>35397</v>
      </c>
      <c r="J20" s="10">
        <f t="shared" si="3"/>
        <v>2404100170927.8765</v>
      </c>
      <c r="K20" s="11">
        <f t="shared" si="4"/>
        <v>1.2499999999999956E-2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11"/>
      <c r="H21" s="10"/>
      <c r="I21" s="10">
        <f t="shared" si="5"/>
        <v>35397</v>
      </c>
      <c r="J21" s="10">
        <f t="shared" si="3"/>
        <v>2374419921904.0757</v>
      </c>
      <c r="K21" s="11">
        <f t="shared" si="4"/>
        <v>1.0199999999999987E-2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11"/>
      <c r="H22" s="10"/>
      <c r="I22" s="10">
        <f t="shared" si="5"/>
        <v>35397</v>
      </c>
      <c r="J22" s="10">
        <f t="shared" si="3"/>
        <v>2350445379037.8892</v>
      </c>
      <c r="K22" s="11">
        <f t="shared" si="4"/>
        <v>8.599999999999941E-3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11"/>
      <c r="H23" s="10"/>
      <c r="I23" s="10">
        <f t="shared" si="5"/>
        <v>35397</v>
      </c>
      <c r="J23" s="10">
        <f t="shared" si="3"/>
        <v>2330403905451.0107</v>
      </c>
      <c r="K23" s="11">
        <f t="shared" si="4"/>
        <v>1.4000000000000012E-2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11"/>
      <c r="H24" s="10"/>
      <c r="I24" s="10">
        <f t="shared" si="5"/>
        <v>35397</v>
      </c>
      <c r="J24" s="10">
        <f t="shared" si="3"/>
        <v>2298228703600.6021</v>
      </c>
      <c r="K24" s="11">
        <f t="shared" si="4"/>
        <v>1.18999999999998E-2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11"/>
      <c r="H25" s="10"/>
      <c r="I25" s="10">
        <f t="shared" si="5"/>
        <v>35397</v>
      </c>
      <c r="J25" s="10">
        <f t="shared" si="3"/>
        <v>2271201406858.9805</v>
      </c>
      <c r="K25" s="11">
        <f t="shared" si="4"/>
        <v>1.3200000000000101E-2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11"/>
      <c r="H26" s="10"/>
      <c r="I26" s="10">
        <f t="shared" si="5"/>
        <v>35397</v>
      </c>
      <c r="J26" s="10">
        <f t="shared" si="3"/>
        <v>2241612126785.4126</v>
      </c>
      <c r="K26" s="11">
        <f t="shared" si="4"/>
        <v>1.0799999999999921E-2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11"/>
      <c r="H27" s="10"/>
      <c r="I27" s="10">
        <f t="shared" si="5"/>
        <v>35397</v>
      </c>
      <c r="J27" s="10">
        <f t="shared" si="3"/>
        <v>2217661383839.9414</v>
      </c>
      <c r="K27" s="11">
        <f t="shared" si="4"/>
        <v>7.1000000000001062E-3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11"/>
      <c r="H28" s="10"/>
      <c r="I28" s="10">
        <f t="shared" si="5"/>
        <v>35397</v>
      </c>
      <c r="J28" s="10">
        <f t="shared" si="3"/>
        <v>2202026992195.354</v>
      </c>
      <c r="K28" s="11">
        <f t="shared" si="4"/>
        <v>7.7000000000000401E-3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11"/>
      <c r="H29" s="10"/>
      <c r="I29" s="10">
        <f t="shared" si="5"/>
        <v>35397</v>
      </c>
      <c r="J29" s="10">
        <f t="shared" si="3"/>
        <v>2185200944919.4741</v>
      </c>
      <c r="K29" s="11">
        <f t="shared" si="4"/>
        <v>6.8999999999999062E-3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11"/>
      <c r="H30" s="10"/>
      <c r="I30" s="10">
        <f t="shared" si="5"/>
        <v>35397</v>
      </c>
      <c r="J30" s="10">
        <f t="shared" si="3"/>
        <v>2170226382877.6189</v>
      </c>
      <c r="K30" s="11">
        <f t="shared" si="4"/>
        <v>7.5000000000000622E-3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11"/>
      <c r="H31" s="10"/>
      <c r="I31" s="10">
        <f t="shared" si="5"/>
        <v>35397</v>
      </c>
      <c r="J31" s="10">
        <f t="shared" si="3"/>
        <v>2154070851491.4329</v>
      </c>
      <c r="K31" s="11">
        <f t="shared" si="4"/>
        <v>7.6000000000000512E-3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11"/>
      <c r="H32" s="10"/>
      <c r="I32" s="10">
        <f t="shared" si="5"/>
        <v>35397</v>
      </c>
      <c r="J32" s="10">
        <f t="shared" si="3"/>
        <v>2137823393699.3181</v>
      </c>
      <c r="K32" s="11">
        <f t="shared" si="4"/>
        <v>8.1999999999999851E-3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11"/>
      <c r="H33" s="10"/>
      <c r="I33" s="10">
        <f t="shared" si="5"/>
        <v>35397</v>
      </c>
      <c r="J33" s="10">
        <f t="shared" si="3"/>
        <v>2120435819975.519</v>
      </c>
      <c r="K33" s="11">
        <f t="shared" si="4"/>
        <v>1.0499999999999954E-2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11"/>
      <c r="H34" s="10"/>
      <c r="I34" s="10">
        <f t="shared" si="5"/>
        <v>35397</v>
      </c>
      <c r="J34" s="10">
        <f t="shared" ref="J34:J65" si="6">IF(I34="","",I34*C34)</f>
        <v>2098402592751.627</v>
      </c>
      <c r="K34" s="11">
        <f t="shared" ref="K34:K65" si="7">IFERROR(J34/J35-1,"")</f>
        <v>9.200000000000097E-3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11"/>
      <c r="H35" s="10"/>
      <c r="I35" s="10">
        <f t="shared" ref="I35:I66" si="8">IF(H35&lt;&gt;"",H35,I34/(1+IF(G34="",0,G34)))</f>
        <v>35397</v>
      </c>
      <c r="J35" s="10">
        <f t="shared" si="6"/>
        <v>2079273278588.6116</v>
      </c>
      <c r="K35" s="11">
        <f t="shared" si="7"/>
        <v>1.2199999999999989E-2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11"/>
      <c r="H36" s="10"/>
      <c r="I36" s="10">
        <f t="shared" si="8"/>
        <v>35397</v>
      </c>
      <c r="J36" s="10">
        <f t="shared" si="6"/>
        <v>2054211893488.0574</v>
      </c>
      <c r="K36" s="11">
        <f t="shared" si="7"/>
        <v>1.4799999999999702E-2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11"/>
      <c r="H37" s="10"/>
      <c r="I37" s="10">
        <f t="shared" si="8"/>
        <v>35397</v>
      </c>
      <c r="J37" s="10">
        <f t="shared" si="6"/>
        <v>2024252949830.5654</v>
      </c>
      <c r="K37" s="11">
        <f t="shared" si="7"/>
        <v>1.6899999999999915E-2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11"/>
      <c r="H38" s="10"/>
      <c r="I38" s="10">
        <f t="shared" si="8"/>
        <v>35397</v>
      </c>
      <c r="J38" s="10">
        <f t="shared" si="6"/>
        <v>1990611613561.3782</v>
      </c>
      <c r="K38" s="11">
        <f t="shared" si="7"/>
        <v>1.7400000000000082E-2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11"/>
      <c r="H39" s="10"/>
      <c r="I39" s="10">
        <f t="shared" si="8"/>
        <v>35397</v>
      </c>
      <c r="J39" s="10">
        <f t="shared" si="6"/>
        <v>1956567341813.8176</v>
      </c>
      <c r="K39" s="11">
        <f t="shared" si="7"/>
        <v>1.3100000000000112E-2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11"/>
      <c r="H40" s="10"/>
      <c r="I40" s="10">
        <f t="shared" si="8"/>
        <v>35397</v>
      </c>
      <c r="J40" s="10">
        <f t="shared" si="6"/>
        <v>1931267734491.9724</v>
      </c>
      <c r="K40" s="11">
        <f t="shared" si="7"/>
        <v>1.6299999999999981E-2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11"/>
      <c r="H41" s="10"/>
      <c r="I41" s="10">
        <f t="shared" si="8"/>
        <v>35397</v>
      </c>
      <c r="J41" s="10">
        <f t="shared" si="6"/>
        <v>1900292959256.0981</v>
      </c>
      <c r="K41" s="11">
        <f t="shared" si="7"/>
        <v>1.6100000000000003E-2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11"/>
      <c r="H42" s="10"/>
      <c r="I42" s="10">
        <f t="shared" si="8"/>
        <v>35397</v>
      </c>
      <c r="J42" s="10">
        <f t="shared" si="6"/>
        <v>1870183012750.8101</v>
      </c>
      <c r="K42" s="11">
        <f t="shared" si="7"/>
        <v>1.5800000000000036E-2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11"/>
      <c r="H43" s="10"/>
      <c r="I43" s="10">
        <f t="shared" si="8"/>
        <v>35397</v>
      </c>
      <c r="J43" s="10">
        <f t="shared" si="6"/>
        <v>1841093731788.551</v>
      </c>
      <c r="K43" s="11">
        <f t="shared" si="7"/>
        <v>1.5200000000000324E-2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11"/>
      <c r="H44" s="10"/>
      <c r="I44" s="10">
        <f t="shared" si="8"/>
        <v>35397</v>
      </c>
      <c r="J44" s="10">
        <f t="shared" si="6"/>
        <v>1813528104598.6511</v>
      </c>
      <c r="K44" s="11">
        <f t="shared" si="7"/>
        <v>1.4899999999999691E-2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11"/>
      <c r="H45" s="10"/>
      <c r="I45" s="10">
        <f t="shared" si="8"/>
        <v>35397</v>
      </c>
      <c r="J45" s="10">
        <f t="shared" si="6"/>
        <v>1786903246229.8271</v>
      </c>
      <c r="K45" s="11">
        <f t="shared" si="7"/>
        <v>1.5200000000000324E-2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11"/>
      <c r="H46" s="10"/>
      <c r="I46" s="10">
        <f t="shared" si="8"/>
        <v>35397</v>
      </c>
      <c r="J46" s="10">
        <f t="shared" si="6"/>
        <v>1760148981707.8672</v>
      </c>
      <c r="K46" s="11">
        <f t="shared" si="7"/>
        <v>1.5900000000000025E-2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11"/>
      <c r="H47" s="10"/>
      <c r="I47" s="10">
        <f t="shared" si="8"/>
        <v>35397</v>
      </c>
      <c r="J47" s="10">
        <f t="shared" si="6"/>
        <v>1732600631664.4033</v>
      </c>
      <c r="K47" s="11">
        <f t="shared" si="7"/>
        <v>1.6599999999999948E-2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11"/>
      <c r="H48" s="10"/>
      <c r="I48" s="10">
        <f t="shared" si="8"/>
        <v>35397</v>
      </c>
      <c r="J48" s="10">
        <f t="shared" si="6"/>
        <v>1704309100594.5342</v>
      </c>
      <c r="K48" s="11">
        <f t="shared" si="7"/>
        <v>1.7400000000000082E-2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11"/>
      <c r="H49" s="10"/>
      <c r="I49" s="10">
        <f t="shared" si="8"/>
        <v>35397</v>
      </c>
      <c r="J49" s="10">
        <f t="shared" si="6"/>
        <v>1675161294077.584</v>
      </c>
      <c r="K49" s="11">
        <f t="shared" si="7"/>
        <v>1.8299999999999983E-2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11"/>
      <c r="H50" s="10"/>
      <c r="I50" s="10">
        <f t="shared" si="8"/>
        <v>35397</v>
      </c>
      <c r="J50" s="10">
        <f t="shared" si="6"/>
        <v>1645056755452.7979</v>
      </c>
      <c r="K50" s="11">
        <f t="shared" si="7"/>
        <v>1.9500000000000073E-2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11"/>
      <c r="H51" s="10"/>
      <c r="I51" s="10">
        <f t="shared" si="8"/>
        <v>35397</v>
      </c>
      <c r="J51" s="10">
        <f t="shared" si="6"/>
        <v>1613591716971.8467</v>
      </c>
      <c r="K51" s="11">
        <f t="shared" si="7"/>
        <v>2.079999999999993E-2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11"/>
      <c r="H52" s="10"/>
      <c r="I52" s="10">
        <f t="shared" si="8"/>
        <v>35397</v>
      </c>
      <c r="J52" s="10">
        <f t="shared" si="6"/>
        <v>1580712888883.0789</v>
      </c>
      <c r="K52" s="11">
        <f t="shared" si="7"/>
        <v>1.6299999999999981E-2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11"/>
      <c r="H53" s="10"/>
      <c r="I53" s="10">
        <f t="shared" si="8"/>
        <v>35397</v>
      </c>
      <c r="J53" s="10">
        <f t="shared" si="6"/>
        <v>1555360512528.8584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11"/>
      <c r="H54" s="10"/>
      <c r="I54" s="10">
        <f t="shared" si="8"/>
        <v>35397</v>
      </c>
      <c r="J54" s="10">
        <f t="shared" si="6"/>
        <v>1533734851127.9543</v>
      </c>
      <c r="K54" s="11">
        <f t="shared" si="7"/>
        <v>1.6100000000000225E-2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11"/>
      <c r="H55" s="10"/>
      <c r="I55" s="10">
        <f t="shared" si="8"/>
        <v>35397</v>
      </c>
      <c r="J55" s="10">
        <f t="shared" si="6"/>
        <v>1509432980147.5781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11"/>
      <c r="H56" s="10"/>
      <c r="I56" s="10">
        <f t="shared" si="8"/>
        <v>35397</v>
      </c>
      <c r="J56" s="10">
        <f t="shared" si="6"/>
        <v>1482161213813.4114</v>
      </c>
      <c r="K56" s="11">
        <f t="shared" si="7"/>
        <v>5.9999999999993392E-4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11"/>
      <c r="H57" s="10"/>
      <c r="I57" s="10">
        <f t="shared" si="8"/>
        <v>35397</v>
      </c>
      <c r="J57" s="10">
        <f t="shared" si="6"/>
        <v>1481272450343.2056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11"/>
      <c r="H58" s="10"/>
      <c r="I58" s="10">
        <f t="shared" si="8"/>
        <v>35397</v>
      </c>
      <c r="J58" s="10">
        <f t="shared" si="6"/>
        <v>1445143853993.3713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11"/>
      <c r="H59" s="10"/>
      <c r="I59" s="10">
        <f t="shared" si="8"/>
        <v>35397</v>
      </c>
      <c r="J59" s="10">
        <f t="shared" si="6"/>
        <v>1416807699993.5012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11"/>
      <c r="H60" s="10"/>
      <c r="I60" s="10">
        <f t="shared" si="8"/>
        <v>35397</v>
      </c>
      <c r="J60" s="10">
        <f t="shared" si="6"/>
        <v>1387666699308.0327</v>
      </c>
      <c r="K60" s="11">
        <f t="shared" si="7"/>
        <v>2.200000000000002E-2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11"/>
      <c r="H61" s="10"/>
      <c r="I61" s="10">
        <f t="shared" si="8"/>
        <v>35397</v>
      </c>
      <c r="J61" s="10">
        <f t="shared" si="6"/>
        <v>1357795204802.3804</v>
      </c>
      <c r="K61" s="11">
        <f t="shared" si="7"/>
        <v>2.2999999999999687E-2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11"/>
      <c r="H62" s="10"/>
      <c r="I62" s="10">
        <f t="shared" si="8"/>
        <v>35397</v>
      </c>
      <c r="J62" s="10">
        <f t="shared" si="6"/>
        <v>1327268039885.0251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11"/>
      <c r="H63" s="10"/>
      <c r="I63" s="10">
        <f t="shared" si="8"/>
        <v>35397</v>
      </c>
      <c r="J63" s="10">
        <f t="shared" si="6"/>
        <v>1301243176357.8677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11"/>
      <c r="H64" s="10"/>
      <c r="I64" s="10">
        <f t="shared" si="8"/>
        <v>35397</v>
      </c>
      <c r="J64" s="10">
        <f t="shared" si="6"/>
        <v>1274479114944.043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11"/>
      <c r="H65" s="10"/>
      <c r="I65" s="10">
        <f t="shared" si="8"/>
        <v>35397</v>
      </c>
      <c r="J65" s="10">
        <f t="shared" si="6"/>
        <v>1247044143780.864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11"/>
      <c r="H66" s="10"/>
      <c r="I66" s="10">
        <f t="shared" si="8"/>
        <v>35397</v>
      </c>
      <c r="J66" s="10">
        <f t="shared" ref="J66:J97" si="9">IF(I66="","",I66*C66)</f>
        <v>1219006983168</v>
      </c>
      <c r="K66" s="11">
        <f t="shared" ref="K66:K97" si="10">IFERROR(J66/J67-1,"")</f>
        <v>2.4000000000000021E-2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11"/>
      <c r="H67" s="10"/>
      <c r="I67" s="10">
        <f t="shared" ref="I67:I98" si="11">IF(H67&lt;&gt;"",H67,I66/(1+IF(G66="",0,G66)))</f>
        <v>35397</v>
      </c>
      <c r="J67" s="10">
        <f t="shared" si="9"/>
        <v>1190436507000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5">
        <v>21374692</v>
      </c>
      <c r="G2" s="11"/>
      <c r="H2" s="10"/>
      <c r="I2" s="10">
        <f>IF(H2&lt;&gt;"",H2,22897)</f>
        <v>22897</v>
      </c>
      <c r="J2" s="10">
        <f t="shared" ref="J2:J33" si="3">IF(I2="","",I2*C2)</f>
        <v>489371069068.73871</v>
      </c>
      <c r="K2" s="11">
        <f t="shared" ref="K2:K33" si="4">IFERROR(J2/J3-1,"")</f>
        <v>9.800000000000253E-3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11"/>
      <c r="H3" s="10"/>
      <c r="I3" s="10">
        <f t="shared" ref="I3:I34" si="5">IF(H3&lt;&gt;"",H3,I2/(1+IF(G2="",0,G2)))</f>
        <v>22897</v>
      </c>
      <c r="J3" s="10">
        <f t="shared" si="3"/>
        <v>484621775667.20007</v>
      </c>
      <c r="K3" s="11">
        <f t="shared" si="4"/>
        <v>9.200000000000097E-3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11"/>
      <c r="H4" s="10"/>
      <c r="I4" s="10">
        <f t="shared" si="5"/>
        <v>22897</v>
      </c>
      <c r="J4" s="10">
        <f t="shared" si="3"/>
        <v>480203899789.13995</v>
      </c>
      <c r="K4" s="11">
        <f t="shared" si="4"/>
        <v>8.69999999999993E-3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11"/>
      <c r="H5" s="10"/>
      <c r="I5" s="10">
        <f t="shared" si="5"/>
        <v>22897</v>
      </c>
      <c r="J5" s="10">
        <f t="shared" si="3"/>
        <v>476062159005.78961</v>
      </c>
      <c r="K5" s="11">
        <f t="shared" si="4"/>
        <v>8.5000000000001741E-3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11"/>
      <c r="H6" s="10"/>
      <c r="I6" s="10">
        <f t="shared" si="5"/>
        <v>22897</v>
      </c>
      <c r="J6" s="10">
        <f t="shared" si="3"/>
        <v>472049736247.68427</v>
      </c>
      <c r="K6" s="11">
        <f t="shared" si="4"/>
        <v>8.499999999999952E-3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11"/>
      <c r="H7" s="10"/>
      <c r="I7" s="10">
        <f t="shared" si="5"/>
        <v>22897</v>
      </c>
      <c r="J7" s="10">
        <f t="shared" si="3"/>
        <v>468071131628.83917</v>
      </c>
      <c r="K7" s="11">
        <f t="shared" si="4"/>
        <v>8.2999999999999741E-3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11"/>
      <c r="H8" s="10"/>
      <c r="I8" s="10">
        <f t="shared" si="5"/>
        <v>22897</v>
      </c>
      <c r="J8" s="10">
        <f t="shared" si="3"/>
        <v>464218121222.69086</v>
      </c>
      <c r="K8" s="11">
        <f t="shared" si="4"/>
        <v>1.3900000000000023E-2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11"/>
      <c r="H9" s="10"/>
      <c r="I9" s="10">
        <f t="shared" si="5"/>
        <v>22897</v>
      </c>
      <c r="J9" s="10">
        <f t="shared" si="3"/>
        <v>457853951299.62604</v>
      </c>
      <c r="K9" s="11">
        <f t="shared" si="4"/>
        <v>7.8000000000000291E-3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11"/>
      <c r="H10" s="10"/>
      <c r="I10" s="10">
        <f t="shared" si="5"/>
        <v>22897</v>
      </c>
      <c r="J10" s="10">
        <f t="shared" si="3"/>
        <v>454310330720.00995</v>
      </c>
      <c r="K10" s="11">
        <f t="shared" si="4"/>
        <v>7.8000000000000291E-3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11"/>
      <c r="H11" s="10"/>
      <c r="I11" s="10">
        <f t="shared" si="5"/>
        <v>22897</v>
      </c>
      <c r="J11" s="10">
        <f t="shared" si="3"/>
        <v>450794136455.65582</v>
      </c>
      <c r="K11" s="11">
        <f t="shared" si="4"/>
        <v>7.7000000000000401E-3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11"/>
      <c r="H12" s="10"/>
      <c r="I12" s="10">
        <f t="shared" si="5"/>
        <v>22897</v>
      </c>
      <c r="J12" s="10">
        <f t="shared" si="3"/>
        <v>447349544959.4679</v>
      </c>
      <c r="K12" s="11">
        <f t="shared" si="4"/>
        <v>7.5999999999998291E-3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11"/>
      <c r="H13" s="10"/>
      <c r="I13" s="10">
        <f t="shared" si="5"/>
        <v>22897</v>
      </c>
      <c r="J13" s="10">
        <f t="shared" si="3"/>
        <v>443975332432.97729</v>
      </c>
      <c r="K13" s="11">
        <f t="shared" si="4"/>
        <v>7.7000000000000401E-3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11"/>
      <c r="H14" s="10"/>
      <c r="I14" s="10">
        <f t="shared" si="5"/>
        <v>22897</v>
      </c>
      <c r="J14" s="10">
        <f t="shared" si="3"/>
        <v>440582844530.09558</v>
      </c>
      <c r="K14" s="11">
        <f t="shared" si="4"/>
        <v>8.1000000000002181E-3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11"/>
      <c r="H15" s="10"/>
      <c r="I15" s="10">
        <f t="shared" si="5"/>
        <v>22897</v>
      </c>
      <c r="J15" s="10">
        <f t="shared" si="3"/>
        <v>437042797867.36981</v>
      </c>
      <c r="K15" s="11">
        <f t="shared" si="4"/>
        <v>1.0099999999999998E-2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11"/>
      <c r="H16" s="10"/>
      <c r="I16" s="10">
        <f t="shared" si="5"/>
        <v>22897</v>
      </c>
      <c r="J16" s="10">
        <f t="shared" si="3"/>
        <v>432672802561.49872</v>
      </c>
      <c r="K16" s="11">
        <f t="shared" si="4"/>
        <v>1.3600000000000056E-2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11"/>
      <c r="H17" s="10"/>
      <c r="I17" s="10">
        <f t="shared" si="5"/>
        <v>22897</v>
      </c>
      <c r="J17" s="10">
        <f t="shared" si="3"/>
        <v>426867405842.04681</v>
      </c>
      <c r="K17" s="11">
        <f t="shared" si="4"/>
        <v>1.639999999999997E-2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11"/>
      <c r="H18" s="10"/>
      <c r="I18" s="10">
        <f t="shared" si="5"/>
        <v>22897</v>
      </c>
      <c r="J18" s="10">
        <f t="shared" si="3"/>
        <v>419979738136.60651</v>
      </c>
      <c r="K18" s="11">
        <f t="shared" si="4"/>
        <v>1.5500000000000069E-2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11"/>
      <c r="H19" s="10"/>
      <c r="I19" s="10">
        <f t="shared" si="5"/>
        <v>22897</v>
      </c>
      <c r="J19" s="10">
        <f t="shared" si="3"/>
        <v>413569412246.78137</v>
      </c>
      <c r="K19" s="11">
        <f t="shared" si="4"/>
        <v>1.2900000000000134E-2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11"/>
      <c r="H20" s="10"/>
      <c r="I20" s="10">
        <f t="shared" si="5"/>
        <v>22897</v>
      </c>
      <c r="J20" s="10">
        <f t="shared" si="3"/>
        <v>408302312416.60712</v>
      </c>
      <c r="K20" s="11">
        <f t="shared" si="4"/>
        <v>1.4999999999999902E-2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11"/>
      <c r="H21" s="10"/>
      <c r="I21" s="10">
        <f t="shared" si="5"/>
        <v>22897</v>
      </c>
      <c r="J21" s="10">
        <f t="shared" si="3"/>
        <v>402268288095.1795</v>
      </c>
      <c r="K21" s="11">
        <f t="shared" si="4"/>
        <v>1.6199999999999992E-2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11"/>
      <c r="H22" s="10"/>
      <c r="I22" s="10">
        <f t="shared" si="5"/>
        <v>22897</v>
      </c>
      <c r="J22" s="10">
        <f t="shared" si="3"/>
        <v>395855430127.12018</v>
      </c>
      <c r="K22" s="11">
        <f t="shared" si="4"/>
        <v>1.6699999999999937E-2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11"/>
      <c r="H23" s="10"/>
      <c r="I23" s="10">
        <f t="shared" si="5"/>
        <v>22897</v>
      </c>
      <c r="J23" s="10">
        <f t="shared" si="3"/>
        <v>389353231166.63733</v>
      </c>
      <c r="K23" s="11">
        <f t="shared" si="4"/>
        <v>1.5900000000000025E-2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11"/>
      <c r="H24" s="10"/>
      <c r="I24" s="10">
        <f t="shared" si="5"/>
        <v>22897</v>
      </c>
      <c r="J24" s="10">
        <f t="shared" si="3"/>
        <v>383259406601.67072</v>
      </c>
      <c r="K24" s="11">
        <f t="shared" si="4"/>
        <v>1.6599999999999948E-2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11"/>
      <c r="H25" s="10"/>
      <c r="I25" s="10">
        <f t="shared" si="5"/>
        <v>22897</v>
      </c>
      <c r="J25" s="10">
        <f t="shared" si="3"/>
        <v>377001186899.14496</v>
      </c>
      <c r="K25" s="11">
        <f t="shared" si="4"/>
        <v>2.4599999999999955E-2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11"/>
      <c r="H26" s="10"/>
      <c r="I26" s="10">
        <f t="shared" si="5"/>
        <v>22897</v>
      </c>
      <c r="J26" s="10">
        <f t="shared" si="3"/>
        <v>367949626097.15497</v>
      </c>
      <c r="K26" s="11">
        <f t="shared" si="4"/>
        <v>5.0200000000000022E-2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11"/>
      <c r="H27" s="10"/>
      <c r="I27" s="10">
        <f t="shared" si="5"/>
        <v>22897</v>
      </c>
      <c r="J27" s="10">
        <f t="shared" si="3"/>
        <v>350361479810.65985</v>
      </c>
      <c r="K27" s="11">
        <f t="shared" si="4"/>
        <v>2.0900000000000141E-2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11"/>
      <c r="H28" s="10"/>
      <c r="I28" s="10">
        <f t="shared" si="5"/>
        <v>22897</v>
      </c>
      <c r="J28" s="10">
        <f t="shared" si="3"/>
        <v>343188833196.84576</v>
      </c>
      <c r="K28" s="11">
        <f t="shared" si="4"/>
        <v>6.9999999999998952E-3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11"/>
      <c r="H29" s="10"/>
      <c r="I29" s="10">
        <f t="shared" si="5"/>
        <v>22897</v>
      </c>
      <c r="J29" s="10">
        <f t="shared" si="3"/>
        <v>340803210721.79327</v>
      </c>
      <c r="K29" s="11">
        <f t="shared" si="4"/>
        <v>6.5999999999999392E-3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11"/>
      <c r="H30" s="10"/>
      <c r="I30" s="10">
        <f t="shared" si="5"/>
        <v>22897</v>
      </c>
      <c r="J30" s="10">
        <f t="shared" si="3"/>
        <v>338568657581.75372</v>
      </c>
      <c r="K30" s="11">
        <f t="shared" si="4"/>
        <v>6.1999999999999833E-3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11"/>
      <c r="H31" s="10"/>
      <c r="I31" s="10">
        <f t="shared" si="5"/>
        <v>22897</v>
      </c>
      <c r="J31" s="10">
        <f t="shared" si="3"/>
        <v>336482466290.75104</v>
      </c>
      <c r="K31" s="11">
        <f t="shared" si="4"/>
        <v>5.5000000000000604E-3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11"/>
      <c r="H32" s="10"/>
      <c r="I32" s="10">
        <f t="shared" si="5"/>
        <v>22897</v>
      </c>
      <c r="J32" s="10">
        <f t="shared" si="3"/>
        <v>334641935644.70514</v>
      </c>
      <c r="K32" s="11">
        <f t="shared" si="4"/>
        <v>7.6000000000000512E-3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11"/>
      <c r="H33" s="10"/>
      <c r="I33" s="10">
        <f t="shared" si="5"/>
        <v>22897</v>
      </c>
      <c r="J33" s="10">
        <f t="shared" si="3"/>
        <v>332117840060.24725</v>
      </c>
      <c r="K33" s="11">
        <f t="shared" si="4"/>
        <v>3.1000000000001027E-3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11"/>
      <c r="H34" s="10"/>
      <c r="I34" s="10">
        <f t="shared" si="5"/>
        <v>22897</v>
      </c>
      <c r="J34" s="10">
        <f t="shared" ref="J34:J65" si="6">IF(I34="","",I34*C34)</f>
        <v>331091456544.95782</v>
      </c>
      <c r="K34" s="11">
        <f t="shared" ref="K34:K65" si="7">IFERROR(J34/J35-1,"")</f>
        <v>8.1999999999999851E-3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11"/>
      <c r="H35" s="10"/>
      <c r="I35" s="10">
        <f t="shared" ref="I35:I66" si="8">IF(H35&lt;&gt;"",H35,I34/(1+IF(G34="",0,G34)))</f>
        <v>22897</v>
      </c>
      <c r="J35" s="10">
        <f t="shared" si="6"/>
        <v>328398588122.35455</v>
      </c>
      <c r="K35" s="11">
        <f t="shared" si="7"/>
        <v>8.799999999999919E-3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11"/>
      <c r="H36" s="10"/>
      <c r="I36" s="10">
        <f t="shared" si="8"/>
        <v>22897</v>
      </c>
      <c r="J36" s="10">
        <f t="shared" si="6"/>
        <v>325533889891.31104</v>
      </c>
      <c r="K36" s="11">
        <f t="shared" si="7"/>
        <v>9.9000000000000199E-3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11"/>
      <c r="H37" s="10"/>
      <c r="I37" s="10">
        <f t="shared" si="8"/>
        <v>22897</v>
      </c>
      <c r="J37" s="10">
        <f t="shared" si="6"/>
        <v>322342697189.13855</v>
      </c>
      <c r="K37" s="11">
        <f t="shared" si="7"/>
        <v>1.4000000000000012E-2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11"/>
      <c r="H38" s="10"/>
      <c r="I38" s="10">
        <f t="shared" si="8"/>
        <v>22897</v>
      </c>
      <c r="J38" s="10">
        <f t="shared" si="6"/>
        <v>317892206300.9256</v>
      </c>
      <c r="K38" s="11">
        <f t="shared" si="7"/>
        <v>1.5700000000000047E-2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11"/>
      <c r="H39" s="10"/>
      <c r="I39" s="10">
        <f t="shared" si="8"/>
        <v>22897</v>
      </c>
      <c r="J39" s="10">
        <f t="shared" si="6"/>
        <v>312978444718.83978</v>
      </c>
      <c r="K39" s="11">
        <f t="shared" si="7"/>
        <v>1.110000000000011E-2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11"/>
      <c r="H40" s="10"/>
      <c r="I40" s="10">
        <f t="shared" si="8"/>
        <v>22897</v>
      </c>
      <c r="J40" s="10">
        <f t="shared" si="6"/>
        <v>309542522716.68457</v>
      </c>
      <c r="K40" s="11">
        <f t="shared" si="7"/>
        <v>1.2399999999999967E-2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11"/>
      <c r="H41" s="10"/>
      <c r="I41" s="10">
        <f t="shared" si="8"/>
        <v>22897</v>
      </c>
      <c r="J41" s="10">
        <f t="shared" si="6"/>
        <v>305751207740.69989</v>
      </c>
      <c r="K41" s="11">
        <f t="shared" si="7"/>
        <v>1.2299999999999978E-2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11"/>
      <c r="H42" s="10"/>
      <c r="I42" s="10">
        <f t="shared" si="8"/>
        <v>22897</v>
      </c>
      <c r="J42" s="10">
        <f t="shared" si="6"/>
        <v>302036162936.57996</v>
      </c>
      <c r="K42" s="11">
        <f t="shared" si="7"/>
        <v>1.2799999999999923E-2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11"/>
      <c r="H43" s="10"/>
      <c r="I43" s="10">
        <f t="shared" si="8"/>
        <v>22897</v>
      </c>
      <c r="J43" s="10">
        <f t="shared" si="6"/>
        <v>298218960245.43835</v>
      </c>
      <c r="K43" s="11">
        <f t="shared" si="7"/>
        <v>1.980000000000004E-2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11"/>
      <c r="H44" s="10"/>
      <c r="I44" s="10">
        <f t="shared" si="8"/>
        <v>22897</v>
      </c>
      <c r="J44" s="10">
        <f t="shared" si="6"/>
        <v>292428868646.24274</v>
      </c>
      <c r="K44" s="11">
        <f t="shared" si="7"/>
        <v>3.0500000000000194E-2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11"/>
      <c r="H45" s="10"/>
      <c r="I45" s="10">
        <f t="shared" si="8"/>
        <v>22897</v>
      </c>
      <c r="J45" s="10">
        <f t="shared" si="6"/>
        <v>283773768700.86627</v>
      </c>
      <c r="K45" s="11">
        <f t="shared" si="7"/>
        <v>1.540000000000008E-2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11"/>
      <c r="H46" s="10"/>
      <c r="I46" s="10">
        <f t="shared" si="8"/>
        <v>22897</v>
      </c>
      <c r="J46" s="10">
        <f t="shared" si="6"/>
        <v>279469931751.88721</v>
      </c>
      <c r="K46" s="11">
        <f t="shared" si="7"/>
        <v>2.1400000000000086E-2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11"/>
      <c r="H47" s="10"/>
      <c r="I47" s="10">
        <f t="shared" si="8"/>
        <v>22897</v>
      </c>
      <c r="J47" s="10">
        <f t="shared" si="6"/>
        <v>273614579745.33698</v>
      </c>
      <c r="K47" s="11">
        <f t="shared" si="7"/>
        <v>2.3200000000000109E-2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11"/>
      <c r="H48" s="10"/>
      <c r="I48" s="10">
        <f t="shared" si="8"/>
        <v>22897</v>
      </c>
      <c r="J48" s="10">
        <f t="shared" si="6"/>
        <v>267410652604.90317</v>
      </c>
      <c r="K48" s="11">
        <f t="shared" si="7"/>
        <v>1.6100000000000003E-2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11"/>
      <c r="H49" s="10"/>
      <c r="I49" s="10">
        <f t="shared" si="8"/>
        <v>22897</v>
      </c>
      <c r="J49" s="10">
        <f t="shared" si="6"/>
        <v>263173558316.01532</v>
      </c>
      <c r="K49" s="11">
        <f t="shared" si="7"/>
        <v>1.089999999999991E-2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11"/>
      <c r="H50" s="10"/>
      <c r="I50" s="10">
        <f t="shared" si="8"/>
        <v>22897</v>
      </c>
      <c r="J50" s="10">
        <f t="shared" si="6"/>
        <v>260335897038.29791</v>
      </c>
      <c r="K50" s="11">
        <f t="shared" si="7"/>
        <v>3.3199999999999896E-2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11"/>
      <c r="H51" s="10"/>
      <c r="I51" s="10">
        <f t="shared" si="8"/>
        <v>22897</v>
      </c>
      <c r="J51" s="10">
        <f t="shared" si="6"/>
        <v>251970477195.41031</v>
      </c>
      <c r="K51" s="11">
        <f t="shared" si="7"/>
        <v>1.540000000000008E-2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11"/>
      <c r="H52" s="10"/>
      <c r="I52" s="10">
        <f t="shared" si="8"/>
        <v>22897</v>
      </c>
      <c r="J52" s="10">
        <f t="shared" si="6"/>
        <v>248148982859.37589</v>
      </c>
      <c r="K52" s="11">
        <f t="shared" si="7"/>
        <v>2.4899999999999922E-2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11"/>
      <c r="H53" s="10"/>
      <c r="I53" s="10">
        <f t="shared" si="8"/>
        <v>22897</v>
      </c>
      <c r="J53" s="10">
        <f t="shared" si="6"/>
        <v>242120190125.25702</v>
      </c>
      <c r="K53" s="11">
        <f t="shared" si="7"/>
        <v>2.9600000000000071E-2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11"/>
      <c r="H54" s="10"/>
      <c r="I54" s="10">
        <f t="shared" si="8"/>
        <v>22897</v>
      </c>
      <c r="J54" s="10">
        <f t="shared" si="6"/>
        <v>235159469818.6257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11"/>
      <c r="H55" s="10"/>
      <c r="I55" s="10">
        <f t="shared" si="8"/>
        <v>22897</v>
      </c>
      <c r="J55" s="10">
        <f t="shared" si="6"/>
        <v>229021688565.08154</v>
      </c>
      <c r="K55" s="11">
        <f t="shared" si="7"/>
        <v>3.8200000000000012E-2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11"/>
      <c r="H56" s="10"/>
      <c r="I56" s="10">
        <f t="shared" si="8"/>
        <v>22897</v>
      </c>
      <c r="J56" s="10">
        <f t="shared" si="6"/>
        <v>220594961052.86221</v>
      </c>
      <c r="K56" s="11">
        <f t="shared" si="7"/>
        <v>2.2999999999999687E-2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11"/>
      <c r="H57" s="10"/>
      <c r="I57" s="10">
        <f t="shared" si="8"/>
        <v>22897</v>
      </c>
      <c r="J57" s="10">
        <f t="shared" si="6"/>
        <v>215635348047.7637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11"/>
      <c r="H58" s="10"/>
      <c r="I58" s="10">
        <f t="shared" si="8"/>
        <v>22897</v>
      </c>
      <c r="J58" s="10">
        <f t="shared" si="6"/>
        <v>210375949314.89142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11"/>
      <c r="H59" s="10"/>
      <c r="I59" s="10">
        <f t="shared" si="8"/>
        <v>22897</v>
      </c>
      <c r="J59" s="10">
        <f t="shared" si="6"/>
        <v>206250930700.87393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11"/>
      <c r="H60" s="10"/>
      <c r="I60" s="10">
        <f t="shared" si="8"/>
        <v>22897</v>
      </c>
      <c r="J60" s="10">
        <f t="shared" si="6"/>
        <v>201220420195.97458</v>
      </c>
      <c r="K60" s="11">
        <f t="shared" si="7"/>
        <v>4.8000000000000043E-2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11"/>
      <c r="H61" s="10"/>
      <c r="I61" s="10">
        <f t="shared" si="8"/>
        <v>22897</v>
      </c>
      <c r="J61" s="10">
        <f t="shared" si="6"/>
        <v>192004217744.25055</v>
      </c>
      <c r="K61" s="11">
        <f t="shared" si="7"/>
        <v>4.0000000000000258E-2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11"/>
      <c r="H62" s="10"/>
      <c r="I62" s="10">
        <f t="shared" si="8"/>
        <v>22897</v>
      </c>
      <c r="J62" s="10">
        <f t="shared" si="6"/>
        <v>184619440138.70242</v>
      </c>
      <c r="K62" s="11">
        <f t="shared" si="7"/>
        <v>3.0000000000000027E-2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11"/>
      <c r="H63" s="10"/>
      <c r="I63" s="10">
        <f t="shared" si="8"/>
        <v>22897</v>
      </c>
      <c r="J63" s="10">
        <f t="shared" si="6"/>
        <v>179242174891.94409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11"/>
      <c r="H64" s="10"/>
      <c r="I64" s="10">
        <f t="shared" si="8"/>
        <v>22897</v>
      </c>
      <c r="J64" s="10">
        <f t="shared" si="6"/>
        <v>175727622443.08246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11"/>
      <c r="H65" s="10"/>
      <c r="I65" s="10">
        <f t="shared" si="8"/>
        <v>22897</v>
      </c>
      <c r="J65" s="10">
        <f t="shared" si="6"/>
        <v>173130662505.49997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11"/>
      <c r="H66" s="10"/>
      <c r="I66" s="10">
        <f t="shared" si="8"/>
        <v>22897</v>
      </c>
      <c r="J66" s="10">
        <f t="shared" ref="J66:J97" si="9">IF(I66="","",I66*C66)</f>
        <v>168907963420</v>
      </c>
      <c r="K66" s="11">
        <f t="shared" ref="K66:K97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22897</v>
      </c>
      <c r="J67" s="10">
        <f t="shared" si="9"/>
        <v>163988314000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5">
        <v>25083674</v>
      </c>
      <c r="G2" s="11"/>
      <c r="H2" s="10"/>
      <c r="I2" s="10">
        <f>IF(H2&lt;&gt;"",H2,1742)</f>
        <v>1742</v>
      </c>
      <c r="J2" s="10">
        <f t="shared" ref="J2:J33" si="3">IF(I2="","",I2*C2)</f>
        <v>43694901730.970375</v>
      </c>
      <c r="K2" s="11">
        <f t="shared" ref="K2:K33" si="4">IFERROR(J2/J3-1,"")</f>
        <v>1.1700000000000044E-2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11"/>
      <c r="H3" s="10"/>
      <c r="I3" s="10">
        <f t="shared" ref="I3:I34" si="5">IF(H3&lt;&gt;"",H3,I2/(1+IF(G2="",0,G2)))</f>
        <v>1742</v>
      </c>
      <c r="J3" s="10">
        <f t="shared" si="3"/>
        <v>43189583602.817406</v>
      </c>
      <c r="K3" s="11">
        <f t="shared" si="4"/>
        <v>1.2000000000000011E-2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11"/>
      <c r="H4" s="10"/>
      <c r="I4" s="10">
        <f t="shared" si="5"/>
        <v>1742</v>
      </c>
      <c r="J4" s="10">
        <f t="shared" si="3"/>
        <v>42677454152.981628</v>
      </c>
      <c r="K4" s="11">
        <f t="shared" si="4"/>
        <v>1.21E-2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11"/>
      <c r="H5" s="10"/>
      <c r="I5" s="10">
        <f t="shared" si="5"/>
        <v>1742</v>
      </c>
      <c r="J5" s="10">
        <f t="shared" si="3"/>
        <v>42167230661.971771</v>
      </c>
      <c r="K5" s="11">
        <f t="shared" si="4"/>
        <v>1.1700000000000044E-2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11"/>
      <c r="H6" s="10"/>
      <c r="I6" s="10">
        <f t="shared" si="5"/>
        <v>1742</v>
      </c>
      <c r="J6" s="10">
        <f t="shared" si="3"/>
        <v>41679579580.875526</v>
      </c>
      <c r="K6" s="11">
        <f t="shared" si="4"/>
        <v>1.1200000000000099E-2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11"/>
      <c r="H7" s="10"/>
      <c r="I7" s="10">
        <f t="shared" si="5"/>
        <v>1742</v>
      </c>
      <c r="J7" s="10">
        <f t="shared" si="3"/>
        <v>41217938667.796204</v>
      </c>
      <c r="K7" s="11">
        <f t="shared" si="4"/>
        <v>1.0499999999999954E-2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11"/>
      <c r="H8" s="10"/>
      <c r="I8" s="10">
        <f t="shared" si="5"/>
        <v>1742</v>
      </c>
      <c r="J8" s="10">
        <f t="shared" si="3"/>
        <v>40789647370.406937</v>
      </c>
      <c r="K8" s="11">
        <f t="shared" si="4"/>
        <v>1.0000000000000009E-2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11"/>
      <c r="H9" s="10"/>
      <c r="I9" s="10">
        <f t="shared" si="5"/>
        <v>1742</v>
      </c>
      <c r="J9" s="10">
        <f t="shared" si="3"/>
        <v>40385789475.650429</v>
      </c>
      <c r="K9" s="11">
        <f t="shared" si="4"/>
        <v>9.9000000000000199E-3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11"/>
      <c r="H10" s="10"/>
      <c r="I10" s="10">
        <f t="shared" si="5"/>
        <v>1742</v>
      </c>
      <c r="J10" s="10">
        <f t="shared" si="3"/>
        <v>39989889568.918137</v>
      </c>
      <c r="K10" s="11">
        <f t="shared" si="4"/>
        <v>1.0499999999999954E-2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11"/>
      <c r="H11" s="10"/>
      <c r="I11" s="10">
        <f t="shared" si="5"/>
        <v>1742</v>
      </c>
      <c r="J11" s="10">
        <f t="shared" si="3"/>
        <v>39574358801.502365</v>
      </c>
      <c r="K11" s="11">
        <f t="shared" si="4"/>
        <v>9.300000000000308E-3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11"/>
      <c r="H12" s="10"/>
      <c r="I12" s="10">
        <f t="shared" si="5"/>
        <v>1742</v>
      </c>
      <c r="J12" s="10">
        <f t="shared" si="3"/>
        <v>39209708512.337616</v>
      </c>
      <c r="K12" s="11">
        <f t="shared" si="4"/>
        <v>8.899999999999908E-3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11"/>
      <c r="H13" s="10"/>
      <c r="I13" s="10">
        <f t="shared" si="5"/>
        <v>1742</v>
      </c>
      <c r="J13" s="10">
        <f t="shared" si="3"/>
        <v>38863820509.8004</v>
      </c>
      <c r="K13" s="11">
        <f t="shared" si="4"/>
        <v>9.5000000000000639E-3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11"/>
      <c r="H14" s="10"/>
      <c r="I14" s="10">
        <f t="shared" si="5"/>
        <v>1742</v>
      </c>
      <c r="J14" s="10">
        <f t="shared" si="3"/>
        <v>38498088667.459534</v>
      </c>
      <c r="K14" s="11">
        <f t="shared" si="4"/>
        <v>9.700000000000264E-3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11"/>
      <c r="H15" s="10"/>
      <c r="I15" s="10">
        <f t="shared" si="5"/>
        <v>1742</v>
      </c>
      <c r="J15" s="10">
        <f t="shared" si="3"/>
        <v>38128244693.928421</v>
      </c>
      <c r="K15" s="11">
        <f t="shared" si="4"/>
        <v>1.0599999999999943E-2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11"/>
      <c r="H16" s="10"/>
      <c r="I16" s="10">
        <f t="shared" si="5"/>
        <v>1742</v>
      </c>
      <c r="J16" s="10">
        <f t="shared" si="3"/>
        <v>37728324454.708511</v>
      </c>
      <c r="K16" s="11">
        <f t="shared" si="4"/>
        <v>1.3900000000000023E-2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11"/>
      <c r="H17" s="10"/>
      <c r="I17" s="10">
        <f t="shared" si="5"/>
        <v>1742</v>
      </c>
      <c r="J17" s="10">
        <f t="shared" si="3"/>
        <v>37211090299.544838</v>
      </c>
      <c r="K17" s="11">
        <f t="shared" si="4"/>
        <v>1.7900000000000027E-2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11"/>
      <c r="H18" s="10"/>
      <c r="I18" s="10">
        <f t="shared" si="5"/>
        <v>1742</v>
      </c>
      <c r="J18" s="10">
        <f t="shared" si="3"/>
        <v>36556724923.415695</v>
      </c>
      <c r="K18" s="11">
        <f t="shared" si="4"/>
        <v>1.9700000000000051E-2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11"/>
      <c r="H19" s="10"/>
      <c r="I19" s="10">
        <f t="shared" si="5"/>
        <v>1742</v>
      </c>
      <c r="J19" s="10">
        <f t="shared" si="3"/>
        <v>35850470651.579575</v>
      </c>
      <c r="K19" s="11">
        <f t="shared" si="4"/>
        <v>2.0599999999999952E-2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11"/>
      <c r="H20" s="10"/>
      <c r="I20" s="10">
        <f t="shared" si="5"/>
        <v>1742</v>
      </c>
      <c r="J20" s="10">
        <f t="shared" si="3"/>
        <v>35126857389.358788</v>
      </c>
      <c r="K20" s="11">
        <f t="shared" si="4"/>
        <v>2.1600000000000064E-2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11"/>
      <c r="H21" s="10"/>
      <c r="I21" s="10">
        <f t="shared" si="5"/>
        <v>1742</v>
      </c>
      <c r="J21" s="10">
        <f t="shared" si="3"/>
        <v>34384159543.225121</v>
      </c>
      <c r="K21" s="11">
        <f t="shared" si="4"/>
        <v>2.2699999999999942E-2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11"/>
      <c r="H22" s="10"/>
      <c r="I22" s="10">
        <f t="shared" si="5"/>
        <v>1742</v>
      </c>
      <c r="J22" s="10">
        <f t="shared" si="3"/>
        <v>33620963667.962379</v>
      </c>
      <c r="K22" s="11">
        <f t="shared" si="4"/>
        <v>2.3900000000000032E-2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11"/>
      <c r="H23" s="10"/>
      <c r="I23" s="10">
        <f t="shared" si="5"/>
        <v>1742</v>
      </c>
      <c r="J23" s="10">
        <f t="shared" si="3"/>
        <v>32836178990.099014</v>
      </c>
      <c r="K23" s="11">
        <f t="shared" si="4"/>
        <v>2.4000000000000021E-2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11"/>
      <c r="H24" s="10"/>
      <c r="I24" s="10">
        <f t="shared" si="5"/>
        <v>1742</v>
      </c>
      <c r="J24" s="10">
        <f t="shared" si="3"/>
        <v>32066581045.01857</v>
      </c>
      <c r="K24" s="11">
        <f t="shared" si="4"/>
        <v>2.5900000000000256E-2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11"/>
      <c r="H25" s="10"/>
      <c r="I25" s="10">
        <f t="shared" si="5"/>
        <v>1742</v>
      </c>
      <c r="J25" s="10">
        <f t="shared" si="3"/>
        <v>31257024120.302723</v>
      </c>
      <c r="K25" s="11">
        <f t="shared" si="4"/>
        <v>2.5500000000000078E-2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11"/>
      <c r="H26" s="10"/>
      <c r="I26" s="10">
        <f t="shared" si="5"/>
        <v>1742</v>
      </c>
      <c r="J26" s="10">
        <f t="shared" si="3"/>
        <v>30479789488.349804</v>
      </c>
      <c r="K26" s="11">
        <f t="shared" si="4"/>
        <v>2.4500000000000188E-2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11"/>
      <c r="H27" s="10"/>
      <c r="I27" s="10">
        <f t="shared" si="5"/>
        <v>1742</v>
      </c>
      <c r="J27" s="10">
        <f t="shared" si="3"/>
        <v>29750892619.179893</v>
      </c>
      <c r="K27" s="11">
        <f t="shared" si="4"/>
        <v>2.389999999999981E-2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11"/>
      <c r="H28" s="10"/>
      <c r="I28" s="10">
        <f t="shared" si="5"/>
        <v>1742</v>
      </c>
      <c r="J28" s="10">
        <f t="shared" si="3"/>
        <v>29056443616.739815</v>
      </c>
      <c r="K28" s="11">
        <f t="shared" si="4"/>
        <v>2.4199999999999999E-2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11"/>
      <c r="H29" s="10"/>
      <c r="I29" s="10">
        <f t="shared" si="5"/>
        <v>1742</v>
      </c>
      <c r="J29" s="10">
        <f t="shared" si="3"/>
        <v>28369892224.897301</v>
      </c>
      <c r="K29" s="11">
        <f t="shared" si="4"/>
        <v>2.50999999999999E-2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11"/>
      <c r="H30" s="10"/>
      <c r="I30" s="10">
        <f t="shared" si="5"/>
        <v>1742</v>
      </c>
      <c r="J30" s="10">
        <f t="shared" si="3"/>
        <v>27675243610.279293</v>
      </c>
      <c r="K30" s="11">
        <f t="shared" si="4"/>
        <v>2.430000000000021E-2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11"/>
      <c r="H31" s="10"/>
      <c r="I31" s="10">
        <f t="shared" si="5"/>
        <v>1742</v>
      </c>
      <c r="J31" s="10">
        <f t="shared" si="3"/>
        <v>27018689456.486664</v>
      </c>
      <c r="K31" s="11">
        <f t="shared" si="4"/>
        <v>2.4000000000000021E-2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11"/>
      <c r="H32" s="10"/>
      <c r="I32" s="10">
        <f t="shared" si="5"/>
        <v>1742</v>
      </c>
      <c r="J32" s="10">
        <f t="shared" si="3"/>
        <v>26385438922.350258</v>
      </c>
      <c r="K32" s="11">
        <f t="shared" si="4"/>
        <v>2.4299999999999988E-2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11"/>
      <c r="H33" s="10"/>
      <c r="I33" s="10">
        <f t="shared" si="5"/>
        <v>1742</v>
      </c>
      <c r="J33" s="10">
        <f t="shared" si="3"/>
        <v>25759483473.93367</v>
      </c>
      <c r="K33" s="11">
        <f t="shared" si="4"/>
        <v>2.3900000000000254E-2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11"/>
      <c r="H34" s="10"/>
      <c r="I34" s="10">
        <f t="shared" si="5"/>
        <v>1742</v>
      </c>
      <c r="J34" s="10">
        <f t="shared" ref="J34:J65" si="6">IF(I34="","",I34*C34)</f>
        <v>25158202435.719959</v>
      </c>
      <c r="K34" s="11">
        <f t="shared" ref="K34:K65" si="7">IFERROR(J34/J35-1,"")</f>
        <v>2.3600000000000065E-2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11"/>
      <c r="H35" s="10"/>
      <c r="I35" s="10">
        <f t="shared" ref="I35:I66" si="8">IF(H35&lt;&gt;"",H35,I34/(1+IF(G34="",0,G34)))</f>
        <v>1742</v>
      </c>
      <c r="J35" s="10">
        <f t="shared" si="6"/>
        <v>24578157909.066002</v>
      </c>
      <c r="K35" s="11">
        <f t="shared" si="7"/>
        <v>2.3400000000000087E-2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11"/>
      <c r="H36" s="10"/>
      <c r="I36" s="10">
        <f t="shared" si="8"/>
        <v>1742</v>
      </c>
      <c r="J36" s="10">
        <f t="shared" si="6"/>
        <v>24016179313.138557</v>
      </c>
      <c r="K36" s="11">
        <f t="shared" si="7"/>
        <v>2.3600000000000065E-2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11"/>
      <c r="H37" s="10"/>
      <c r="I37" s="10">
        <f t="shared" si="8"/>
        <v>1742</v>
      </c>
      <c r="J37" s="10">
        <f t="shared" si="6"/>
        <v>23462465135.930595</v>
      </c>
      <c r="K37" s="11">
        <f t="shared" si="7"/>
        <v>2.4299999999999988E-2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11"/>
      <c r="H38" s="10"/>
      <c r="I38" s="10">
        <f t="shared" si="8"/>
        <v>1742</v>
      </c>
      <c r="J38" s="10">
        <f t="shared" si="6"/>
        <v>22905852910.212433</v>
      </c>
      <c r="K38" s="11">
        <f t="shared" si="7"/>
        <v>2.4999999999999911E-2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11"/>
      <c r="H39" s="10"/>
      <c r="I39" s="10">
        <f t="shared" si="8"/>
        <v>1742</v>
      </c>
      <c r="J39" s="10">
        <f t="shared" si="6"/>
        <v>22347173570.938961</v>
      </c>
      <c r="K39" s="11">
        <f t="shared" si="7"/>
        <v>2.50999999999999E-2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11"/>
      <c r="H40" s="10"/>
      <c r="I40" s="10">
        <f t="shared" si="8"/>
        <v>1742</v>
      </c>
      <c r="J40" s="10">
        <f t="shared" si="6"/>
        <v>21799993728.357197</v>
      </c>
      <c r="K40" s="11">
        <f t="shared" si="7"/>
        <v>2.5900000000000034E-2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11"/>
      <c r="H41" s="10"/>
      <c r="I41" s="10">
        <f t="shared" si="8"/>
        <v>1742</v>
      </c>
      <c r="J41" s="10">
        <f t="shared" si="6"/>
        <v>21249628353.988884</v>
      </c>
      <c r="K41" s="11">
        <f t="shared" si="7"/>
        <v>2.650000000000019E-2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11"/>
      <c r="H42" s="10"/>
      <c r="I42" s="10">
        <f t="shared" si="8"/>
        <v>1742</v>
      </c>
      <c r="J42" s="10">
        <f t="shared" si="6"/>
        <v>20701050515.332569</v>
      </c>
      <c r="K42" s="11">
        <f t="shared" si="7"/>
        <v>2.6199999999999779E-2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11"/>
      <c r="H43" s="10"/>
      <c r="I43" s="10">
        <f t="shared" si="8"/>
        <v>1742</v>
      </c>
      <c r="J43" s="10">
        <f t="shared" si="6"/>
        <v>20172530223.477463</v>
      </c>
      <c r="K43" s="11">
        <f t="shared" si="7"/>
        <v>2.6200000000000001E-2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11"/>
      <c r="H44" s="10"/>
      <c r="I44" s="10">
        <f t="shared" si="8"/>
        <v>1742</v>
      </c>
      <c r="J44" s="10">
        <f t="shared" si="6"/>
        <v>19657503628.41304</v>
      </c>
      <c r="K44" s="11">
        <f t="shared" si="7"/>
        <v>2.6100000000000012E-2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11"/>
      <c r="H45" s="10"/>
      <c r="I45" s="10">
        <f t="shared" si="8"/>
        <v>1742</v>
      </c>
      <c r="J45" s="10">
        <f t="shared" si="6"/>
        <v>19157493059.558559</v>
      </c>
      <c r="K45" s="11">
        <f t="shared" si="7"/>
        <v>2.5500000000000078E-2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11"/>
      <c r="H46" s="10"/>
      <c r="I46" s="10">
        <f t="shared" si="8"/>
        <v>1742</v>
      </c>
      <c r="J46" s="10">
        <f t="shared" si="6"/>
        <v>18681124387.672897</v>
      </c>
      <c r="K46" s="11">
        <f t="shared" si="7"/>
        <v>2.4199999999999777E-2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11"/>
      <c r="H47" s="10"/>
      <c r="I47" s="10">
        <f t="shared" si="8"/>
        <v>1742</v>
      </c>
      <c r="J47" s="10">
        <f t="shared" si="6"/>
        <v>18239723088.921013</v>
      </c>
      <c r="K47" s="11">
        <f t="shared" si="7"/>
        <v>2.3200000000000109E-2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11"/>
      <c r="H48" s="10"/>
      <c r="I48" s="10">
        <f t="shared" si="8"/>
        <v>1742</v>
      </c>
      <c r="J48" s="10">
        <f t="shared" si="6"/>
        <v>17826156263.605366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11"/>
      <c r="H49" s="10"/>
      <c r="I49" s="10">
        <f t="shared" si="8"/>
        <v>1742</v>
      </c>
      <c r="J49" s="10">
        <f t="shared" si="6"/>
        <v>17430484270.661354</v>
      </c>
      <c r="K49" s="11">
        <f t="shared" si="7"/>
        <v>2.2000000000000242E-2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11"/>
      <c r="H50" s="10"/>
      <c r="I50" s="10">
        <f t="shared" si="8"/>
        <v>1742</v>
      </c>
      <c r="J50" s="10">
        <f t="shared" si="6"/>
        <v>17055268366.596233</v>
      </c>
      <c r="K50" s="11">
        <f t="shared" si="7"/>
        <v>2.1299999999999875E-2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11"/>
      <c r="H51" s="10"/>
      <c r="I51" s="10">
        <f t="shared" si="8"/>
        <v>1742</v>
      </c>
      <c r="J51" s="10">
        <f t="shared" si="6"/>
        <v>16699567577.201836</v>
      </c>
      <c r="K51" s="11">
        <f t="shared" si="7"/>
        <v>2.0399999999999974E-2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11"/>
      <c r="H52" s="10"/>
      <c r="I52" s="10">
        <f t="shared" si="8"/>
        <v>1742</v>
      </c>
      <c r="J52" s="10">
        <f t="shared" si="6"/>
        <v>16365707151.31501</v>
      </c>
      <c r="K52" s="11">
        <f t="shared" si="7"/>
        <v>1.9700000000000051E-2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11"/>
      <c r="H53" s="10"/>
      <c r="I53" s="10">
        <f t="shared" si="8"/>
        <v>1742</v>
      </c>
      <c r="J53" s="10">
        <f t="shared" si="6"/>
        <v>16049531383.06856</v>
      </c>
      <c r="K53" s="11">
        <f t="shared" si="7"/>
        <v>1.9200000000000328E-2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11"/>
      <c r="H54" s="10"/>
      <c r="I54" s="10">
        <f t="shared" si="8"/>
        <v>1742</v>
      </c>
      <c r="J54" s="10">
        <f t="shared" si="6"/>
        <v>15747185422.947954</v>
      </c>
      <c r="K54" s="11">
        <f t="shared" si="7"/>
        <v>1.8799999999999928E-2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11"/>
      <c r="H55" s="10"/>
      <c r="I55" s="10">
        <f t="shared" si="8"/>
        <v>1742</v>
      </c>
      <c r="J55" s="10">
        <f t="shared" si="6"/>
        <v>15456601318.166426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11"/>
      <c r="H56" s="10"/>
      <c r="I56" s="10">
        <f t="shared" si="8"/>
        <v>1742</v>
      </c>
      <c r="J56" s="10">
        <f t="shared" si="6"/>
        <v>15174358254.630302</v>
      </c>
      <c r="K56" s="11">
        <f t="shared" si="7"/>
        <v>1.8499999999999961E-2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11"/>
      <c r="H57" s="10"/>
      <c r="I57" s="10">
        <f t="shared" si="8"/>
        <v>1742</v>
      </c>
      <c r="J57" s="10">
        <f t="shared" si="6"/>
        <v>14898731717.850077</v>
      </c>
      <c r="K57" s="11">
        <f t="shared" si="7"/>
        <v>1.8499999999999739E-2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11"/>
      <c r="H58" s="10"/>
      <c r="I58" s="10">
        <f t="shared" si="8"/>
        <v>1742</v>
      </c>
      <c r="J58" s="10">
        <f t="shared" si="6"/>
        <v>14628111652.282846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11"/>
      <c r="H59" s="10"/>
      <c r="I59" s="10">
        <f t="shared" si="8"/>
        <v>1742</v>
      </c>
      <c r="J59" s="10">
        <f t="shared" si="6"/>
        <v>14362407120.552624</v>
      </c>
      <c r="K59" s="11">
        <f t="shared" si="7"/>
        <v>1.8499999999999961E-2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11"/>
      <c r="H60" s="10"/>
      <c r="I60" s="10">
        <f t="shared" si="8"/>
        <v>1742</v>
      </c>
      <c r="J60" s="10">
        <f t="shared" si="6"/>
        <v>14101528837.066887</v>
      </c>
      <c r="K60" s="11">
        <f t="shared" si="7"/>
        <v>1.8499999999999961E-2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11"/>
      <c r="H61" s="10"/>
      <c r="I61" s="10">
        <f t="shared" si="8"/>
        <v>1742</v>
      </c>
      <c r="J61" s="10">
        <f t="shared" si="6"/>
        <v>13845389138.013636</v>
      </c>
      <c r="K61" s="11">
        <f t="shared" si="7"/>
        <v>1.8499999999999961E-2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11"/>
      <c r="H62" s="10"/>
      <c r="I62" s="10">
        <f t="shared" si="8"/>
        <v>1742</v>
      </c>
      <c r="J62" s="10">
        <f t="shared" si="6"/>
        <v>13593901951.903421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11"/>
      <c r="H63" s="10"/>
      <c r="I63" s="10">
        <f t="shared" si="8"/>
        <v>1742</v>
      </c>
      <c r="J63" s="10">
        <f t="shared" si="6"/>
        <v>13346982770.646463</v>
      </c>
      <c r="K63" s="11">
        <f t="shared" si="7"/>
        <v>1.8499999999999961E-2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11"/>
      <c r="H64" s="10"/>
      <c r="I64" s="10">
        <f t="shared" si="8"/>
        <v>1742</v>
      </c>
      <c r="J64" s="10">
        <f t="shared" si="6"/>
        <v>13104548621.155094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11"/>
      <c r="H65" s="10"/>
      <c r="I65" s="10">
        <f t="shared" si="8"/>
        <v>1742</v>
      </c>
      <c r="J65" s="10">
        <f t="shared" si="6"/>
        <v>12872837545.338991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11"/>
      <c r="H66" s="10"/>
      <c r="I66" s="10">
        <f t="shared" si="8"/>
        <v>1742</v>
      </c>
      <c r="J66" s="10">
        <f t="shared" ref="J66:J97" si="9">IF(I66="","",I66*C66)</f>
        <v>12645223521.944</v>
      </c>
      <c r="K66" s="11">
        <f t="shared" ref="K66:K97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1742</v>
      </c>
      <c r="J67" s="10">
        <f t="shared" si="9"/>
        <v>12421634108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5">
        <v>1441954</v>
      </c>
      <c r="G2" s="11"/>
      <c r="H2" s="10"/>
      <c r="I2" s="10">
        <f>IF(H2&lt;&gt;"",H2,155)</f>
        <v>155</v>
      </c>
      <c r="J2" s="10">
        <f t="shared" ref="J2:J33" si="3">IF(I2="","",I2*C2)</f>
        <v>223330047.67842978</v>
      </c>
      <c r="K2" s="11">
        <f t="shared" ref="K2:K33" si="4">IFERROR(J2/J3-1,"")</f>
        <v>9.400000000000075E-3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11"/>
      <c r="H3" s="10"/>
      <c r="I3" s="10">
        <f t="shared" ref="I3:I34" si="5">IF(H3&lt;&gt;"",H3,I2/(1+IF(G2="",0,G2)))</f>
        <v>155</v>
      </c>
      <c r="J3" s="10">
        <f t="shared" si="3"/>
        <v>221250294.90631044</v>
      </c>
      <c r="K3" s="11">
        <f t="shared" si="4"/>
        <v>7.3000000000000842E-3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11"/>
      <c r="H4" s="10"/>
      <c r="I4" s="10">
        <f t="shared" si="5"/>
        <v>155</v>
      </c>
      <c r="J4" s="10">
        <f t="shared" si="3"/>
        <v>219646872.73534241</v>
      </c>
      <c r="K4" s="11">
        <f t="shared" si="4"/>
        <v>5.3000000000000824E-3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11"/>
      <c r="H5" s="10"/>
      <c r="I5" s="10">
        <f t="shared" si="5"/>
        <v>155</v>
      </c>
      <c r="J5" s="10">
        <f t="shared" si="3"/>
        <v>218488881.66253099</v>
      </c>
      <c r="K5" s="11">
        <f t="shared" si="4"/>
        <v>4.1999999999999815E-3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11"/>
      <c r="H6" s="10"/>
      <c r="I6" s="10">
        <f t="shared" si="5"/>
        <v>155</v>
      </c>
      <c r="J6" s="10">
        <f t="shared" si="3"/>
        <v>217575066.38371938</v>
      </c>
      <c r="K6" s="11">
        <f t="shared" si="4"/>
        <v>4.3999999999999595E-3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11"/>
      <c r="H7" s="10"/>
      <c r="I7" s="10">
        <f t="shared" si="5"/>
        <v>155</v>
      </c>
      <c r="J7" s="10">
        <f t="shared" si="3"/>
        <v>216621929.89219373</v>
      </c>
      <c r="K7" s="11">
        <f t="shared" si="4"/>
        <v>5.4000000000000714E-3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11"/>
      <c r="H8" s="10"/>
      <c r="I8" s="10">
        <f t="shared" si="5"/>
        <v>155</v>
      </c>
      <c r="J8" s="10">
        <f t="shared" si="3"/>
        <v>215458454.23930147</v>
      </c>
      <c r="K8" s="11">
        <f t="shared" si="4"/>
        <v>1.0199999999999987E-2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11"/>
      <c r="H9" s="10"/>
      <c r="I9" s="10">
        <f t="shared" si="5"/>
        <v>155</v>
      </c>
      <c r="J9" s="10">
        <f t="shared" si="3"/>
        <v>213282967.96604779</v>
      </c>
      <c r="K9" s="11">
        <f t="shared" si="4"/>
        <v>2.0399999999999974E-2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11"/>
      <c r="H10" s="10"/>
      <c r="I10" s="10">
        <f t="shared" si="5"/>
        <v>155</v>
      </c>
      <c r="J10" s="10">
        <f t="shared" si="3"/>
        <v>209018980.75857291</v>
      </c>
      <c r="K10" s="11">
        <f t="shared" si="4"/>
        <v>2.8899999999999926E-2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11"/>
      <c r="H11" s="10"/>
      <c r="I11" s="10">
        <f t="shared" si="5"/>
        <v>155</v>
      </c>
      <c r="J11" s="10">
        <f t="shared" si="3"/>
        <v>203148003.45861885</v>
      </c>
      <c r="K11" s="11">
        <f t="shared" si="4"/>
        <v>2.6999999999999913E-2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11"/>
      <c r="H12" s="10"/>
      <c r="I12" s="10">
        <f t="shared" si="5"/>
        <v>155</v>
      </c>
      <c r="J12" s="10">
        <f t="shared" si="3"/>
        <v>197807208.82046628</v>
      </c>
      <c r="K12" s="11">
        <f t="shared" si="4"/>
        <v>2.1800000000000264E-2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11"/>
      <c r="H13" s="10"/>
      <c r="I13" s="10">
        <f t="shared" si="5"/>
        <v>155</v>
      </c>
      <c r="J13" s="10">
        <f t="shared" si="3"/>
        <v>193587011.95974383</v>
      </c>
      <c r="K13" s="11">
        <f t="shared" si="4"/>
        <v>1.8299999999999983E-2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11"/>
      <c r="H14" s="10"/>
      <c r="I14" s="10">
        <f t="shared" si="5"/>
        <v>155</v>
      </c>
      <c r="J14" s="10">
        <f t="shared" si="3"/>
        <v>190108034.92069513</v>
      </c>
      <c r="K14" s="11">
        <f t="shared" si="4"/>
        <v>1.6299999999999981E-2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11"/>
      <c r="H15" s="10"/>
      <c r="I15" s="10">
        <f t="shared" si="5"/>
        <v>155</v>
      </c>
      <c r="J15" s="10">
        <f t="shared" si="3"/>
        <v>187058973.65019691</v>
      </c>
      <c r="K15" s="11">
        <f t="shared" si="4"/>
        <v>1.6899999999999915E-2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11"/>
      <c r="H16" s="10"/>
      <c r="I16" s="10">
        <f t="shared" si="5"/>
        <v>155</v>
      </c>
      <c r="J16" s="10">
        <f t="shared" si="3"/>
        <v>183950215.01641944</v>
      </c>
      <c r="K16" s="11">
        <f t="shared" si="4"/>
        <v>1.5900000000000025E-2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11"/>
      <c r="H17" s="10"/>
      <c r="I17" s="10">
        <f t="shared" si="5"/>
        <v>155</v>
      </c>
      <c r="J17" s="10">
        <f t="shared" si="3"/>
        <v>181071183.20348403</v>
      </c>
      <c r="K17" s="11">
        <f t="shared" si="4"/>
        <v>1.330000000000009E-2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11"/>
      <c r="H18" s="10"/>
      <c r="I18" s="10">
        <f t="shared" si="5"/>
        <v>155</v>
      </c>
      <c r="J18" s="10">
        <f t="shared" si="3"/>
        <v>178694545.74507454</v>
      </c>
      <c r="K18" s="11">
        <f t="shared" si="4"/>
        <v>1.1300000000000088E-2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11"/>
      <c r="H19" s="10"/>
      <c r="I19" s="10">
        <f t="shared" si="5"/>
        <v>155</v>
      </c>
      <c r="J19" s="10">
        <f t="shared" si="3"/>
        <v>176697859.92788938</v>
      </c>
      <c r="K19" s="11">
        <f t="shared" si="4"/>
        <v>1.0399999999999965E-2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11"/>
      <c r="H20" s="10"/>
      <c r="I20" s="10">
        <f t="shared" si="5"/>
        <v>155</v>
      </c>
      <c r="J20" s="10">
        <f t="shared" si="3"/>
        <v>174879117.10994595</v>
      </c>
      <c r="K20" s="11">
        <f t="shared" si="4"/>
        <v>1.0000000000000009E-2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11"/>
      <c r="H21" s="10"/>
      <c r="I21" s="10">
        <f t="shared" si="5"/>
        <v>155</v>
      </c>
      <c r="J21" s="10">
        <f t="shared" si="3"/>
        <v>173147640.70291677</v>
      </c>
      <c r="K21" s="11">
        <f t="shared" si="4"/>
        <v>7.9000000000000181E-3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11"/>
      <c r="H22" s="10"/>
      <c r="I22" s="10">
        <f t="shared" si="5"/>
        <v>155</v>
      </c>
      <c r="J22" s="10">
        <f t="shared" si="3"/>
        <v>171790495.78620574</v>
      </c>
      <c r="K22" s="11">
        <f t="shared" si="4"/>
        <v>5.1000000000001044E-3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11"/>
      <c r="H23" s="10"/>
      <c r="I23" s="10">
        <f t="shared" si="5"/>
        <v>155</v>
      </c>
      <c r="J23" s="10">
        <f t="shared" si="3"/>
        <v>170918809.85594043</v>
      </c>
      <c r="K23" s="11">
        <f t="shared" si="4"/>
        <v>3.9000000000002366E-3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11"/>
      <c r="H24" s="10"/>
      <c r="I24" s="10">
        <f t="shared" si="5"/>
        <v>155</v>
      </c>
      <c r="J24" s="10">
        <f t="shared" si="3"/>
        <v>170254816.0732547</v>
      </c>
      <c r="K24" s="11">
        <f t="shared" si="4"/>
        <v>4.9999999999998934E-3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11"/>
      <c r="H25" s="10"/>
      <c r="I25" s="10">
        <f t="shared" si="5"/>
        <v>155</v>
      </c>
      <c r="J25" s="10">
        <f t="shared" si="3"/>
        <v>169407777.18731815</v>
      </c>
      <c r="K25" s="11">
        <f t="shared" si="4"/>
        <v>6.7999999999999172E-3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11"/>
      <c r="H26" s="10"/>
      <c r="I26" s="10">
        <f t="shared" si="5"/>
        <v>155</v>
      </c>
      <c r="J26" s="10">
        <f t="shared" si="3"/>
        <v>168263584.81060603</v>
      </c>
      <c r="K26" s="11">
        <f t="shared" si="4"/>
        <v>5.7000000000002604E-3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11"/>
      <c r="H27" s="10"/>
      <c r="I27" s="10">
        <f t="shared" si="5"/>
        <v>155</v>
      </c>
      <c r="J27" s="10">
        <f t="shared" si="3"/>
        <v>167309918.27643034</v>
      </c>
      <c r="K27" s="11">
        <f t="shared" si="4"/>
        <v>7.9999999999991189E-4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11"/>
      <c r="H28" s="10"/>
      <c r="I28" s="10">
        <f t="shared" si="5"/>
        <v>155</v>
      </c>
      <c r="J28" s="10">
        <f t="shared" si="3"/>
        <v>167176177.33456272</v>
      </c>
      <c r="K28" s="11">
        <f t="shared" si="4"/>
        <v>-4.0000000000000036E-3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11"/>
      <c r="H29" s="10"/>
      <c r="I29" s="10">
        <f t="shared" si="5"/>
        <v>155</v>
      </c>
      <c r="J29" s="10">
        <f t="shared" si="3"/>
        <v>167847567.60498264</v>
      </c>
      <c r="K29" s="11">
        <f t="shared" si="4"/>
        <v>-4.2999999999997485E-3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11"/>
      <c r="H30" s="10"/>
      <c r="I30" s="10">
        <f t="shared" si="5"/>
        <v>155</v>
      </c>
      <c r="J30" s="10">
        <f t="shared" si="3"/>
        <v>168572429.04989716</v>
      </c>
      <c r="K30" s="11">
        <f t="shared" si="4"/>
        <v>9.9999999999988987E-5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11"/>
      <c r="H31" s="10"/>
      <c r="I31" s="10">
        <f t="shared" si="5"/>
        <v>155</v>
      </c>
      <c r="J31" s="10">
        <f t="shared" si="3"/>
        <v>168555573.49254793</v>
      </c>
      <c r="K31" s="11">
        <f t="shared" si="4"/>
        <v>4.9999999999972289E-4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11"/>
      <c r="H32" s="10"/>
      <c r="I32" s="10">
        <f t="shared" si="5"/>
        <v>155</v>
      </c>
      <c r="J32" s="10">
        <f t="shared" si="3"/>
        <v>168471337.82363614</v>
      </c>
      <c r="K32" s="11">
        <f t="shared" si="4"/>
        <v>1.6000000000000458E-3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11"/>
      <c r="H33" s="10"/>
      <c r="I33" s="10">
        <f t="shared" si="5"/>
        <v>155</v>
      </c>
      <c r="J33" s="10">
        <f t="shared" si="3"/>
        <v>168202214.28078687</v>
      </c>
      <c r="K33" s="11">
        <f t="shared" si="4"/>
        <v>6.1999999999999833E-3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11"/>
      <c r="H34" s="10"/>
      <c r="I34" s="10">
        <f t="shared" si="5"/>
        <v>155</v>
      </c>
      <c r="J34" s="10">
        <f t="shared" ref="J34:J65" si="6">IF(I34="","",I34*C34)</f>
        <v>167165786.4050754</v>
      </c>
      <c r="K34" s="11">
        <f t="shared" ref="K34:K65" si="7">IFERROR(J34/J35-1,"")</f>
        <v>7.1000000000003283E-3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11"/>
      <c r="H35" s="10"/>
      <c r="I35" s="10">
        <f t="shared" ref="I35:I66" si="8">IF(H35&lt;&gt;"",H35,I34/(1+IF(G34="",0,G34)))</f>
        <v>155</v>
      </c>
      <c r="J35" s="10">
        <f t="shared" si="6"/>
        <v>165987276.7402198</v>
      </c>
      <c r="K35" s="11">
        <f t="shared" si="7"/>
        <v>9.5000000000000639E-3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11"/>
      <c r="H36" s="10"/>
      <c r="I36" s="10">
        <f t="shared" si="8"/>
        <v>155</v>
      </c>
      <c r="J36" s="10">
        <f t="shared" si="6"/>
        <v>164425236.98882595</v>
      </c>
      <c r="K36" s="11">
        <f t="shared" si="7"/>
        <v>1.1700000000000044E-2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11"/>
      <c r="H37" s="10"/>
      <c r="I37" s="10">
        <f t="shared" si="8"/>
        <v>155</v>
      </c>
      <c r="J37" s="10">
        <f t="shared" si="6"/>
        <v>162523709.58666199</v>
      </c>
      <c r="K37" s="11">
        <f t="shared" si="7"/>
        <v>1.1500000000000066E-2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11"/>
      <c r="H38" s="10"/>
      <c r="I38" s="10">
        <f t="shared" si="8"/>
        <v>155</v>
      </c>
      <c r="J38" s="10">
        <f t="shared" si="6"/>
        <v>160675936.31899357</v>
      </c>
      <c r="K38" s="11">
        <f t="shared" si="7"/>
        <v>1.330000000000009E-2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11"/>
      <c r="H39" s="10"/>
      <c r="I39" s="10">
        <f t="shared" si="8"/>
        <v>155</v>
      </c>
      <c r="J39" s="10">
        <f t="shared" si="6"/>
        <v>158566995.28174633</v>
      </c>
      <c r="K39" s="11">
        <f t="shared" si="7"/>
        <v>1.4200000000000212E-2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11"/>
      <c r="H40" s="10"/>
      <c r="I40" s="10">
        <f t="shared" si="8"/>
        <v>155</v>
      </c>
      <c r="J40" s="10">
        <f t="shared" si="6"/>
        <v>156346869.73155817</v>
      </c>
      <c r="K40" s="11">
        <f t="shared" si="7"/>
        <v>1.3499999999999845E-2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11"/>
      <c r="H41" s="10"/>
      <c r="I41" s="10">
        <f t="shared" si="8"/>
        <v>155</v>
      </c>
      <c r="J41" s="10">
        <f t="shared" si="6"/>
        <v>154264301.65915954</v>
      </c>
      <c r="K41" s="11">
        <f t="shared" si="7"/>
        <v>1.5099999999999891E-2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11"/>
      <c r="H42" s="10"/>
      <c r="I42" s="10">
        <f t="shared" si="8"/>
        <v>155</v>
      </c>
      <c r="J42" s="10">
        <f t="shared" si="6"/>
        <v>151969561.28377455</v>
      </c>
      <c r="K42" s="11">
        <f t="shared" si="7"/>
        <v>1.6499999999999959E-2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11"/>
      <c r="H43" s="10"/>
      <c r="I43" s="10">
        <f t="shared" si="8"/>
        <v>155</v>
      </c>
      <c r="J43" s="10">
        <f t="shared" si="6"/>
        <v>149502765.65054065</v>
      </c>
      <c r="K43" s="11">
        <f t="shared" si="7"/>
        <v>1.6599999999999948E-2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11"/>
      <c r="H44" s="10"/>
      <c r="I44" s="10">
        <f t="shared" si="8"/>
        <v>155</v>
      </c>
      <c r="J44" s="10">
        <f t="shared" si="6"/>
        <v>147061544.01981178</v>
      </c>
      <c r="K44" s="11">
        <f t="shared" si="7"/>
        <v>1.6000000000000014E-2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11"/>
      <c r="H45" s="10"/>
      <c r="I45" s="10">
        <f t="shared" si="8"/>
        <v>155</v>
      </c>
      <c r="J45" s="10">
        <f t="shared" si="6"/>
        <v>144745614.19272813</v>
      </c>
      <c r="K45" s="11">
        <f t="shared" si="7"/>
        <v>1.4900000000000135E-2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11"/>
      <c r="H46" s="10"/>
      <c r="I46" s="10">
        <f t="shared" si="8"/>
        <v>155</v>
      </c>
      <c r="J46" s="10">
        <f t="shared" si="6"/>
        <v>142620567.73349899</v>
      </c>
      <c r="K46" s="11">
        <f t="shared" si="7"/>
        <v>1.1700000000000044E-2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11"/>
      <c r="H47" s="10"/>
      <c r="I47" s="10">
        <f t="shared" si="8"/>
        <v>155</v>
      </c>
      <c r="J47" s="10">
        <f t="shared" si="6"/>
        <v>140971204.63922012</v>
      </c>
      <c r="K47" s="11">
        <f t="shared" si="7"/>
        <v>8.4000000000001851E-3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11"/>
      <c r="H48" s="10"/>
      <c r="I48" s="10">
        <f t="shared" si="8"/>
        <v>155</v>
      </c>
      <c r="J48" s="10">
        <f t="shared" si="6"/>
        <v>139796910.59026191</v>
      </c>
      <c r="K48" s="11">
        <f t="shared" si="7"/>
        <v>5.7999999999998053E-3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11"/>
      <c r="H49" s="10"/>
      <c r="I49" s="10">
        <f t="shared" si="8"/>
        <v>155</v>
      </c>
      <c r="J49" s="10">
        <f t="shared" si="6"/>
        <v>138990764.15814468</v>
      </c>
      <c r="K49" s="11">
        <f t="shared" si="7"/>
        <v>4.4999999999999485E-3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11"/>
      <c r="H50" s="10"/>
      <c r="I50" s="10">
        <f t="shared" si="8"/>
        <v>155</v>
      </c>
      <c r="J50" s="10">
        <f t="shared" si="6"/>
        <v>138368107.67361343</v>
      </c>
      <c r="K50" s="11">
        <f t="shared" si="7"/>
        <v>4.6999999999999265E-3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11"/>
      <c r="H51" s="10"/>
      <c r="I51" s="10">
        <f t="shared" si="8"/>
        <v>155</v>
      </c>
      <c r="J51" s="10">
        <f t="shared" si="6"/>
        <v>137720819.82045728</v>
      </c>
      <c r="K51" s="11">
        <f t="shared" si="7"/>
        <v>4.0000000000000036E-3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11"/>
      <c r="H52" s="10"/>
      <c r="I52" s="10">
        <f t="shared" si="8"/>
        <v>155</v>
      </c>
      <c r="J52" s="10">
        <f t="shared" si="6"/>
        <v>137172131.29527617</v>
      </c>
      <c r="K52" s="11">
        <f t="shared" si="7"/>
        <v>3.7000000000000366E-3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11"/>
      <c r="H53" s="10"/>
      <c r="I53" s="10">
        <f t="shared" si="8"/>
        <v>155</v>
      </c>
      <c r="J53" s="10">
        <f t="shared" si="6"/>
        <v>136666465.37339461</v>
      </c>
      <c r="K53" s="11">
        <f t="shared" si="7"/>
        <v>4.8999999999996824E-3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11"/>
      <c r="H54" s="10"/>
      <c r="I54" s="10">
        <f t="shared" si="8"/>
        <v>155</v>
      </c>
      <c r="J54" s="10">
        <f t="shared" si="6"/>
        <v>136000065.05462697</v>
      </c>
      <c r="K54" s="11">
        <f t="shared" si="7"/>
        <v>5.8000000000000274E-3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11"/>
      <c r="H55" s="10"/>
      <c r="I55" s="10">
        <f t="shared" si="8"/>
        <v>155</v>
      </c>
      <c r="J55" s="10">
        <f t="shared" si="6"/>
        <v>135215813.3372708</v>
      </c>
      <c r="K55" s="11">
        <f t="shared" si="7"/>
        <v>4.1000000000002146E-3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11"/>
      <c r="H56" s="10"/>
      <c r="I56" s="10">
        <f t="shared" si="8"/>
        <v>155</v>
      </c>
      <c r="J56" s="10">
        <f t="shared" si="6"/>
        <v>134663692.19925383</v>
      </c>
      <c r="K56" s="11">
        <f t="shared" si="7"/>
        <v>-1.5000000000000568E-3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11"/>
      <c r="H57" s="10"/>
      <c r="I57" s="10">
        <f t="shared" si="8"/>
        <v>155</v>
      </c>
      <c r="J57" s="10">
        <f t="shared" si="6"/>
        <v>134865991.18603289</v>
      </c>
      <c r="K57" s="11">
        <f t="shared" si="7"/>
        <v>-1.9999999999998908E-3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11"/>
      <c r="H58" s="10"/>
      <c r="I58" s="10">
        <f t="shared" si="8"/>
        <v>155</v>
      </c>
      <c r="J58" s="10">
        <f t="shared" si="6"/>
        <v>135136263.71345979</v>
      </c>
      <c r="K58" s="11">
        <f t="shared" si="7"/>
        <v>-2.9999999999998916E-3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11"/>
      <c r="H59" s="10"/>
      <c r="I59" s="10">
        <f t="shared" si="8"/>
        <v>155</v>
      </c>
      <c r="J59" s="10">
        <f t="shared" si="6"/>
        <v>135542892.39063168</v>
      </c>
      <c r="K59" s="11">
        <f t="shared" si="7"/>
        <v>-5.0000000000001155E-3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11"/>
      <c r="H60" s="10"/>
      <c r="I60" s="10">
        <f t="shared" si="8"/>
        <v>155</v>
      </c>
      <c r="J60" s="10">
        <f t="shared" si="6"/>
        <v>136224012.45289618</v>
      </c>
      <c r="K60" s="11">
        <f t="shared" si="7"/>
        <v>-7.9999999999998961E-3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11"/>
      <c r="H61" s="10"/>
      <c r="I61" s="10">
        <f t="shared" si="8"/>
        <v>155</v>
      </c>
      <c r="J61" s="10">
        <f t="shared" si="6"/>
        <v>137322593.19848403</v>
      </c>
      <c r="K61" s="11">
        <f t="shared" si="7"/>
        <v>-7.0000000000001172E-3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11"/>
      <c r="H62" s="10"/>
      <c r="I62" s="10">
        <f t="shared" si="8"/>
        <v>155</v>
      </c>
      <c r="J62" s="10">
        <f t="shared" si="6"/>
        <v>138290627.59162542</v>
      </c>
      <c r="K62" s="11">
        <f t="shared" si="7"/>
        <v>-7.0000000000000062E-3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11"/>
      <c r="H63" s="10"/>
      <c r="I63" s="10">
        <f t="shared" si="8"/>
        <v>155</v>
      </c>
      <c r="J63" s="10">
        <f t="shared" si="6"/>
        <v>139265485.99358049</v>
      </c>
      <c r="K63" s="11">
        <f t="shared" si="7"/>
        <v>-6.9999999999998952E-3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11"/>
      <c r="H64" s="10"/>
      <c r="I64" s="10">
        <f t="shared" si="8"/>
        <v>155</v>
      </c>
      <c r="J64" s="10">
        <f t="shared" si="6"/>
        <v>140247216.50914448</v>
      </c>
      <c r="K64" s="11">
        <f t="shared" si="7"/>
        <v>-6.0000000000001164E-3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11"/>
      <c r="H65" s="10"/>
      <c r="I65" s="10">
        <f t="shared" si="8"/>
        <v>155</v>
      </c>
      <c r="J65" s="10">
        <f t="shared" si="6"/>
        <v>141093779.18425</v>
      </c>
      <c r="K65" s="11">
        <f t="shared" si="7"/>
        <v>-5.0000000000001155E-3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11"/>
      <c r="H66" s="10"/>
      <c r="I66" s="10">
        <f t="shared" si="8"/>
        <v>155</v>
      </c>
      <c r="J66" s="10">
        <f t="shared" ref="J66:J97" si="9">IF(I66="","",I66*C66)</f>
        <v>141802793.15000001</v>
      </c>
      <c r="K66" s="11">
        <f t="shared" ref="K66:K97" si="10">IFERROR(J66/J67-1,"")</f>
        <v>-5.0000000000000044E-3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155</v>
      </c>
      <c r="J67" s="10">
        <f t="shared" si="9"/>
        <v>142515370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5">
        <v>7849450</v>
      </c>
      <c r="G2" s="11"/>
      <c r="H2" s="10"/>
      <c r="I2" s="10">
        <f>IF(H2&lt;&gt;"",H2,5556)</f>
        <v>5556</v>
      </c>
      <c r="J2" s="10">
        <f t="shared" ref="J2:J33" si="3">IF(I2="","",I2*C2)</f>
        <v>43610191840.852341</v>
      </c>
      <c r="K2" s="11">
        <f t="shared" ref="K2:K33" si="4">IFERROR(J2/J3-1,"")</f>
        <v>3.1099999999999905E-2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11"/>
      <c r="H3" s="10"/>
      <c r="I3" s="10">
        <f t="shared" ref="I3:I34" si="5">IF(H3&lt;&gt;"",H3,I2/(1+IF(G2="",0,G2)))</f>
        <v>5556</v>
      </c>
      <c r="J3" s="10">
        <f t="shared" si="3"/>
        <v>42294822850.210793</v>
      </c>
      <c r="K3" s="11">
        <f t="shared" si="4"/>
        <v>3.3600000000000074E-2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11"/>
      <c r="H4" s="10"/>
      <c r="I4" s="10">
        <f t="shared" si="5"/>
        <v>5556</v>
      </c>
      <c r="J4" s="10">
        <f t="shared" si="3"/>
        <v>40919913748.268951</v>
      </c>
      <c r="K4" s="11">
        <f t="shared" si="4"/>
        <v>3.5199999999999898E-2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11"/>
      <c r="H5" s="10"/>
      <c r="I5" s="10">
        <f t="shared" si="5"/>
        <v>5556</v>
      </c>
      <c r="J5" s="10">
        <f t="shared" si="3"/>
        <v>39528510189.595207</v>
      </c>
      <c r="K5" s="11">
        <f t="shared" si="4"/>
        <v>3.5800000000000054E-2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11"/>
      <c r="H6" s="10"/>
      <c r="I6" s="10">
        <f t="shared" si="5"/>
        <v>5556</v>
      </c>
      <c r="J6" s="10">
        <f t="shared" si="3"/>
        <v>38162299854.793594</v>
      </c>
      <c r="K6" s="11">
        <f t="shared" si="4"/>
        <v>3.5500000000000087E-2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11"/>
      <c r="H7" s="10"/>
      <c r="I7" s="10">
        <f t="shared" si="5"/>
        <v>5556</v>
      </c>
      <c r="J7" s="10">
        <f t="shared" si="3"/>
        <v>36853983442.581932</v>
      </c>
      <c r="K7" s="11">
        <f t="shared" si="4"/>
        <v>3.4499999999999975E-2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11"/>
      <c r="H8" s="10"/>
      <c r="I8" s="10">
        <f t="shared" si="5"/>
        <v>5556</v>
      </c>
      <c r="J8" s="10">
        <f t="shared" si="3"/>
        <v>35624923579.102882</v>
      </c>
      <c r="K8" s="11">
        <f t="shared" si="4"/>
        <v>3.3299999999999885E-2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11"/>
      <c r="H9" s="10"/>
      <c r="I9" s="10">
        <f t="shared" si="5"/>
        <v>5556</v>
      </c>
      <c r="J9" s="10">
        <f t="shared" si="3"/>
        <v>34476844652.18512</v>
      </c>
      <c r="K9" s="11">
        <f t="shared" si="4"/>
        <v>3.2200000000000006E-2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11"/>
      <c r="H10" s="10"/>
      <c r="I10" s="10">
        <f t="shared" si="5"/>
        <v>5556</v>
      </c>
      <c r="J10" s="10">
        <f t="shared" si="3"/>
        <v>33401322081.171398</v>
      </c>
      <c r="K10" s="11">
        <f t="shared" si="4"/>
        <v>3.1300000000000106E-2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11"/>
      <c r="H11" s="10"/>
      <c r="I11" s="10">
        <f t="shared" si="5"/>
        <v>5556</v>
      </c>
      <c r="J11" s="10">
        <f t="shared" si="3"/>
        <v>32387590498.566273</v>
      </c>
      <c r="K11" s="11">
        <f t="shared" si="4"/>
        <v>3.0200000000000005E-2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11"/>
      <c r="H12" s="10"/>
      <c r="I12" s="10">
        <f t="shared" si="5"/>
        <v>5556</v>
      </c>
      <c r="J12" s="10">
        <f t="shared" si="3"/>
        <v>31438158123.244293</v>
      </c>
      <c r="K12" s="11">
        <f t="shared" si="4"/>
        <v>2.8999999999999915E-2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11"/>
      <c r="H13" s="10"/>
      <c r="I13" s="10">
        <f t="shared" si="5"/>
        <v>5556</v>
      </c>
      <c r="J13" s="10">
        <f t="shared" si="3"/>
        <v>30552145892.365688</v>
      </c>
      <c r="K13" s="11">
        <f t="shared" si="4"/>
        <v>2.8000000000000025E-2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11"/>
      <c r="H14" s="10"/>
      <c r="I14" s="10">
        <f t="shared" si="5"/>
        <v>5556</v>
      </c>
      <c r="J14" s="10">
        <f t="shared" si="3"/>
        <v>29719986276.620319</v>
      </c>
      <c r="K14" s="11">
        <f t="shared" si="4"/>
        <v>2.7300000000000102E-2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11"/>
      <c r="H15" s="10"/>
      <c r="I15" s="10">
        <f t="shared" si="5"/>
        <v>5556</v>
      </c>
      <c r="J15" s="10">
        <f t="shared" si="3"/>
        <v>28930192034.089668</v>
      </c>
      <c r="K15" s="11">
        <f t="shared" si="4"/>
        <v>2.6799999999999935E-2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11"/>
      <c r="H16" s="10"/>
      <c r="I16" s="10">
        <f t="shared" si="5"/>
        <v>5556</v>
      </c>
      <c r="J16" s="10">
        <f t="shared" si="3"/>
        <v>28175099370.948257</v>
      </c>
      <c r="K16" s="11">
        <f t="shared" si="4"/>
        <v>2.629999999999999E-2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11"/>
      <c r="H17" s="10"/>
      <c r="I17" s="10">
        <f t="shared" si="5"/>
        <v>5556</v>
      </c>
      <c r="J17" s="10">
        <f t="shared" si="3"/>
        <v>27453083280.666725</v>
      </c>
      <c r="K17" s="11">
        <f t="shared" si="4"/>
        <v>2.5900000000000034E-2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11"/>
      <c r="H18" s="10"/>
      <c r="I18" s="10">
        <f t="shared" si="5"/>
        <v>5556</v>
      </c>
      <c r="J18" s="10">
        <f t="shared" si="3"/>
        <v>26759999298.827103</v>
      </c>
      <c r="K18" s="11">
        <f t="shared" si="4"/>
        <v>2.5500000000000078E-2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11"/>
      <c r="H19" s="10"/>
      <c r="I19" s="10">
        <f t="shared" si="5"/>
        <v>5556</v>
      </c>
      <c r="J19" s="10">
        <f t="shared" si="3"/>
        <v>26094587322.113213</v>
      </c>
      <c r="K19" s="11">
        <f t="shared" si="4"/>
        <v>2.5299999999999878E-2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11"/>
      <c r="H20" s="10"/>
      <c r="I20" s="10">
        <f t="shared" si="5"/>
        <v>5556</v>
      </c>
      <c r="J20" s="10">
        <f t="shared" si="3"/>
        <v>25450684991.820164</v>
      </c>
      <c r="K20" s="11">
        <f t="shared" si="4"/>
        <v>2.5200000000000111E-2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11"/>
      <c r="H21" s="10"/>
      <c r="I21" s="10">
        <f t="shared" si="5"/>
        <v>5556</v>
      </c>
      <c r="J21" s="10">
        <f t="shared" si="3"/>
        <v>24825092656.867111</v>
      </c>
      <c r="K21" s="11">
        <f t="shared" si="4"/>
        <v>2.53000000000001E-2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11"/>
      <c r="H22" s="10"/>
      <c r="I22" s="10">
        <f t="shared" si="5"/>
        <v>5556</v>
      </c>
      <c r="J22" s="10">
        <f t="shared" si="3"/>
        <v>24212516002.016102</v>
      </c>
      <c r="K22" s="11">
        <f t="shared" si="4"/>
        <v>2.5700000000000056E-2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11"/>
      <c r="H23" s="10"/>
      <c r="I23" s="10">
        <f t="shared" si="5"/>
        <v>5556</v>
      </c>
      <c r="J23" s="10">
        <f t="shared" si="3"/>
        <v>23605845765.834164</v>
      </c>
      <c r="K23" s="11">
        <f t="shared" si="4"/>
        <v>2.6200000000000001E-2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11"/>
      <c r="H24" s="10"/>
      <c r="I24" s="10">
        <f t="shared" si="5"/>
        <v>5556</v>
      </c>
      <c r="J24" s="10">
        <f t="shared" si="3"/>
        <v>23003162897.908947</v>
      </c>
      <c r="K24" s="11">
        <f t="shared" si="4"/>
        <v>2.6599999999999957E-2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11"/>
      <c r="H25" s="10"/>
      <c r="I25" s="10">
        <f t="shared" si="5"/>
        <v>5556</v>
      </c>
      <c r="J25" s="10">
        <f t="shared" si="3"/>
        <v>22407133155.960403</v>
      </c>
      <c r="K25" s="11">
        <f t="shared" si="4"/>
        <v>2.6899999999999924E-2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11"/>
      <c r="H26" s="10"/>
      <c r="I26" s="10">
        <f t="shared" si="5"/>
        <v>5556</v>
      </c>
      <c r="J26" s="10">
        <f t="shared" si="3"/>
        <v>21820170567.689556</v>
      </c>
      <c r="K26" s="11">
        <f t="shared" si="4"/>
        <v>2.7199999999999891E-2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11"/>
      <c r="H27" s="10"/>
      <c r="I27" s="10">
        <f t="shared" si="5"/>
        <v>5556</v>
      </c>
      <c r="J27" s="10">
        <f t="shared" si="3"/>
        <v>21242377889.105881</v>
      </c>
      <c r="K27" s="11">
        <f t="shared" si="4"/>
        <v>2.7400000000000091E-2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11"/>
      <c r="H28" s="10"/>
      <c r="I28" s="10">
        <f t="shared" si="5"/>
        <v>5556</v>
      </c>
      <c r="J28" s="10">
        <f t="shared" si="3"/>
        <v>20675859343.104805</v>
      </c>
      <c r="K28" s="11">
        <f t="shared" si="4"/>
        <v>2.7699999999999836E-2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11"/>
      <c r="H29" s="10"/>
      <c r="I29" s="10">
        <f t="shared" si="5"/>
        <v>5556</v>
      </c>
      <c r="J29" s="10">
        <f t="shared" si="3"/>
        <v>20118574820.574883</v>
      </c>
      <c r="K29" s="11">
        <f t="shared" si="4"/>
        <v>2.7700000000000058E-2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11"/>
      <c r="H30" s="10"/>
      <c r="I30" s="10">
        <f t="shared" si="5"/>
        <v>5556</v>
      </c>
      <c r="J30" s="10">
        <f t="shared" si="3"/>
        <v>19576311005.716534</v>
      </c>
      <c r="K30" s="11">
        <f t="shared" si="4"/>
        <v>2.7800000000000269E-2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11"/>
      <c r="H31" s="10"/>
      <c r="I31" s="10">
        <f t="shared" si="5"/>
        <v>5556</v>
      </c>
      <c r="J31" s="10">
        <f t="shared" si="3"/>
        <v>19046809696.163193</v>
      </c>
      <c r="K31" s="11">
        <f t="shared" si="4"/>
        <v>2.7700000000000058E-2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11"/>
      <c r="H32" s="10"/>
      <c r="I32" s="10">
        <f t="shared" si="5"/>
        <v>5556</v>
      </c>
      <c r="J32" s="10">
        <f t="shared" si="3"/>
        <v>18533433585.835548</v>
      </c>
      <c r="K32" s="11">
        <f t="shared" si="4"/>
        <v>2.7600000000000069E-2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11"/>
      <c r="H33" s="10"/>
      <c r="I33" s="10">
        <f t="shared" si="5"/>
        <v>5556</v>
      </c>
      <c r="J33" s="10">
        <f t="shared" si="3"/>
        <v>18035649655.347942</v>
      </c>
      <c r="K33" s="11">
        <f t="shared" si="4"/>
        <v>2.7499999999999858E-2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11"/>
      <c r="H34" s="10"/>
      <c r="I34" s="10">
        <f t="shared" si="5"/>
        <v>5556</v>
      </c>
      <c r="J34" s="10">
        <f t="shared" ref="J34:J65" si="6">IF(I34="","",I34*C34)</f>
        <v>17552943703.501648</v>
      </c>
      <c r="K34" s="11">
        <f t="shared" ref="K34:K65" si="7">IFERROR(J34/J35-1,"")</f>
        <v>2.7400000000000091E-2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11"/>
      <c r="H35" s="10"/>
      <c r="I35" s="10">
        <f t="shared" ref="I35:I66" si="8">IF(H35&lt;&gt;"",H35,I34/(1+IF(G34="",0,G34)))</f>
        <v>5556</v>
      </c>
      <c r="J35" s="10">
        <f t="shared" si="6"/>
        <v>17084819645.222548</v>
      </c>
      <c r="K35" s="11">
        <f t="shared" si="7"/>
        <v>2.7099999999999902E-2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11"/>
      <c r="H36" s="10"/>
      <c r="I36" s="10">
        <f t="shared" si="8"/>
        <v>5556</v>
      </c>
      <c r="J36" s="10">
        <f t="shared" si="6"/>
        <v>16634037236.123598</v>
      </c>
      <c r="K36" s="11">
        <f t="shared" si="7"/>
        <v>2.6799999999999713E-2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11"/>
      <c r="H37" s="10"/>
      <c r="I37" s="10">
        <f t="shared" si="8"/>
        <v>5556</v>
      </c>
      <c r="J37" s="10">
        <f t="shared" si="6"/>
        <v>16199880440.322947</v>
      </c>
      <c r="K37" s="11">
        <f t="shared" si="7"/>
        <v>2.6399999999999979E-2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11"/>
      <c r="H38" s="10"/>
      <c r="I38" s="10">
        <f t="shared" si="8"/>
        <v>5556</v>
      </c>
      <c r="J38" s="10">
        <f t="shared" si="6"/>
        <v>15783203858.459612</v>
      </c>
      <c r="K38" s="11">
        <f t="shared" si="7"/>
        <v>2.5700000000000056E-2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11"/>
      <c r="H39" s="10"/>
      <c r="I39" s="10">
        <f t="shared" si="8"/>
        <v>5556</v>
      </c>
      <c r="J39" s="10">
        <f t="shared" si="6"/>
        <v>15387738967.007519</v>
      </c>
      <c r="K39" s="11">
        <f t="shared" si="7"/>
        <v>2.5200000000000111E-2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11"/>
      <c r="H40" s="10"/>
      <c r="I40" s="10">
        <f t="shared" si="8"/>
        <v>5556</v>
      </c>
      <c r="J40" s="10">
        <f t="shared" si="6"/>
        <v>15009499577.650721</v>
      </c>
      <c r="K40" s="11">
        <f t="shared" si="7"/>
        <v>2.4599999999999955E-2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11"/>
      <c r="H41" s="10"/>
      <c r="I41" s="10">
        <f t="shared" si="8"/>
        <v>5556</v>
      </c>
      <c r="J41" s="10">
        <f t="shared" si="6"/>
        <v>14649130956.129927</v>
      </c>
      <c r="K41" s="11">
        <f t="shared" si="7"/>
        <v>2.3900000000000032E-2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11"/>
      <c r="H42" s="10"/>
      <c r="I42" s="10">
        <f t="shared" si="8"/>
        <v>5556</v>
      </c>
      <c r="J42" s="10">
        <f t="shared" si="6"/>
        <v>14307189135.784672</v>
      </c>
      <c r="K42" s="11">
        <f t="shared" si="7"/>
        <v>2.2999999999999909E-2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11"/>
      <c r="H43" s="10"/>
      <c r="I43" s="10">
        <f t="shared" si="8"/>
        <v>5556</v>
      </c>
      <c r="J43" s="10">
        <f t="shared" si="6"/>
        <v>13985522126.866737</v>
      </c>
      <c r="K43" s="11">
        <f t="shared" si="7"/>
        <v>2.2100000000000009E-2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11"/>
      <c r="H44" s="10"/>
      <c r="I44" s="10">
        <f t="shared" si="8"/>
        <v>5556</v>
      </c>
      <c r="J44" s="10">
        <f t="shared" si="6"/>
        <v>13683125062.974991</v>
      </c>
      <c r="K44" s="11">
        <f t="shared" si="7"/>
        <v>2.1400000000000086E-2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11"/>
      <c r="H45" s="10"/>
      <c r="I45" s="10">
        <f t="shared" si="8"/>
        <v>5556</v>
      </c>
      <c r="J45" s="10">
        <f t="shared" si="6"/>
        <v>13396441220.848824</v>
      </c>
      <c r="K45" s="11">
        <f t="shared" si="7"/>
        <v>2.079999999999993E-2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11"/>
      <c r="H46" s="10"/>
      <c r="I46" s="10">
        <f t="shared" si="8"/>
        <v>5556</v>
      </c>
      <c r="J46" s="10">
        <f t="shared" si="6"/>
        <v>13123472982.80645</v>
      </c>
      <c r="K46" s="11">
        <f t="shared" si="7"/>
        <v>2.0499999999999741E-2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11"/>
      <c r="H47" s="10"/>
      <c r="I47" s="10">
        <f t="shared" si="8"/>
        <v>5556</v>
      </c>
      <c r="J47" s="10">
        <f t="shared" si="6"/>
        <v>12859846136.997993</v>
      </c>
      <c r="K47" s="11">
        <f t="shared" si="7"/>
        <v>2.079999999999993E-2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11"/>
      <c r="H48" s="10"/>
      <c r="I48" s="10">
        <f t="shared" si="8"/>
        <v>5556</v>
      </c>
      <c r="J48" s="10">
        <f t="shared" si="6"/>
        <v>12597811654.582674</v>
      </c>
      <c r="K48" s="11">
        <f t="shared" si="7"/>
        <v>2.1300000000000097E-2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11"/>
      <c r="H49" s="10"/>
      <c r="I49" s="10">
        <f t="shared" si="8"/>
        <v>5556</v>
      </c>
      <c r="J49" s="10">
        <f t="shared" si="6"/>
        <v>12335074566.320055</v>
      </c>
      <c r="K49" s="11">
        <f t="shared" si="7"/>
        <v>1.9099999999999895E-2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11"/>
      <c r="H50" s="10"/>
      <c r="I50" s="10">
        <f t="shared" si="8"/>
        <v>5556</v>
      </c>
      <c r="J50" s="10">
        <f t="shared" si="6"/>
        <v>12103890262.309937</v>
      </c>
      <c r="K50" s="11">
        <f t="shared" si="7"/>
        <v>1.6100000000000003E-2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11"/>
      <c r="H51" s="10"/>
      <c r="I51" s="10">
        <f t="shared" si="8"/>
        <v>5556</v>
      </c>
      <c r="J51" s="10">
        <f t="shared" si="6"/>
        <v>11912105365.918646</v>
      </c>
      <c r="K51" s="11">
        <f t="shared" si="7"/>
        <v>1.5500000000000069E-2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11"/>
      <c r="H52" s="10"/>
      <c r="I52" s="10">
        <f t="shared" si="8"/>
        <v>5556</v>
      </c>
      <c r="J52" s="10">
        <f t="shared" si="6"/>
        <v>11730285933.942535</v>
      </c>
      <c r="K52" s="11">
        <f t="shared" si="7"/>
        <v>1.4799999999999924E-2</v>
      </c>
      <c r="L52" t="inlineStr">
        <is>
          <t xml:space="preserve">Arten Fiscal Crisis - trade &amp; financial fallout across the region.</t>
        </is>
      </c>
      <c r="M52" t="inlineStr">
        <is>
          <t xml:space="preserve">Arten Fiscal Crisis (1713-15): capital flight and imperial-debt default triggered by the Arten Revolution and the 1715 Declaration of Rights.</t>
        </is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11"/>
      <c r="H53" s="10"/>
      <c r="I53" s="10">
        <f t="shared" si="8"/>
        <v>5556</v>
      </c>
      <c r="J53" s="10">
        <f t="shared" si="6"/>
        <v>11559209631.397848</v>
      </c>
      <c r="K53" s="11">
        <f t="shared" si="7"/>
        <v>1.4100000000000001E-2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11"/>
      <c r="H54" s="10"/>
      <c r="I54" s="10">
        <f t="shared" si="8"/>
        <v>5556</v>
      </c>
      <c r="J54" s="10">
        <f t="shared" si="6"/>
        <v>11398490909.57287</v>
      </c>
      <c r="K54" s="11">
        <f t="shared" si="7"/>
        <v>1.3500000000000068E-2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11"/>
      <c r="H55" s="10"/>
      <c r="I55" s="10">
        <f t="shared" si="8"/>
        <v>5556</v>
      </c>
      <c r="J55" s="10">
        <f t="shared" si="6"/>
        <v>11246660986.258381</v>
      </c>
      <c r="K55" s="11">
        <f t="shared" si="7"/>
        <v>1.2899999999999912E-2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11"/>
      <c r="H56" s="10"/>
      <c r="I56" s="10">
        <f t="shared" si="8"/>
        <v>5556</v>
      </c>
      <c r="J56" s="10">
        <f t="shared" si="6"/>
        <v>11103426780.78624</v>
      </c>
      <c r="K56" s="11">
        <f t="shared" si="7"/>
        <v>1.2199999999999989E-2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11"/>
      <c r="H57" s="10"/>
      <c r="I57" s="10">
        <f t="shared" si="8"/>
        <v>5556</v>
      </c>
      <c r="J57" s="10">
        <f t="shared" si="6"/>
        <v>10969597688.980677</v>
      </c>
      <c r="K57" s="11">
        <f t="shared" si="7"/>
        <v>1.1500000000000066E-2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11"/>
      <c r="H58" s="10"/>
      <c r="I58" s="10">
        <f t="shared" si="8"/>
        <v>5556</v>
      </c>
      <c r="J58" s="10">
        <f t="shared" si="6"/>
        <v>10844881551.142536</v>
      </c>
      <c r="K58" s="11">
        <f t="shared" si="7"/>
        <v>1.0999999999999899E-2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11"/>
      <c r="H59" s="10"/>
      <c r="I59" s="10">
        <f t="shared" si="8"/>
        <v>5556</v>
      </c>
      <c r="J59" s="10">
        <f t="shared" si="6"/>
        <v>10726885807.262648</v>
      </c>
      <c r="K59" s="11">
        <f t="shared" si="7"/>
        <v>1.0000000000000009E-2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11"/>
      <c r="H60" s="10"/>
      <c r="I60" s="10">
        <f t="shared" si="8"/>
        <v>5556</v>
      </c>
      <c r="J60" s="10">
        <f t="shared" si="6"/>
        <v>10620679017.09173</v>
      </c>
      <c r="K60" s="11">
        <f t="shared" si="7"/>
        <v>9.9999999999997868E-3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11"/>
      <c r="H61" s="10"/>
      <c r="I61" s="10">
        <f t="shared" si="8"/>
        <v>5556</v>
      </c>
      <c r="J61" s="10">
        <f t="shared" si="6"/>
        <v>10515523779.298744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11"/>
      <c r="H62" s="10"/>
      <c r="I62" s="10">
        <f t="shared" si="8"/>
        <v>5556</v>
      </c>
      <c r="J62" s="10">
        <f t="shared" si="6"/>
        <v>10421728225.271303</v>
      </c>
      <c r="K62" s="11">
        <f t="shared" si="7"/>
        <v>9.000000000000119E-3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11"/>
      <c r="H63" s="10"/>
      <c r="I63" s="10">
        <f t="shared" si="8"/>
        <v>5556</v>
      </c>
      <c r="J63" s="10">
        <f t="shared" si="6"/>
        <v>10328769301.557287</v>
      </c>
      <c r="K63" s="11">
        <f t="shared" si="7"/>
        <v>8.0000000000000071E-3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11"/>
      <c r="H64" s="10"/>
      <c r="I64" s="10">
        <f t="shared" si="8"/>
        <v>5556</v>
      </c>
      <c r="J64" s="10">
        <f t="shared" si="6"/>
        <v>10246794942.021118</v>
      </c>
      <c r="K64" s="11">
        <f t="shared" si="7"/>
        <v>8.0000000000000071E-3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11"/>
      <c r="H65" s="10"/>
      <c r="I65" s="10">
        <f t="shared" si="8"/>
        <v>5556</v>
      </c>
      <c r="J65" s="10">
        <f t="shared" si="6"/>
        <v>10165471172.639997</v>
      </c>
      <c r="K65" s="11">
        <f t="shared" si="7"/>
        <v>8.0000000000000071E-3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11"/>
      <c r="H66" s="10"/>
      <c r="I66" s="10">
        <f t="shared" si="8"/>
        <v>5556</v>
      </c>
      <c r="J66" s="10">
        <f t="shared" ref="J66:J97" si="9">IF(I66="","",I66*C66)</f>
        <v>10084792829.999998</v>
      </c>
      <c r="K66" s="11">
        <f t="shared" ref="K66:K97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5556</v>
      </c>
      <c r="J67" s="10">
        <f t="shared" si="9"/>
        <v>10014690000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5">
        <v>12299328</v>
      </c>
      <c r="G2" s="11"/>
      <c r="H2" s="10"/>
      <c r="I2" s="10">
        <f>IF(H2&lt;&gt;"",H2,9206)</f>
        <v>9206</v>
      </c>
      <c r="J2" s="10">
        <f t="shared" ref="J2:J33" si="3">IF(I2="","",I2*C2)</f>
        <v>113227459221.74265</v>
      </c>
      <c r="K2" s="11">
        <f t="shared" ref="K2:K33" si="4">IFERROR(J2/J3-1,"")</f>
        <v>2.7999999999999137E-3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11"/>
      <c r="H3" s="10"/>
      <c r="I3" s="10">
        <f t="shared" ref="I3:I34" si="5">IF(H3&lt;&gt;"",H3,I2/(1+IF(G2="",0,G2)))</f>
        <v>9206</v>
      </c>
      <c r="J3" s="10">
        <f t="shared" si="3"/>
        <v>112911307560.57304</v>
      </c>
      <c r="K3" s="11">
        <f t="shared" si="4"/>
        <v>2.9999999999998916E-3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11"/>
      <c r="H4" s="10"/>
      <c r="I4" s="10">
        <f t="shared" si="5"/>
        <v>9206</v>
      </c>
      <c r="J4" s="10">
        <f t="shared" si="3"/>
        <v>112573586800.17255</v>
      </c>
      <c r="K4" s="11">
        <f t="shared" si="4"/>
        <v>2.9999999999998916E-3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11"/>
      <c r="H5" s="10"/>
      <c r="I5" s="10">
        <f t="shared" si="5"/>
        <v>9206</v>
      </c>
      <c r="J5" s="10">
        <f t="shared" si="3"/>
        <v>112236876171.65759</v>
      </c>
      <c r="K5" s="11">
        <f t="shared" si="4"/>
        <v>2.4999999999999467E-3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11"/>
      <c r="H6" s="10"/>
      <c r="I6" s="10">
        <f t="shared" si="5"/>
        <v>9206</v>
      </c>
      <c r="J6" s="10">
        <f t="shared" si="3"/>
        <v>111956983712.37665</v>
      </c>
      <c r="K6" s="11">
        <f t="shared" si="4"/>
        <v>1.2000000000000899E-3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11"/>
      <c r="H7" s="10"/>
      <c r="I7" s="10">
        <f t="shared" si="5"/>
        <v>9206</v>
      </c>
      <c r="J7" s="10">
        <f t="shared" si="3"/>
        <v>111822796356.74854</v>
      </c>
      <c r="K7" s="11">
        <f t="shared" si="4"/>
        <v>3.9999999999995595E-4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11"/>
      <c r="H8" s="10"/>
      <c r="I8" s="10">
        <f t="shared" si="5"/>
        <v>9206</v>
      </c>
      <c r="J8" s="10">
        <f t="shared" si="3"/>
        <v>111778085122.69946</v>
      </c>
      <c r="K8" s="11">
        <f t="shared" si="4"/>
        <v>2.9999999999996696E-4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11"/>
      <c r="H9" s="10"/>
      <c r="I9" s="10">
        <f t="shared" si="5"/>
        <v>9206</v>
      </c>
      <c r="J9" s="10">
        <f t="shared" si="3"/>
        <v>111744561754.17322</v>
      </c>
      <c r="K9" s="11">
        <f t="shared" si="4"/>
        <v>-3.9999999999995595E-4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11"/>
      <c r="H10" s="10"/>
      <c r="I10" s="10">
        <f t="shared" si="5"/>
        <v>9206</v>
      </c>
      <c r="J10" s="10">
        <f t="shared" si="3"/>
        <v>111789277465.15927</v>
      </c>
      <c r="K10" s="11">
        <f t="shared" si="4"/>
        <v>-1.6999999999999238E-3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11"/>
      <c r="H11" s="10"/>
      <c r="I11" s="10">
        <f t="shared" si="5"/>
        <v>9206</v>
      </c>
      <c r="J11" s="10">
        <f t="shared" si="3"/>
        <v>111979642858.0179</v>
      </c>
      <c r="K11" s="11">
        <f t="shared" si="4"/>
        <v>-3.3000000000000806E-3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11"/>
      <c r="H12" s="10"/>
      <c r="I12" s="10">
        <f t="shared" si="5"/>
        <v>9206</v>
      </c>
      <c r="J12" s="10">
        <f t="shared" si="3"/>
        <v>112350399175.29639</v>
      </c>
      <c r="K12" s="11">
        <f t="shared" si="4"/>
        <v>-3.7999999999999146E-3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11"/>
      <c r="H13" s="10"/>
      <c r="I13" s="10">
        <f t="shared" si="5"/>
        <v>9206</v>
      </c>
      <c r="J13" s="10">
        <f t="shared" si="3"/>
        <v>112778959220.33365</v>
      </c>
      <c r="K13" s="11">
        <f t="shared" si="4"/>
        <v>-4.0000000000000036E-3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11"/>
      <c r="H14" s="10"/>
      <c r="I14" s="10">
        <f t="shared" si="5"/>
        <v>9206</v>
      </c>
      <c r="J14" s="10">
        <f t="shared" si="3"/>
        <v>113231886767.40326</v>
      </c>
      <c r="K14" s="11">
        <f t="shared" si="4"/>
        <v>-4.4999999999999485E-3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11"/>
      <c r="H15" s="10"/>
      <c r="I15" s="10">
        <f t="shared" si="5"/>
        <v>9206</v>
      </c>
      <c r="J15" s="10">
        <f t="shared" si="3"/>
        <v>113743733568.46133</v>
      </c>
      <c r="K15" s="11">
        <f t="shared" si="4"/>
        <v>-4.6000000000000485E-3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11"/>
      <c r="H16" s="10"/>
      <c r="I16" s="10">
        <f t="shared" si="5"/>
        <v>9206</v>
      </c>
      <c r="J16" s="10">
        <f t="shared" si="3"/>
        <v>114269372682.80223</v>
      </c>
      <c r="K16" s="11">
        <f t="shared" si="4"/>
        <v>-4.1999999999998705E-3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11"/>
      <c r="H17" s="10"/>
      <c r="I17" s="10">
        <f t="shared" si="5"/>
        <v>9206</v>
      </c>
      <c r="J17" s="10">
        <f t="shared" si="3"/>
        <v>114751328261.50052</v>
      </c>
      <c r="K17" s="11">
        <f t="shared" si="4"/>
        <v>-4.2000000000000925E-3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11"/>
      <c r="H18" s="10"/>
      <c r="I18" s="10">
        <f t="shared" si="5"/>
        <v>9206</v>
      </c>
      <c r="J18" s="10">
        <f t="shared" si="3"/>
        <v>115235316591.1835</v>
      </c>
      <c r="K18" s="11">
        <f t="shared" si="4"/>
        <v>-3.0999999999999917E-3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11"/>
      <c r="H19" s="10"/>
      <c r="I19" s="10">
        <f t="shared" si="5"/>
        <v>9206</v>
      </c>
      <c r="J19" s="10">
        <f t="shared" si="3"/>
        <v>115593656927.65924</v>
      </c>
      <c r="K19" s="11">
        <f t="shared" si="4"/>
        <v>-1.7000000000000348E-3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11"/>
      <c r="H20" s="10"/>
      <c r="I20" s="10">
        <f t="shared" si="5"/>
        <v>9206</v>
      </c>
      <c r="J20" s="10">
        <f t="shared" si="3"/>
        <v>115790500778.98352</v>
      </c>
      <c r="K20" s="11">
        <f t="shared" si="4"/>
        <v>-1.6999999999998128E-3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11"/>
      <c r="H21" s="10"/>
      <c r="I21" s="10">
        <f t="shared" si="5"/>
        <v>9206</v>
      </c>
      <c r="J21" s="10">
        <f t="shared" si="3"/>
        <v>115987679834.7025</v>
      </c>
      <c r="K21" s="11">
        <f t="shared" si="4"/>
        <v>-1.4999999999999458E-3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11"/>
      <c r="H22" s="10"/>
      <c r="I22" s="10">
        <f t="shared" si="5"/>
        <v>9206</v>
      </c>
      <c r="J22" s="10">
        <f t="shared" si="3"/>
        <v>116161922718.78067</v>
      </c>
      <c r="K22" s="11">
        <f t="shared" si="4"/>
        <v>-1.9999999999986695E-4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11"/>
      <c r="H23" s="10"/>
      <c r="I23" s="10">
        <f t="shared" si="5"/>
        <v>9206</v>
      </c>
      <c r="J23" s="10">
        <f t="shared" si="3"/>
        <v>116185159750.7308</v>
      </c>
      <c r="K23" s="11">
        <f t="shared" si="4"/>
        <v>-2.9999999999996696E-4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11"/>
      <c r="H24" s="10"/>
      <c r="I24" s="10">
        <f t="shared" si="5"/>
        <v>9206</v>
      </c>
      <c r="J24" s="10">
        <f t="shared" si="3"/>
        <v>116220025758.45834</v>
      </c>
      <c r="K24" s="11">
        <f t="shared" si="4"/>
        <v>-5.0000000000005596E-4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11"/>
      <c r="H25" s="10"/>
      <c r="I25" s="10">
        <f t="shared" si="5"/>
        <v>9206</v>
      </c>
      <c r="J25" s="10">
        <f t="shared" si="3"/>
        <v>116278164840.87878</v>
      </c>
      <c r="K25" s="11">
        <f t="shared" si="4"/>
        <v>9.9999999999988987E-4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11"/>
      <c r="H26" s="10"/>
      <c r="I26" s="10">
        <f t="shared" si="5"/>
        <v>9206</v>
      </c>
      <c r="J26" s="10">
        <f t="shared" si="3"/>
        <v>116162002838.04076</v>
      </c>
      <c r="K26" s="11">
        <f t="shared" si="4"/>
        <v>2.8999999999999027E-3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11"/>
      <c r="H27" s="10"/>
      <c r="I27" s="10">
        <f t="shared" si="5"/>
        <v>9206</v>
      </c>
      <c r="J27" s="10">
        <f t="shared" si="3"/>
        <v>115826107127.37138</v>
      </c>
      <c r="K27" s="11">
        <f t="shared" si="4"/>
        <v>1.7000000000000348E-3</v>
      </c>
      <c r="L27" t="inlineStr">
        <is>
          <t xml:space="preserve">Collapse of the Huan - secession &amp; transition shock.</t>
        </is>
      </c>
      <c r="M27" t="inlineStr">
        <is>
          <t xml:space="preserve">Collapse of the Huan (1740): dissolution of the Estijan Huan, hyperinflating its currency and breaking the empire apart.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11"/>
      <c r="H28" s="10"/>
      <c r="I28" s="10">
        <f t="shared" si="5"/>
        <v>9206</v>
      </c>
      <c r="J28" s="10">
        <f t="shared" si="3"/>
        <v>115629536914.61653</v>
      </c>
      <c r="K28" s="11">
        <f t="shared" si="4"/>
        <v>5.9000000000000163E-3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11"/>
      <c r="H29" s="10"/>
      <c r="I29" s="10">
        <f t="shared" si="5"/>
        <v>9206</v>
      </c>
      <c r="J29" s="10">
        <f t="shared" si="3"/>
        <v>114951324102.41229</v>
      </c>
      <c r="K29" s="11">
        <f t="shared" si="4"/>
        <v>6.4999999999999503E-3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11"/>
      <c r="H30" s="10"/>
      <c r="I30" s="10">
        <f t="shared" si="5"/>
        <v>9206</v>
      </c>
      <c r="J30" s="10">
        <f t="shared" si="3"/>
        <v>114208965824.5527</v>
      </c>
      <c r="K30" s="11">
        <f t="shared" si="4"/>
        <v>6.9999999999998952E-3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11"/>
      <c r="H31" s="10"/>
      <c r="I31" s="10">
        <f t="shared" si="5"/>
        <v>9206</v>
      </c>
      <c r="J31" s="10">
        <f t="shared" si="3"/>
        <v>113415060401.74052</v>
      </c>
      <c r="K31" s="11">
        <f t="shared" si="4"/>
        <v>7.2000000000000952E-3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11"/>
      <c r="H32" s="10"/>
      <c r="I32" s="10">
        <f t="shared" si="5"/>
        <v>9206</v>
      </c>
      <c r="J32" s="10">
        <f t="shared" si="3"/>
        <v>112604309374.24594</v>
      </c>
      <c r="K32" s="11">
        <f t="shared" si="4"/>
        <v>7.8000000000000291E-3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11"/>
      <c r="H33" s="10"/>
      <c r="I33" s="10">
        <f t="shared" si="5"/>
        <v>9206</v>
      </c>
      <c r="J33" s="10">
        <f t="shared" si="3"/>
        <v>111732793584.2885</v>
      </c>
      <c r="K33" s="11">
        <f t="shared" si="4"/>
        <v>7.6000000000000512E-3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11"/>
      <c r="H34" s="10"/>
      <c r="I34" s="10">
        <f t="shared" si="5"/>
        <v>9206</v>
      </c>
      <c r="J34" s="10">
        <f t="shared" ref="J34:J65" si="6">IF(I34="","",I34*C34)</f>
        <v>110890029361.1438</v>
      </c>
      <c r="K34" s="11">
        <f t="shared" ref="K34:K65" si="7">IFERROR(J34/J35-1,"")</f>
        <v>6.0000000000002274E-3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11"/>
      <c r="H35" s="10"/>
      <c r="I35" s="10">
        <f t="shared" ref="I35:I66" si="8">IF(H35&lt;&gt;"",H35,I34/(1+IF(G34="",0,G34)))</f>
        <v>9206</v>
      </c>
      <c r="J35" s="10">
        <f t="shared" si="6"/>
        <v>110228657416.64392</v>
      </c>
      <c r="K35" s="11">
        <f t="shared" si="7"/>
        <v>6.2999999999999723E-3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11"/>
      <c r="H36" s="10"/>
      <c r="I36" s="10">
        <f t="shared" si="8"/>
        <v>9206</v>
      </c>
      <c r="J36" s="10">
        <f t="shared" si="6"/>
        <v>109538564460.54251</v>
      </c>
      <c r="K36" s="11">
        <f t="shared" si="7"/>
        <v>6.6999999999999282E-3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11"/>
      <c r="H37" s="10"/>
      <c r="I37" s="10">
        <f t="shared" si="8"/>
        <v>9206</v>
      </c>
      <c r="J37" s="10">
        <f t="shared" si="6"/>
        <v>108809540538.93169</v>
      </c>
      <c r="K37" s="11">
        <f t="shared" si="7"/>
        <v>7.1000000000001062E-3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11"/>
      <c r="H38" s="10"/>
      <c r="I38" s="10">
        <f t="shared" si="8"/>
        <v>9206</v>
      </c>
      <c r="J38" s="10">
        <f t="shared" si="6"/>
        <v>108042439220.46635</v>
      </c>
      <c r="K38" s="11">
        <f t="shared" si="7"/>
        <v>6.9999999999998952E-3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11"/>
      <c r="H39" s="10"/>
      <c r="I39" s="10">
        <f t="shared" si="8"/>
        <v>9206</v>
      </c>
      <c r="J39" s="10">
        <f t="shared" si="6"/>
        <v>107291399424.4949</v>
      </c>
      <c r="K39" s="11">
        <f t="shared" si="7"/>
        <v>6.9999999999998952E-3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11"/>
      <c r="H40" s="10"/>
      <c r="I40" s="10">
        <f t="shared" si="8"/>
        <v>9206</v>
      </c>
      <c r="J40" s="10">
        <f t="shared" si="6"/>
        <v>106545580361.9612</v>
      </c>
      <c r="K40" s="11">
        <f t="shared" si="7"/>
        <v>7.0000000000001172E-3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11"/>
      <c r="H41" s="10"/>
      <c r="I41" s="10">
        <f t="shared" si="8"/>
        <v>9206</v>
      </c>
      <c r="J41" s="10">
        <f t="shared" si="6"/>
        <v>105804945741.76881</v>
      </c>
      <c r="K41" s="11">
        <f t="shared" si="7"/>
        <v>6.9999999999996732E-3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11"/>
      <c r="H42" s="10"/>
      <c r="I42" s="10">
        <f t="shared" si="8"/>
        <v>9206</v>
      </c>
      <c r="J42" s="10">
        <f t="shared" si="6"/>
        <v>105069459525.09319</v>
      </c>
      <c r="K42" s="11">
        <f t="shared" si="7"/>
        <v>5.7000000000000384E-3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11"/>
      <c r="H43" s="10"/>
      <c r="I43" s="10">
        <f t="shared" si="8"/>
        <v>9206</v>
      </c>
      <c r="J43" s="10">
        <f t="shared" si="6"/>
        <v>104473957964.69441</v>
      </c>
      <c r="K43" s="11">
        <f t="shared" si="7"/>
        <v>5.7000000000000384E-3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11"/>
      <c r="H44" s="10"/>
      <c r="I44" s="10">
        <f t="shared" si="8"/>
        <v>9206</v>
      </c>
      <c r="J44" s="10">
        <f t="shared" si="6"/>
        <v>103881831525.00189</v>
      </c>
      <c r="K44" s="11">
        <f t="shared" si="7"/>
        <v>5.7000000000000384E-3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11"/>
      <c r="H45" s="10"/>
      <c r="I45" s="10">
        <f t="shared" si="8"/>
        <v>9206</v>
      </c>
      <c r="J45" s="10">
        <f t="shared" si="6"/>
        <v>103293061076.86375</v>
      </c>
      <c r="K45" s="11">
        <f t="shared" si="7"/>
        <v>5.7000000000000384E-3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11"/>
      <c r="H46" s="10"/>
      <c r="I46" s="10">
        <f t="shared" si="8"/>
        <v>9206</v>
      </c>
      <c r="J46" s="10">
        <f t="shared" si="6"/>
        <v>102707627599.54634</v>
      </c>
      <c r="K46" s="11">
        <f t="shared" si="7"/>
        <v>5.7000000000000384E-3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11"/>
      <c r="H47" s="10"/>
      <c r="I47" s="10">
        <f t="shared" si="8"/>
        <v>9206</v>
      </c>
      <c r="J47" s="10">
        <f t="shared" si="6"/>
        <v>102125512180.11964</v>
      </c>
      <c r="K47" s="11">
        <f t="shared" si="7"/>
        <v>5.7000000000000384E-3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11"/>
      <c r="H48" s="10"/>
      <c r="I48" s="10">
        <f t="shared" si="8"/>
        <v>9206</v>
      </c>
      <c r="J48" s="10">
        <f t="shared" si="6"/>
        <v>101546696012.84642</v>
      </c>
      <c r="K48" s="11">
        <f t="shared" si="7"/>
        <v>5.6999999999998163E-3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11"/>
      <c r="H49" s="10"/>
      <c r="I49" s="10">
        <f t="shared" si="8"/>
        <v>9206</v>
      </c>
      <c r="J49" s="10">
        <f t="shared" si="6"/>
        <v>100971160398.57455</v>
      </c>
      <c r="K49" s="11">
        <f t="shared" si="7"/>
        <v>5.7000000000002604E-3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11"/>
      <c r="H50" s="10"/>
      <c r="I50" s="10">
        <f t="shared" si="8"/>
        <v>9206</v>
      </c>
      <c r="J50" s="10">
        <f t="shared" si="6"/>
        <v>100398886744.13298</v>
      </c>
      <c r="K50" s="11">
        <f t="shared" si="7"/>
        <v>5.7000000000000384E-3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11"/>
      <c r="H51" s="10"/>
      <c r="I51" s="10">
        <f t="shared" si="8"/>
        <v>9206</v>
      </c>
      <c r="J51" s="10">
        <f t="shared" si="6"/>
        <v>99829856561.73111</v>
      </c>
      <c r="K51" s="11">
        <f t="shared" si="7"/>
        <v>5.7000000000000384E-3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11"/>
      <c r="H52" s="10"/>
      <c r="I52" s="10">
        <f t="shared" si="8"/>
        <v>9206</v>
      </c>
      <c r="J52" s="10">
        <f t="shared" si="6"/>
        <v>99264051468.361435</v>
      </c>
      <c r="K52" s="11">
        <f t="shared" si="7"/>
        <v>1.110000000000011E-2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11"/>
      <c r="H53" s="10"/>
      <c r="I53" s="10">
        <f t="shared" si="8"/>
        <v>9206</v>
      </c>
      <c r="J53" s="10">
        <f t="shared" si="6"/>
        <v>98174316554.605301</v>
      </c>
      <c r="K53" s="11">
        <f t="shared" si="7"/>
        <v>1.110000000000011E-2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11"/>
      <c r="H54" s="10"/>
      <c r="I54" s="10">
        <f t="shared" si="8"/>
        <v>9206</v>
      </c>
      <c r="J54" s="10">
        <f t="shared" si="6"/>
        <v>97096544906.147049</v>
      </c>
      <c r="K54" s="11">
        <f t="shared" si="7"/>
        <v>1.110000000000011E-2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11"/>
      <c r="H55" s="10"/>
      <c r="I55" s="10">
        <f t="shared" si="8"/>
        <v>9206</v>
      </c>
      <c r="J55" s="10">
        <f t="shared" si="6"/>
        <v>96030605188.554092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11"/>
      <c r="H56" s="10"/>
      <c r="I56" s="10">
        <f t="shared" si="8"/>
        <v>9206</v>
      </c>
      <c r="J56" s="10">
        <f t="shared" si="6"/>
        <v>94976367509.201935</v>
      </c>
      <c r="K56" s="11">
        <f t="shared" si="7"/>
        <v>1.110000000000011E-2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11"/>
      <c r="H57" s="10"/>
      <c r="I57" s="10">
        <f t="shared" si="8"/>
        <v>9206</v>
      </c>
      <c r="J57" s="10">
        <f t="shared" si="6"/>
        <v>93933703401.445877</v>
      </c>
      <c r="K57" s="11">
        <f t="shared" si="7"/>
        <v>1.2000000000000011E-2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11"/>
      <c r="H58" s="10"/>
      <c r="I58" s="10">
        <f t="shared" si="8"/>
        <v>9206</v>
      </c>
      <c r="J58" s="10">
        <f t="shared" si="6"/>
        <v>92819865021.191574</v>
      </c>
      <c r="K58" s="11">
        <f t="shared" si="7"/>
        <v>1.1999999999999789E-2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11"/>
      <c r="H59" s="10"/>
      <c r="I59" s="10">
        <f t="shared" si="8"/>
        <v>9206</v>
      </c>
      <c r="J59" s="10">
        <f t="shared" si="6"/>
        <v>91719234210.66362</v>
      </c>
      <c r="K59" s="11">
        <f t="shared" si="7"/>
        <v>1.2999999999999901E-2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11"/>
      <c r="H60" s="10"/>
      <c r="I60" s="10">
        <f t="shared" si="8"/>
        <v>9206</v>
      </c>
      <c r="J60" s="10">
        <f t="shared" si="6"/>
        <v>90542185795.324402</v>
      </c>
      <c r="K60" s="11">
        <f t="shared" si="7"/>
        <v>1.399999999999979E-2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11"/>
      <c r="H61" s="10"/>
      <c r="I61" s="10">
        <f t="shared" si="8"/>
        <v>9206</v>
      </c>
      <c r="J61" s="10">
        <f t="shared" si="6"/>
        <v>89292096445.093109</v>
      </c>
      <c r="K61" s="11">
        <f t="shared" si="7"/>
        <v>1.4999999999999902E-2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11"/>
      <c r="H62" s="10"/>
      <c r="I62" s="10">
        <f t="shared" si="8"/>
        <v>9206</v>
      </c>
      <c r="J62" s="10">
        <f t="shared" si="6"/>
        <v>87972508812.899628</v>
      </c>
      <c r="K62" s="11">
        <f t="shared" si="7"/>
        <v>1.4999999999999902E-2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11"/>
      <c r="H63" s="10"/>
      <c r="I63" s="10">
        <f t="shared" si="8"/>
        <v>9206</v>
      </c>
      <c r="J63" s="10">
        <f t="shared" si="6"/>
        <v>86672422475.763184</v>
      </c>
      <c r="K63" s="11">
        <f t="shared" si="7"/>
        <v>1.4999999999999902E-2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11"/>
      <c r="H64" s="10"/>
      <c r="I64" s="10">
        <f t="shared" si="8"/>
        <v>9206</v>
      </c>
      <c r="J64" s="10">
        <f t="shared" si="6"/>
        <v>85391549237.205124</v>
      </c>
      <c r="K64" s="11">
        <f t="shared" si="7"/>
        <v>1.4999999999999902E-2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11"/>
      <c r="H65" s="10"/>
      <c r="I65" s="10">
        <f t="shared" si="8"/>
        <v>9206</v>
      </c>
      <c r="J65" s="10">
        <f t="shared" si="6"/>
        <v>84129605159.808014</v>
      </c>
      <c r="K65" s="11">
        <f t="shared" si="7"/>
        <v>1.6000000000000236E-2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11"/>
      <c r="H66" s="10"/>
      <c r="I66" s="10">
        <f t="shared" si="8"/>
        <v>9206</v>
      </c>
      <c r="J66" s="10">
        <f t="shared" ref="J66:J97" si="9">IF(I66="","",I66*C66)</f>
        <v>82804729488</v>
      </c>
      <c r="K66" s="11">
        <f t="shared" ref="K66:K97" si="10">IFERROR(J66/J67-1,"")</f>
        <v>1.6000000000000014E-2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9206</v>
      </c>
      <c r="J67" s="10">
        <f t="shared" si="9"/>
        <v>81500718000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5">
        <v>31745420</v>
      </c>
      <c r="G2" s="11"/>
      <c r="H2" s="10"/>
      <c r="I2" s="10">
        <f>IF(H2&lt;&gt;"",H2,10794)</f>
        <v>10794</v>
      </c>
      <c r="J2" s="10">
        <f t="shared" ref="J2:J33" si="3">IF(I2="","",I2*C2)</f>
        <v>342680368625.03333</v>
      </c>
      <c r="K2" s="11">
        <f t="shared" ref="K2:K33" si="4">IFERROR(J2/J3-1,"")</f>
        <v>1.0999999999999899E-2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9" t="s">
        <v>74</v>
      </c>
      <c r="G3" s="11"/>
      <c r="H3" s="10"/>
      <c r="I3" s="10">
        <f t="shared" ref="I3:I34" si="5">IF(H3&lt;&gt;"",H3,I2/(1+IF(G2="",0,G2)))</f>
        <v>10794</v>
      </c>
      <c r="J3" s="10">
        <f t="shared" si="3"/>
        <v>338951897749.78571</v>
      </c>
      <c r="K3" s="11">
        <f t="shared" si="4"/>
        <v>1.1500000000000066E-2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11"/>
      <c r="H4" s="10"/>
      <c r="I4" s="10">
        <f t="shared" si="5"/>
        <v>10794</v>
      </c>
      <c r="J4" s="10">
        <f t="shared" si="3"/>
        <v>335098267671.56268</v>
      </c>
      <c r="K4" s="11">
        <f t="shared" si="4"/>
        <v>1.1999999999999789E-2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11"/>
      <c r="H5" s="10"/>
      <c r="I5" s="10">
        <f t="shared" si="5"/>
        <v>10794</v>
      </c>
      <c r="J5" s="10">
        <f t="shared" si="3"/>
        <v>331124770426.44537</v>
      </c>
      <c r="K5" s="11">
        <f t="shared" si="4"/>
        <v>1.2600000000000167E-2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11"/>
      <c r="H6" s="10"/>
      <c r="I6" s="10">
        <f t="shared" si="5"/>
        <v>10794</v>
      </c>
      <c r="J6" s="10">
        <f t="shared" si="3"/>
        <v>327004513555.64423</v>
      </c>
      <c r="K6" s="11">
        <f t="shared" si="4"/>
        <v>1.2899999999999912E-2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11"/>
      <c r="H7" s="10"/>
      <c r="I7" s="10">
        <f t="shared" si="5"/>
        <v>10794</v>
      </c>
      <c r="J7" s="10">
        <f t="shared" si="3"/>
        <v>322839879115.06</v>
      </c>
      <c r="K7" s="11">
        <f t="shared" si="4"/>
        <v>1.2799999999999923E-2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11"/>
      <c r="H8" s="10"/>
      <c r="I8" s="10">
        <f t="shared" si="5"/>
        <v>10794</v>
      </c>
      <c r="J8" s="10">
        <f t="shared" si="3"/>
        <v>318759754260.52533</v>
      </c>
      <c r="K8" s="11">
        <f t="shared" si="4"/>
        <v>1.2999999999999901E-2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11"/>
      <c r="H9" s="10"/>
      <c r="I9" s="10">
        <f t="shared" si="5"/>
        <v>10794</v>
      </c>
      <c r="J9" s="10">
        <f t="shared" si="3"/>
        <v>314669056525.69135</v>
      </c>
      <c r="K9" s="11">
        <f t="shared" si="4"/>
        <v>1.3299999999999867E-2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11"/>
      <c r="H10" s="10"/>
      <c r="I10" s="10">
        <f t="shared" si="5"/>
        <v>10794</v>
      </c>
      <c r="J10" s="10">
        <f t="shared" si="3"/>
        <v>310538889298.02759</v>
      </c>
      <c r="K10" s="11">
        <f t="shared" si="4"/>
        <v>1.3600000000000279E-2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11"/>
      <c r="H11" s="10"/>
      <c r="I11" s="10">
        <f t="shared" si="5"/>
        <v>10794</v>
      </c>
      <c r="J11" s="10">
        <f t="shared" si="3"/>
        <v>306372227010.68225</v>
      </c>
      <c r="K11" s="11">
        <f t="shared" si="4"/>
        <v>1.3499999999999845E-2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11"/>
      <c r="H12" s="10"/>
      <c r="I12" s="10">
        <f t="shared" si="5"/>
        <v>10794</v>
      </c>
      <c r="J12" s="10">
        <f t="shared" si="3"/>
        <v>302291294534.46698</v>
      </c>
      <c r="K12" s="11">
        <f t="shared" si="4"/>
        <v>1.3400000000000079E-2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11"/>
      <c r="H13" s="10"/>
      <c r="I13" s="10">
        <f t="shared" si="5"/>
        <v>10794</v>
      </c>
      <c r="J13" s="10">
        <f t="shared" si="3"/>
        <v>298294152885.79724</v>
      </c>
      <c r="K13" s="11">
        <f t="shared" si="4"/>
        <v>1.2699999999999934E-2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11"/>
      <c r="H14" s="10"/>
      <c r="I14" s="10">
        <f t="shared" si="5"/>
        <v>10794</v>
      </c>
      <c r="J14" s="10">
        <f t="shared" si="3"/>
        <v>294553325650.04175</v>
      </c>
      <c r="K14" s="11">
        <f t="shared" si="4"/>
        <v>1.3700000000000045E-2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11"/>
      <c r="H15" s="10"/>
      <c r="I15" s="10">
        <f t="shared" si="5"/>
        <v>10794</v>
      </c>
      <c r="J15" s="10">
        <f t="shared" si="3"/>
        <v>290572482637.90247</v>
      </c>
      <c r="K15" s="11">
        <f t="shared" si="4"/>
        <v>1.3900000000000023E-2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11"/>
      <c r="H16" s="10"/>
      <c r="I16" s="10">
        <f t="shared" si="5"/>
        <v>10794</v>
      </c>
      <c r="J16" s="10">
        <f t="shared" si="3"/>
        <v>286588896970.01917</v>
      </c>
      <c r="K16" s="11">
        <f t="shared" si="4"/>
        <v>1.4199999999999768E-2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11"/>
      <c r="H17" s="10"/>
      <c r="I17" s="10">
        <f t="shared" si="5"/>
        <v>10794</v>
      </c>
      <c r="J17" s="10">
        <f t="shared" si="3"/>
        <v>282576313320.86298</v>
      </c>
      <c r="K17" s="11">
        <f t="shared" si="4"/>
        <v>1.4499999999999957E-2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11"/>
      <c r="H18" s="10"/>
      <c r="I18" s="10">
        <f t="shared" si="5"/>
        <v>10794</v>
      </c>
      <c r="J18" s="10">
        <f t="shared" si="3"/>
        <v>278537519291.14142</v>
      </c>
      <c r="K18" s="11">
        <f t="shared" si="4"/>
        <v>1.4799999999999924E-2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11"/>
      <c r="H19" s="10"/>
      <c r="I19" s="10">
        <f t="shared" si="5"/>
        <v>10794</v>
      </c>
      <c r="J19" s="10">
        <f t="shared" si="3"/>
        <v>274475285072.07471</v>
      </c>
      <c r="K19" s="11">
        <f t="shared" si="4"/>
        <v>1.540000000000008E-2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11"/>
      <c r="H20" s="10"/>
      <c r="I20" s="10">
        <f t="shared" si="5"/>
        <v>10794</v>
      </c>
      <c r="J20" s="10">
        <f t="shared" si="3"/>
        <v>270312472988.05859</v>
      </c>
      <c r="K20" s="11">
        <f t="shared" si="4"/>
        <v>1.6000000000000014E-2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11"/>
      <c r="H21" s="10"/>
      <c r="I21" s="10">
        <f t="shared" si="5"/>
        <v>10794</v>
      </c>
      <c r="J21" s="10">
        <f t="shared" si="3"/>
        <v>266055583649.66394</v>
      </c>
      <c r="K21" s="11">
        <f t="shared" si="4"/>
        <v>1.6099999999999781E-2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11"/>
      <c r="H22" s="10"/>
      <c r="I22" s="10">
        <f t="shared" si="5"/>
        <v>10794</v>
      </c>
      <c r="J22" s="10">
        <f t="shared" si="3"/>
        <v>261839960289.01089</v>
      </c>
      <c r="K22" s="11">
        <f t="shared" si="4"/>
        <v>1.6299999999999981E-2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11"/>
      <c r="H23" s="10"/>
      <c r="I23" s="10">
        <f t="shared" si="5"/>
        <v>10794</v>
      </c>
      <c r="J23" s="10">
        <f t="shared" si="3"/>
        <v>257640421419.86707</v>
      </c>
      <c r="K23" s="11">
        <f t="shared" si="4"/>
        <v>1.639999999999997E-2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11"/>
      <c r="H24" s="10"/>
      <c r="I24" s="10">
        <f t="shared" si="5"/>
        <v>10794</v>
      </c>
      <c r="J24" s="10">
        <f t="shared" si="3"/>
        <v>253483295375.70551</v>
      </c>
      <c r="K24" s="11">
        <f t="shared" si="4"/>
        <v>1.6599999999999948E-2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11"/>
      <c r="H25" s="10"/>
      <c r="I25" s="10">
        <f t="shared" si="5"/>
        <v>10794</v>
      </c>
      <c r="J25" s="10">
        <f t="shared" si="3"/>
        <v>249344181955.24841</v>
      </c>
      <c r="K25" s="11">
        <f t="shared" si="4"/>
        <v>1.6799999999999926E-2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11"/>
      <c r="H26" s="10"/>
      <c r="I26" s="10">
        <f t="shared" si="5"/>
        <v>10794</v>
      </c>
      <c r="J26" s="10">
        <f t="shared" si="3"/>
        <v>245224411836.39697</v>
      </c>
      <c r="K26" s="11">
        <f t="shared" si="4"/>
        <v>1.7400000000000082E-2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11"/>
      <c r="H27" s="10"/>
      <c r="I27" s="10">
        <f t="shared" si="5"/>
        <v>10794</v>
      </c>
      <c r="J27" s="10">
        <f t="shared" si="3"/>
        <v>241030481459.01019</v>
      </c>
      <c r="K27" s="11">
        <f t="shared" si="4"/>
        <v>1.7400000000000082E-2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11"/>
      <c r="H28" s="10"/>
      <c r="I28" s="10">
        <f t="shared" si="5"/>
        <v>10794</v>
      </c>
      <c r="J28" s="10">
        <f t="shared" si="3"/>
        <v>236908277431.69861</v>
      </c>
      <c r="K28" s="11">
        <f t="shared" si="4"/>
        <v>1.8000000000000016E-2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11"/>
      <c r="H29" s="10"/>
      <c r="I29" s="10">
        <f t="shared" si="5"/>
        <v>10794</v>
      </c>
      <c r="J29" s="10">
        <f t="shared" si="3"/>
        <v>232719329500.68625</v>
      </c>
      <c r="K29" s="11">
        <f t="shared" si="4"/>
        <v>1.8499999999999961E-2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11"/>
      <c r="H30" s="10"/>
      <c r="I30" s="10">
        <f t="shared" si="5"/>
        <v>10794</v>
      </c>
      <c r="J30" s="10">
        <f t="shared" si="3"/>
        <v>228492223368.37137</v>
      </c>
      <c r="K30" s="11">
        <f t="shared" si="4"/>
        <v>1.8899999999999917E-2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11"/>
      <c r="H31" s="10"/>
      <c r="I31" s="10">
        <f t="shared" si="5"/>
        <v>10794</v>
      </c>
      <c r="J31" s="10">
        <f t="shared" si="3"/>
        <v>224253826055.91461</v>
      </c>
      <c r="K31" s="11">
        <f t="shared" si="4"/>
        <v>1.9299999999999873E-2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11"/>
      <c r="H32" s="10"/>
      <c r="I32" s="10">
        <f t="shared" si="5"/>
        <v>10794</v>
      </c>
      <c r="J32" s="10">
        <f t="shared" si="3"/>
        <v>220007677872.96637</v>
      </c>
      <c r="K32" s="11">
        <f t="shared" si="4"/>
        <v>2.0199999999999996E-2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11"/>
      <c r="H33" s="10"/>
      <c r="I33" s="10">
        <f t="shared" si="5"/>
        <v>10794</v>
      </c>
      <c r="J33" s="10">
        <f t="shared" si="3"/>
        <v>215651517225.02094</v>
      </c>
      <c r="K33" s="11">
        <f t="shared" si="4"/>
        <v>2.1500000000000075E-2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11"/>
      <c r="H34" s="10"/>
      <c r="I34" s="10">
        <f t="shared" si="5"/>
        <v>10794</v>
      </c>
      <c r="J34" s="10">
        <f t="shared" ref="J34:J65" si="6">IF(I34="","",I34*C34)</f>
        <v>211112596402.36996</v>
      </c>
      <c r="K34" s="11">
        <f t="shared" ref="K34:K65" si="7">IFERROR(J34/J35-1,"")</f>
        <v>2.2099999999999786E-2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11"/>
      <c r="H35" s="10"/>
      <c r="I35" s="10">
        <f t="shared" ref="I35:I66" si="8">IF(H35&lt;&gt;"",H35,I34/(1+IF(G34="",0,G34)))</f>
        <v>10794</v>
      </c>
      <c r="J35" s="10">
        <f t="shared" si="6"/>
        <v>206547888075.89276</v>
      </c>
      <c r="K35" s="11">
        <f t="shared" si="7"/>
        <v>2.2699999999999942E-2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11"/>
      <c r="H36" s="10"/>
      <c r="I36" s="10">
        <f t="shared" si="8"/>
        <v>10794</v>
      </c>
      <c r="J36" s="10">
        <f t="shared" si="6"/>
        <v>201963320696.09149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11"/>
      <c r="H37" s="10"/>
      <c r="I37" s="10">
        <f t="shared" si="8"/>
        <v>10794</v>
      </c>
      <c r="J37" s="10">
        <f t="shared" si="6"/>
        <v>197441901159.53809</v>
      </c>
      <c r="K37" s="11">
        <f t="shared" si="7"/>
        <v>2.3400000000000087E-2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11"/>
      <c r="H38" s="10"/>
      <c r="I38" s="10">
        <f t="shared" si="8"/>
        <v>10794</v>
      </c>
      <c r="J38" s="10">
        <f t="shared" si="6"/>
        <v>192927399999.54865</v>
      </c>
      <c r="K38" s="11">
        <f t="shared" si="7"/>
        <v>2.3700000000000054E-2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11"/>
      <c r="H39" s="10"/>
      <c r="I39" s="10">
        <f t="shared" si="8"/>
        <v>10794</v>
      </c>
      <c r="J39" s="10">
        <f t="shared" si="6"/>
        <v>188460877209.67923</v>
      </c>
      <c r="K39" s="11">
        <f t="shared" si="7"/>
        <v>2.3900000000000032E-2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11"/>
      <c r="H40" s="10"/>
      <c r="I40" s="10">
        <f t="shared" si="8"/>
        <v>10794</v>
      </c>
      <c r="J40" s="10">
        <f t="shared" si="6"/>
        <v>184061800185.25171</v>
      </c>
      <c r="K40" s="11">
        <f t="shared" si="7"/>
        <v>2.4000000000000021E-2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11"/>
      <c r="H41" s="10"/>
      <c r="I41" s="10">
        <f t="shared" si="8"/>
        <v>10794</v>
      </c>
      <c r="J41" s="10">
        <f t="shared" si="6"/>
        <v>179747851743.40988</v>
      </c>
      <c r="K41" s="11">
        <f t="shared" si="7"/>
        <v>2.4299999999999988E-2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11"/>
      <c r="H42" s="10"/>
      <c r="I42" s="10">
        <f t="shared" si="8"/>
        <v>10794</v>
      </c>
      <c r="J42" s="10">
        <f t="shared" si="6"/>
        <v>175483600257.16089</v>
      </c>
      <c r="K42" s="11">
        <f t="shared" si="7"/>
        <v>2.4699999999999944E-2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11"/>
      <c r="H43" s="10"/>
      <c r="I43" s="10">
        <f t="shared" si="8"/>
        <v>10794</v>
      </c>
      <c r="J43" s="10">
        <f t="shared" si="6"/>
        <v>171253635461.26758</v>
      </c>
      <c r="K43" s="11">
        <f t="shared" si="7"/>
        <v>2.4899999999999922E-2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11"/>
      <c r="H44" s="10"/>
      <c r="I44" s="10">
        <f t="shared" si="8"/>
        <v>10794</v>
      </c>
      <c r="J44" s="10">
        <f t="shared" si="6"/>
        <v>167093019281.16653</v>
      </c>
      <c r="K44" s="11">
        <f t="shared" si="7"/>
        <v>2.5400000000000089E-2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11"/>
      <c r="H45" s="10"/>
      <c r="I45" s="10">
        <f t="shared" si="8"/>
        <v>10794</v>
      </c>
      <c r="J45" s="10">
        <f t="shared" si="6"/>
        <v>162953987986.31415</v>
      </c>
      <c r="K45" s="11">
        <f t="shared" si="7"/>
        <v>2.5600000000000067E-2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11"/>
      <c r="H46" s="10"/>
      <c r="I46" s="10">
        <f t="shared" si="8"/>
        <v>10794</v>
      </c>
      <c r="J46" s="10">
        <f t="shared" si="6"/>
        <v>158886493746.40613</v>
      </c>
      <c r="K46" s="11">
        <f t="shared" si="7"/>
        <v>2.5800000000000045E-2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11"/>
      <c r="H47" s="10"/>
      <c r="I47" s="10">
        <f t="shared" si="8"/>
        <v>10794</v>
      </c>
      <c r="J47" s="10">
        <f t="shared" si="6"/>
        <v>154890323402.61856</v>
      </c>
      <c r="K47" s="11">
        <f t="shared" si="7"/>
        <v>2.6199999999999779E-2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11"/>
      <c r="H48" s="10"/>
      <c r="I48" s="10">
        <f t="shared" si="8"/>
        <v>10794</v>
      </c>
      <c r="J48" s="10">
        <f t="shared" si="6"/>
        <v>150935805303.66263</v>
      </c>
      <c r="K48" s="11">
        <f t="shared" si="7"/>
        <v>2.6499999999999968E-2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11"/>
      <c r="H49" s="10"/>
      <c r="I49" s="10">
        <f t="shared" si="8"/>
        <v>10794</v>
      </c>
      <c r="J49" s="10">
        <f t="shared" si="6"/>
        <v>147039264786.8121</v>
      </c>
      <c r="K49" s="11">
        <f t="shared" si="7"/>
        <v>2.6699999999999946E-2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11"/>
      <c r="H50" s="10"/>
      <c r="I50" s="10">
        <f t="shared" si="8"/>
        <v>10794</v>
      </c>
      <c r="J50" s="10">
        <f t="shared" si="6"/>
        <v>143215413252.95813</v>
      </c>
      <c r="K50" s="11">
        <f t="shared" si="7"/>
        <v>2.6999999999999913E-2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11"/>
      <c r="H51" s="10"/>
      <c r="I51" s="10">
        <f t="shared" si="8"/>
        <v>10794</v>
      </c>
      <c r="J51" s="10">
        <f t="shared" si="6"/>
        <v>139450256331.99429</v>
      </c>
      <c r="K51" s="11">
        <f t="shared" si="7"/>
        <v>2.5900000000000034E-2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11"/>
      <c r="H52" s="10"/>
      <c r="I52" s="10">
        <f t="shared" si="8"/>
        <v>10794</v>
      </c>
      <c r="J52" s="10">
        <f t="shared" si="6"/>
        <v>135929677680.08022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11"/>
      <c r="H53" s="10"/>
      <c r="I53" s="10">
        <f t="shared" si="8"/>
        <v>10794</v>
      </c>
      <c r="J53" s="10">
        <f t="shared" si="6"/>
        <v>132964567817.74452</v>
      </c>
      <c r="K53" s="11">
        <f t="shared" si="7"/>
        <v>2.7300000000000102E-2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11"/>
      <c r="H54" s="10"/>
      <c r="I54" s="10">
        <f t="shared" si="8"/>
        <v>10794</v>
      </c>
      <c r="J54" s="10">
        <f t="shared" si="6"/>
        <v>129431098819.95961</v>
      </c>
      <c r="K54" s="11">
        <f t="shared" si="7"/>
        <v>2.7099999999999902E-2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11"/>
      <c r="H55" s="10"/>
      <c r="I55" s="10">
        <f t="shared" si="8"/>
        <v>10794</v>
      </c>
      <c r="J55" s="10">
        <f t="shared" si="6"/>
        <v>126016063499.13312</v>
      </c>
      <c r="K55" s="11">
        <f t="shared" si="7"/>
        <v>2.6999999999999913E-2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11"/>
      <c r="H56" s="10"/>
      <c r="I56" s="10">
        <f t="shared" si="8"/>
        <v>10794</v>
      </c>
      <c r="J56" s="10">
        <f t="shared" si="6"/>
        <v>122703080330.21727</v>
      </c>
      <c r="K56" s="11">
        <f t="shared" si="7"/>
        <v>2.6699999999999946E-2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11"/>
      <c r="H57" s="10"/>
      <c r="I57" s="10">
        <f t="shared" si="8"/>
        <v>10794</v>
      </c>
      <c r="J57" s="10">
        <f t="shared" si="6"/>
        <v>119512107071.41061</v>
      </c>
      <c r="K57" s="11">
        <f t="shared" si="7"/>
        <v>2.6399999999999979E-2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11"/>
      <c r="H58" s="10"/>
      <c r="I58" s="10">
        <f t="shared" si="8"/>
        <v>10794</v>
      </c>
      <c r="J58" s="10">
        <f t="shared" si="6"/>
        <v>116438140170.8989</v>
      </c>
      <c r="K58" s="11">
        <f t="shared" si="7"/>
        <v>2.6000000000000023E-2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11"/>
      <c r="H59" s="10"/>
      <c r="I59" s="10">
        <f t="shared" si="8"/>
        <v>10794</v>
      </c>
      <c r="J59" s="10">
        <f t="shared" si="6"/>
        <v>113487466053.50769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11"/>
      <c r="H60" s="10"/>
      <c r="I60" s="10">
        <f t="shared" si="8"/>
        <v>10794</v>
      </c>
      <c r="J60" s="10">
        <f t="shared" si="6"/>
        <v>110676288329.92752</v>
      </c>
      <c r="K60" s="11">
        <f t="shared" si="7"/>
        <v>2.4899999999999922E-2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11"/>
      <c r="H61" s="10"/>
      <c r="I61" s="10">
        <f t="shared" si="8"/>
        <v>10794</v>
      </c>
      <c r="J61" s="10">
        <f t="shared" si="6"/>
        <v>107987402019.63853</v>
      </c>
      <c r="K61" s="11">
        <f t="shared" si="7"/>
        <v>2.4199999999999999E-2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11"/>
      <c r="H62" s="10"/>
      <c r="I62" s="10">
        <f t="shared" si="8"/>
        <v>10794</v>
      </c>
      <c r="J62" s="10">
        <f t="shared" si="6"/>
        <v>105435854344.5016</v>
      </c>
      <c r="K62" s="11">
        <f t="shared" si="7"/>
        <v>2.3400000000000087E-2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11"/>
      <c r="H63" s="10"/>
      <c r="I63" s="10">
        <f t="shared" si="8"/>
        <v>10794</v>
      </c>
      <c r="J63" s="10">
        <f t="shared" si="6"/>
        <v>103025067758.94234</v>
      </c>
      <c r="K63" s="11">
        <f t="shared" si="7"/>
        <v>2.2700000000000164E-2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11"/>
      <c r="H64" s="10"/>
      <c r="I64" s="10">
        <f t="shared" si="8"/>
        <v>10794</v>
      </c>
      <c r="J64" s="10">
        <f t="shared" si="6"/>
        <v>100738308163.62798</v>
      </c>
      <c r="K64" s="11">
        <f t="shared" si="7"/>
        <v>2.1800000000000042E-2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11"/>
      <c r="H65" s="10"/>
      <c r="I65" s="10">
        <f t="shared" si="8"/>
        <v>10794</v>
      </c>
      <c r="J65" s="10">
        <f t="shared" si="6"/>
        <v>98589066513.630829</v>
      </c>
      <c r="K65" s="11">
        <f t="shared" si="7"/>
        <v>2.0899999999999919E-2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11"/>
      <c r="H66" s="10"/>
      <c r="I66" s="10">
        <f t="shared" si="8"/>
        <v>10794</v>
      </c>
      <c r="J66" s="10">
        <f t="shared" ref="J66:J97" si="9">IF(I66="","",I66*C66)</f>
        <v>96570738087.600006</v>
      </c>
      <c r="K66" s="11">
        <f t="shared" ref="K66:K97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10794</v>
      </c>
      <c r="J67" s="10">
        <f t="shared" si="9"/>
        <v>94695762000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7">
        <v>1E-4</v>
      </c>
      <c r="E2" s="10">
        <f t="shared" ref="E2:E66" si="2">SUM(C2-C3)</f>
        <v>461.98421718273312</v>
      </c>
      <c r="F2" s="10">
        <v>4620320</v>
      </c>
      <c r="G2" s="11"/>
      <c r="H2" s="10"/>
      <c r="I2" s="10">
        <f>IF(H2&lt;&gt;"",H2,12857)</f>
        <v>12857</v>
      </c>
      <c r="J2" s="10">
        <f t="shared" ref="J2:J33" si="3">IF(I2="","",I2*C2)</f>
        <v>59403250534.265045</v>
      </c>
      <c r="K2" s="11">
        <f t="shared" ref="K2:K33" si="4">IFERROR(J2/J3-1,"")</f>
        <v>9.9999999999988987E-5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7">
        <v>2.0000000000000001E-4</v>
      </c>
      <c r="E3" s="10">
        <f t="shared" si="2"/>
        <v>923.78367763012648</v>
      </c>
      <c r="F3" s="10"/>
      <c r="G3" s="11"/>
      <c r="H3" s="10"/>
      <c r="I3" s="10">
        <f t="shared" ref="I3:I34" si="5">IF(H3&lt;&gt;"",H3,I2/(1+IF(G2="",0,G2)))</f>
        <v>12857</v>
      </c>
      <c r="J3" s="10">
        <f t="shared" si="3"/>
        <v>59397310803.184731</v>
      </c>
      <c r="K3" s="11">
        <f t="shared" si="4"/>
        <v>2.0000000000020002E-4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7">
        <v>5.0000000000000001E-4</v>
      </c>
      <c r="E4" s="10">
        <f t="shared" si="2"/>
        <v>2308.3050415534526</v>
      </c>
      <c r="F4" s="10"/>
      <c r="G4" s="11"/>
      <c r="H4" s="10"/>
      <c r="I4" s="10">
        <f t="shared" si="5"/>
        <v>12857</v>
      </c>
      <c r="J4" s="10">
        <f t="shared" si="3"/>
        <v>59385433716.441437</v>
      </c>
      <c r="K4" s="11">
        <f t="shared" si="4"/>
        <v>4.9999999999972289E-4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7">
        <v>1E-3</v>
      </c>
      <c r="E5" s="10">
        <f t="shared" si="2"/>
        <v>4611.998085022904</v>
      </c>
      <c r="F5" s="10"/>
      <c r="G5" s="11"/>
      <c r="H5" s="10"/>
      <c r="I5" s="10">
        <f t="shared" si="5"/>
        <v>12857</v>
      </c>
      <c r="J5" s="10">
        <f t="shared" si="3"/>
        <v>59355755838.522186</v>
      </c>
      <c r="K5" s="11">
        <f t="shared" si="4"/>
        <v>9.9999999999988987E-4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7">
        <v>3.3E-3</v>
      </c>
      <c r="E6" s="10">
        <f t="shared" si="2"/>
        <v>15169.534217658453</v>
      </c>
      <c r="F6" s="10"/>
      <c r="G6" s="11"/>
      <c r="H6" s="10"/>
      <c r="I6" s="10">
        <f t="shared" si="5"/>
        <v>12857</v>
      </c>
      <c r="J6" s="10">
        <f t="shared" si="3"/>
        <v>59296459379.143044</v>
      </c>
      <c r="K6" s="11">
        <f t="shared" si="4"/>
        <v>3.3000000000000806E-3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7">
        <v>7.1999999999999998E-3</v>
      </c>
      <c r="E7" s="10">
        <f t="shared" si="2"/>
        <v>32860.569465647452</v>
      </c>
      <c r="F7" s="10"/>
      <c r="G7" s="11"/>
      <c r="H7" s="10"/>
      <c r="I7" s="10">
        <f t="shared" si="5"/>
        <v>12857</v>
      </c>
      <c r="J7" s="10">
        <f t="shared" si="3"/>
        <v>59101424677.706612</v>
      </c>
      <c r="K7" s="11">
        <f t="shared" si="4"/>
        <v>7.2000000000000952E-3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7">
        <v>9.4999999999999998E-3</v>
      </c>
      <c r="E8" s="10">
        <f t="shared" si="2"/>
        <v>42949.67392048426</v>
      </c>
      <c r="F8" s="10"/>
      <c r="G8" s="11"/>
      <c r="H8" s="10"/>
      <c r="I8" s="10">
        <f t="shared" si="5"/>
        <v>12857</v>
      </c>
      <c r="J8" s="10">
        <f t="shared" si="3"/>
        <v>58678936336.086784</v>
      </c>
      <c r="K8" s="11">
        <f t="shared" si="4"/>
        <v>9.5000000000000639E-3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7">
        <v>1.04E-2</v>
      </c>
      <c r="E9" s="10">
        <f t="shared" si="2"/>
        <v>46534.63024263829</v>
      </c>
      <c r="F9" s="10"/>
      <c r="G9" s="11"/>
      <c r="H9" s="10"/>
      <c r="I9" s="10">
        <f t="shared" si="5"/>
        <v>12857</v>
      </c>
      <c r="J9" s="10">
        <f t="shared" si="3"/>
        <v>58126732378.491112</v>
      </c>
      <c r="K9" s="11">
        <f t="shared" si="4"/>
        <v>1.0399999999999965E-2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7">
        <v>1.11E-2</v>
      </c>
      <c r="E10" s="10">
        <f t="shared" si="2"/>
        <v>49121.519945270382</v>
      </c>
      <c r="F10" s="10"/>
      <c r="G10" s="11"/>
      <c r="H10" s="10"/>
      <c r="I10" s="10">
        <f t="shared" si="5"/>
        <v>12857</v>
      </c>
      <c r="J10" s="10">
        <f t="shared" si="3"/>
        <v>57528436637.461517</v>
      </c>
      <c r="K10" s="11">
        <f t="shared" si="4"/>
        <v>1.1100000000000332E-2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7">
        <v>1.1599999999999999E-2</v>
      </c>
      <c r="E11" s="10">
        <f t="shared" si="2"/>
        <v>50745.552613568492</v>
      </c>
      <c r="F11" s="10"/>
      <c r="G11" s="11"/>
      <c r="H11" s="10"/>
      <c r="I11" s="10">
        <f t="shared" si="5"/>
        <v>12857</v>
      </c>
      <c r="J11" s="10">
        <f t="shared" si="3"/>
        <v>56896881255.525169</v>
      </c>
      <c r="K11" s="11">
        <f t="shared" si="4"/>
        <v>1.1600000000000055E-2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7">
        <v>1.2E-2</v>
      </c>
      <c r="E12" s="10">
        <f t="shared" si="2"/>
        <v>51872.924165429547</v>
      </c>
      <c r="F12" s="10"/>
      <c r="G12" s="11"/>
      <c r="H12" s="10"/>
      <c r="I12" s="10">
        <f t="shared" si="5"/>
        <v>12857</v>
      </c>
      <c r="J12" s="10">
        <f t="shared" si="3"/>
        <v>56244445685.572525</v>
      </c>
      <c r="K12" s="11">
        <f t="shared" si="4"/>
        <v>1.2000000000000011E-2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7">
        <v>1.26E-2</v>
      </c>
      <c r="E13" s="10">
        <f t="shared" si="2"/>
        <v>53788.83110181801</v>
      </c>
      <c r="F13" s="10"/>
      <c r="G13" s="11"/>
      <c r="H13" s="10"/>
      <c r="I13" s="10">
        <f t="shared" si="5"/>
        <v>12857</v>
      </c>
      <c r="J13" s="10">
        <f t="shared" si="3"/>
        <v>55577515499.577599</v>
      </c>
      <c r="K13" s="11">
        <f t="shared" si="4"/>
        <v>1.2599999999999945E-2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7">
        <v>1.3599999999999999E-2</v>
      </c>
      <c r="E14" s="10">
        <f t="shared" si="2"/>
        <v>57278.794348035939</v>
      </c>
      <c r="F14" s="10"/>
      <c r="G14" s="11"/>
      <c r="H14" s="10"/>
      <c r="I14" s="10">
        <f t="shared" si="5"/>
        <v>12857</v>
      </c>
      <c r="J14" s="10">
        <f t="shared" si="3"/>
        <v>54885952498.101524</v>
      </c>
      <c r="K14" s="11">
        <f t="shared" si="4"/>
        <v>1.3600000000000056E-2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7">
        <v>1.47E-2</v>
      </c>
      <c r="E15" s="10">
        <f t="shared" si="2"/>
        <v>61014.721601003315</v>
      </c>
      <c r="F15" s="10"/>
      <c r="G15" s="11"/>
      <c r="H15" s="10"/>
      <c r="I15" s="10">
        <f t="shared" si="5"/>
        <v>12857</v>
      </c>
      <c r="J15" s="10">
        <f t="shared" si="3"/>
        <v>54149519039.168823</v>
      </c>
      <c r="K15" s="11">
        <f t="shared" si="4"/>
        <v>1.4699999999999935E-2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7">
        <v>1.54E-2</v>
      </c>
      <c r="E16" s="10">
        <f t="shared" si="2"/>
        <v>62950.743090787437</v>
      </c>
      <c r="F16" s="10"/>
      <c r="G16" s="11"/>
      <c r="H16" s="10"/>
      <c r="I16" s="10">
        <f t="shared" si="5"/>
        <v>12857</v>
      </c>
      <c r="J16" s="10">
        <f t="shared" si="3"/>
        <v>53365052763.544724</v>
      </c>
      <c r="K16" s="11">
        <f t="shared" si="4"/>
        <v>1.540000000000008E-2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7">
        <v>1.52E-2</v>
      </c>
      <c r="E17" s="10">
        <f t="shared" si="2"/>
        <v>61202.916639800183</v>
      </c>
      <c r="F17" s="10"/>
      <c r="G17" s="11"/>
      <c r="H17" s="10"/>
      <c r="I17" s="10">
        <f t="shared" si="5"/>
        <v>12857</v>
      </c>
      <c r="J17" s="10">
        <f t="shared" si="3"/>
        <v>52555695059.626472</v>
      </c>
      <c r="K17" s="11">
        <f t="shared" si="4"/>
        <v>1.5200000000000102E-2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7">
        <v>1.5299999999999999E-2</v>
      </c>
      <c r="E18" s="10">
        <f t="shared" si="2"/>
        <v>60677.206153025851</v>
      </c>
      <c r="F18" s="10"/>
      <c r="G18" s="11"/>
      <c r="H18" s="10"/>
      <c r="I18" s="10">
        <f t="shared" si="5"/>
        <v>12857</v>
      </c>
      <c r="J18" s="10">
        <f t="shared" si="3"/>
        <v>51768809160.388557</v>
      </c>
      <c r="K18" s="11">
        <f t="shared" si="4"/>
        <v>1.5300000000000091E-2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7">
        <v>1.61E-2</v>
      </c>
      <c r="E19" s="10">
        <f t="shared" si="2"/>
        <v>62838.175895128399</v>
      </c>
      <c r="F19" s="10"/>
      <c r="G19" s="11"/>
      <c r="H19" s="10"/>
      <c r="I19" s="10">
        <f t="shared" si="5"/>
        <v>12857</v>
      </c>
      <c r="J19" s="10">
        <f t="shared" si="3"/>
        <v>50988682320.879105</v>
      </c>
      <c r="K19" s="11">
        <f t="shared" si="4"/>
        <v>1.6100000000000003E-2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7">
        <v>1.7000000000000001E-2</v>
      </c>
      <c r="E20" s="10">
        <f t="shared" si="2"/>
        <v>65241.759053676389</v>
      </c>
      <c r="F20" s="10"/>
      <c r="G20" s="11"/>
      <c r="H20" s="10"/>
      <c r="I20" s="10">
        <f t="shared" si="5"/>
        <v>12857</v>
      </c>
      <c r="J20" s="10">
        <f t="shared" si="3"/>
        <v>50180771893.395439</v>
      </c>
      <c r="K20" s="11">
        <f t="shared" si="4"/>
        <v>1.6999999999999904E-2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7">
        <v>1.7899999999999999E-2</v>
      </c>
      <c r="E21" s="10">
        <f t="shared" si="2"/>
        <v>67487.704620285891</v>
      </c>
      <c r="F21" s="10"/>
      <c r="G21" s="11"/>
      <c r="H21" s="10"/>
      <c r="I21" s="10">
        <f t="shared" si="5"/>
        <v>12857</v>
      </c>
      <c r="J21" s="10">
        <f t="shared" si="3"/>
        <v>49341958597.242325</v>
      </c>
      <c r="K21" s="11">
        <f t="shared" si="4"/>
        <v>1.7900000000000027E-2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7">
        <v>1.9199999999999998E-2</v>
      </c>
      <c r="E22" s="10">
        <f t="shared" si="2"/>
        <v>71025.359396212269</v>
      </c>
      <c r="F22" s="10"/>
      <c r="G22" s="11"/>
      <c r="H22" s="10"/>
      <c r="I22" s="10">
        <f t="shared" si="5"/>
        <v>12857</v>
      </c>
      <c r="J22" s="10">
        <f t="shared" si="3"/>
        <v>48474269178.939308</v>
      </c>
      <c r="K22" s="11">
        <f t="shared" si="4"/>
        <v>1.9200000000000106E-2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7">
        <v>2.06E-2</v>
      </c>
      <c r="E23" s="10">
        <f t="shared" si="2"/>
        <v>74666.168775412254</v>
      </c>
      <c r="F23" s="10"/>
      <c r="G23" s="11"/>
      <c r="H23" s="10"/>
      <c r="I23" s="10">
        <f t="shared" si="5"/>
        <v>12857</v>
      </c>
      <c r="J23" s="10">
        <f t="shared" si="3"/>
        <v>47561096133.182205</v>
      </c>
      <c r="K23" s="11">
        <f t="shared" si="4"/>
        <v>2.0599999999999952E-2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7">
        <v>2.1700000000000001E-2</v>
      </c>
      <c r="E24" s="10">
        <f t="shared" si="2"/>
        <v>76982.673196797259</v>
      </c>
      <c r="F24" s="10"/>
      <c r="G24" s="11"/>
      <c r="H24" s="10"/>
      <c r="I24" s="10">
        <f t="shared" si="5"/>
        <v>12857</v>
      </c>
      <c r="J24" s="10">
        <f t="shared" si="3"/>
        <v>46601113201.236732</v>
      </c>
      <c r="K24" s="11">
        <f t="shared" si="4"/>
        <v>2.1700000000000275E-2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7">
        <v>2.3E-2</v>
      </c>
      <c r="E25" s="10">
        <f t="shared" si="2"/>
        <v>79760.05709809484</v>
      </c>
      <c r="F25" s="10"/>
      <c r="G25" s="11"/>
      <c r="H25" s="10"/>
      <c r="I25" s="10">
        <f t="shared" si="5"/>
        <v>12857</v>
      </c>
      <c r="J25" s="10">
        <f t="shared" si="3"/>
        <v>45611346971.945503</v>
      </c>
      <c r="K25" s="11">
        <f t="shared" si="4"/>
        <v>2.2999999999999687E-2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7">
        <v>2.4400000000000002E-2</v>
      </c>
      <c r="E26" s="10">
        <f t="shared" si="2"/>
        <v>82599.587168460246</v>
      </c>
      <c r="F26" s="10"/>
      <c r="G26" s="11"/>
      <c r="H26" s="10"/>
      <c r="I26" s="10">
        <f t="shared" si="5"/>
        <v>12857</v>
      </c>
      <c r="J26" s="10">
        <f t="shared" si="3"/>
        <v>44585871917.835304</v>
      </c>
      <c r="K26" s="11">
        <f t="shared" si="4"/>
        <v>2.4400000000000199E-2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7">
        <v>2.07E-2</v>
      </c>
      <c r="E27" s="10">
        <f t="shared" si="2"/>
        <v>68653.120342802256</v>
      </c>
      <c r="F27" s="10"/>
      <c r="G27" s="11"/>
      <c r="H27" s="10"/>
      <c r="I27" s="10">
        <f t="shared" si="5"/>
        <v>12857</v>
      </c>
      <c r="J27" s="10">
        <f t="shared" si="3"/>
        <v>43523889025.610405</v>
      </c>
      <c r="K27" s="11">
        <f t="shared" si="4"/>
        <v>2.0699999999999719E-2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7">
        <v>1.5100000000000001E-2</v>
      </c>
      <c r="E28" s="10">
        <f t="shared" si="2"/>
        <v>49335.332002525683</v>
      </c>
      <c r="F28" s="10"/>
      <c r="G28" s="11"/>
      <c r="H28" s="10"/>
      <c r="I28" s="10">
        <f t="shared" si="5"/>
        <v>12857</v>
      </c>
      <c r="J28" s="10">
        <f t="shared" si="3"/>
        <v>42641215857.362999</v>
      </c>
      <c r="K28" s="11">
        <f t="shared" si="4"/>
        <v>1.5099999999999891E-2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7">
        <v>1.41E-2</v>
      </c>
      <c r="E29" s="10">
        <f t="shared" si="2"/>
        <v>45427.562836561818</v>
      </c>
      <c r="F29" s="10"/>
      <c r="G29" s="11"/>
      <c r="H29" s="10"/>
      <c r="I29" s="10">
        <f t="shared" si="5"/>
        <v>12857</v>
      </c>
      <c r="J29" s="10">
        <f t="shared" si="3"/>
        <v>42006911493.806526</v>
      </c>
      <c r="K29" s="11">
        <f t="shared" si="4"/>
        <v>1.4099999999999779E-2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7">
        <v>1.4200000000000001E-2</v>
      </c>
      <c r="E30" s="10">
        <f t="shared" si="2"/>
        <v>45109.193584376946</v>
      </c>
      <c r="F30" s="10"/>
      <c r="G30" s="11"/>
      <c r="H30" s="10"/>
      <c r="I30" s="10">
        <f t="shared" si="5"/>
        <v>12857</v>
      </c>
      <c r="J30" s="10">
        <f t="shared" si="3"/>
        <v>41422849318.416855</v>
      </c>
      <c r="K30" s="11">
        <f t="shared" si="4"/>
        <v>1.419999999999999E-2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7">
        <v>1.4200000000000001E-2</v>
      </c>
      <c r="E31" s="10">
        <f t="shared" si="2"/>
        <v>44477.611501061823</v>
      </c>
      <c r="F31" s="10"/>
      <c r="G31" s="11"/>
      <c r="H31" s="10"/>
      <c r="I31" s="10">
        <f t="shared" si="5"/>
        <v>12857</v>
      </c>
      <c r="J31" s="10">
        <f t="shared" si="3"/>
        <v>40842880416.502518</v>
      </c>
      <c r="K31" s="11">
        <f t="shared" si="4"/>
        <v>1.419999999999999E-2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7">
        <v>1.4200000000000001E-2</v>
      </c>
      <c r="E32" s="10">
        <f t="shared" si="2"/>
        <v>43854.872314200271</v>
      </c>
      <c r="F32" s="10"/>
      <c r="G32" s="11"/>
      <c r="H32" s="10"/>
      <c r="I32" s="10">
        <f t="shared" si="5"/>
        <v>12857</v>
      </c>
      <c r="J32" s="10">
        <f t="shared" si="3"/>
        <v>40271031765.433365</v>
      </c>
      <c r="K32" s="11">
        <f t="shared" si="4"/>
        <v>1.419999999999999E-2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7">
        <v>1.4200000000000001E-2</v>
      </c>
      <c r="E33" s="10">
        <f t="shared" si="2"/>
        <v>43240.852212778758</v>
      </c>
      <c r="F33" s="10"/>
      <c r="G33" s="11"/>
      <c r="H33" s="10"/>
      <c r="I33" s="10">
        <f t="shared" si="5"/>
        <v>12857</v>
      </c>
      <c r="J33" s="10">
        <f t="shared" si="3"/>
        <v>39707189672.089691</v>
      </c>
      <c r="K33" s="11">
        <f t="shared" si="4"/>
        <v>1.419999999999999E-2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7">
        <v>1.44E-2</v>
      </c>
      <c r="E34" s="10">
        <f t="shared" si="2"/>
        <v>43227.403687187005</v>
      </c>
      <c r="F34" s="10"/>
      <c r="G34" s="11"/>
      <c r="H34" s="10"/>
      <c r="I34" s="10">
        <f t="shared" si="5"/>
        <v>12857</v>
      </c>
      <c r="J34" s="10">
        <f t="shared" ref="J34:J65" si="6">IF(I34="","",I34*C34)</f>
        <v>39151242035.189995</v>
      </c>
      <c r="K34" s="11">
        <f t="shared" ref="K34:K65" si="7">IFERROR(J34/J35-1,"")</f>
        <v>1.4399999999999746E-2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7">
        <v>1.4800000000000001E-2</v>
      </c>
      <c r="E35" s="10">
        <f t="shared" si="2"/>
        <v>43780.217679069843</v>
      </c>
      <c r="F35" s="10"/>
      <c r="G35" s="11"/>
      <c r="H35" s="10"/>
      <c r="I35" s="10">
        <f t="shared" ref="I35:I66" si="8">IF(H35&lt;&gt;"",H35,I34/(1+IF(G34="",0,G34)))</f>
        <v>12857</v>
      </c>
      <c r="J35" s="10">
        <f t="shared" si="6"/>
        <v>38595467305.983833</v>
      </c>
      <c r="K35" s="11">
        <f t="shared" si="7"/>
        <v>1.4799999999999924E-2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7">
        <v>1.49E-2</v>
      </c>
      <c r="E36" s="10">
        <f t="shared" si="2"/>
        <v>43428.938772968017</v>
      </c>
      <c r="F36" s="10"/>
      <c r="G36" s="11"/>
      <c r="H36" s="10"/>
      <c r="I36" s="10">
        <f t="shared" si="8"/>
        <v>12857</v>
      </c>
      <c r="J36" s="10">
        <f t="shared" si="6"/>
        <v>38032585047.284035</v>
      </c>
      <c r="K36" s="11">
        <f t="shared" si="7"/>
        <v>1.4900000000000135E-2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7">
        <v>1.41E-2</v>
      </c>
      <c r="E37" s="10">
        <f t="shared" si="2"/>
        <v>40525.770309696905</v>
      </c>
      <c r="F37" s="10"/>
      <c r="G37" s="11"/>
      <c r="H37" s="10"/>
      <c r="I37" s="10">
        <f t="shared" si="8"/>
        <v>12857</v>
      </c>
      <c r="J37" s="10">
        <f t="shared" si="6"/>
        <v>37474219181.47998</v>
      </c>
      <c r="K37" s="11">
        <f t="shared" si="7"/>
        <v>1.4100000000000001E-2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7">
        <v>1.2E-2</v>
      </c>
      <c r="E38" s="10">
        <f t="shared" si="2"/>
        <v>34081.044747874141</v>
      </c>
      <c r="F38" s="10"/>
      <c r="G38" s="11"/>
      <c r="H38" s="10"/>
      <c r="I38" s="10">
        <f t="shared" si="8"/>
        <v>12857</v>
      </c>
      <c r="J38" s="10">
        <f t="shared" si="6"/>
        <v>36953179352.608208</v>
      </c>
      <c r="K38" s="11">
        <f t="shared" si="7"/>
        <v>1.2000000000000011E-2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7">
        <v>1.0500000000000001E-2</v>
      </c>
      <c r="E39" s="10">
        <f t="shared" si="2"/>
        <v>29511.048148827162</v>
      </c>
      <c r="F39" s="10"/>
      <c r="G39" s="11"/>
      <c r="H39" s="10"/>
      <c r="I39" s="10">
        <f t="shared" si="8"/>
        <v>12857</v>
      </c>
      <c r="J39" s="10">
        <f t="shared" si="6"/>
        <v>36514999360.28479</v>
      </c>
      <c r="K39" s="11">
        <f t="shared" si="7"/>
        <v>1.0499999999999954E-2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7">
        <v>1.06E-2</v>
      </c>
      <c r="E40" s="10">
        <f t="shared" si="2"/>
        <v>29479.621759592555</v>
      </c>
      <c r="F40" s="10"/>
      <c r="G40" s="11"/>
      <c r="H40" s="10"/>
      <c r="I40" s="10">
        <f t="shared" si="8"/>
        <v>12857</v>
      </c>
      <c r="J40" s="10">
        <f t="shared" si="6"/>
        <v>36135575814.235321</v>
      </c>
      <c r="K40" s="11">
        <f t="shared" si="7"/>
        <v>1.0599999999999943E-2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7">
        <v>1.09E-2</v>
      </c>
      <c r="E41" s="10">
        <f t="shared" si="2"/>
        <v>29987.091381261125</v>
      </c>
      <c r="F41" s="10"/>
      <c r="G41" s="11"/>
      <c r="H41" s="10"/>
      <c r="I41" s="10">
        <f t="shared" si="8"/>
        <v>12857</v>
      </c>
      <c r="J41" s="10">
        <f t="shared" si="6"/>
        <v>35756556317.27224</v>
      </c>
      <c r="K41" s="11">
        <f t="shared" si="7"/>
        <v>1.089999999999991E-2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7">
        <v>1.18E-2</v>
      </c>
      <c r="E42" s="10">
        <f t="shared" si="2"/>
        <v>32084.492737884168</v>
      </c>
      <c r="F42" s="10"/>
      <c r="G42" s="11"/>
      <c r="H42" s="10"/>
      <c r="I42" s="10">
        <f t="shared" si="8"/>
        <v>12857</v>
      </c>
      <c r="J42" s="10">
        <f t="shared" si="6"/>
        <v>35371012283.383362</v>
      </c>
      <c r="K42" s="11">
        <f t="shared" si="7"/>
        <v>1.1799999999999811E-2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7">
        <v>1.0800000000000001E-2</v>
      </c>
      <c r="E43" s="10">
        <f t="shared" si="2"/>
        <v>29051.709467341658</v>
      </c>
      <c r="F43" s="10"/>
      <c r="G43" s="11"/>
      <c r="H43" s="10"/>
      <c r="I43" s="10">
        <f t="shared" si="8"/>
        <v>12857</v>
      </c>
      <c r="J43" s="10">
        <f t="shared" si="6"/>
        <v>34958501960.252388</v>
      </c>
      <c r="K43" s="11">
        <f t="shared" si="7"/>
        <v>1.0799999999999921E-2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7">
        <v>8.9999999999999993E-3</v>
      </c>
      <c r="E44" s="10">
        <f t="shared" si="2"/>
        <v>23993.813567345031</v>
      </c>
      <c r="F44" s="10"/>
      <c r="G44" s="11"/>
      <c r="H44" s="10"/>
      <c r="I44" s="10">
        <f t="shared" si="8"/>
        <v>12857</v>
      </c>
      <c r="J44" s="10">
        <f t="shared" si="6"/>
        <v>34584984131.630775</v>
      </c>
      <c r="K44" s="11">
        <f t="shared" si="7"/>
        <v>8.999999999999897E-3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7">
        <v>8.3999999999999995E-3</v>
      </c>
      <c r="E45" s="10">
        <f t="shared" si="2"/>
        <v>22207.681471825577</v>
      </c>
      <c r="F45" s="10"/>
      <c r="G45" s="11"/>
      <c r="H45" s="10"/>
      <c r="I45" s="10">
        <f t="shared" si="8"/>
        <v>12857</v>
      </c>
      <c r="J45" s="10">
        <f t="shared" si="6"/>
        <v>34276495670.595421</v>
      </c>
      <c r="K45" s="11">
        <f t="shared" si="7"/>
        <v>8.3999999999999631E-3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7">
        <v>1.14E-2</v>
      </c>
      <c r="E46" s="10">
        <f t="shared" si="2"/>
        <v>29799.28444056958</v>
      </c>
      <c r="F46" s="10"/>
      <c r="G46" s="11"/>
      <c r="H46" s="10"/>
      <c r="I46" s="10">
        <f t="shared" si="8"/>
        <v>12857</v>
      </c>
      <c r="J46" s="10">
        <f t="shared" si="6"/>
        <v>33990971509.912159</v>
      </c>
      <c r="K46" s="11">
        <f t="shared" si="7"/>
        <v>1.1400000000000077E-2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7">
        <v>2.1399999999999999E-2</v>
      </c>
      <c r="E47" s="10">
        <f t="shared" si="2"/>
        <v>54766.993963238318</v>
      </c>
      <c r="F47" s="10"/>
      <c r="G47" s="11"/>
      <c r="H47" s="10"/>
      <c r="I47" s="10">
        <f t="shared" si="8"/>
        <v>12857</v>
      </c>
      <c r="J47" s="10">
        <f t="shared" si="6"/>
        <v>33607842109.859756</v>
      </c>
      <c r="K47" s="11">
        <f t="shared" si="7"/>
        <v>2.1400000000000086E-2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7">
        <v>3.09E-2</v>
      </c>
      <c r="E48" s="10">
        <f t="shared" si="2"/>
        <v>76709.132364336867</v>
      </c>
      <c r="F48" s="10"/>
      <c r="G48" s="11"/>
      <c r="H48" s="10"/>
      <c r="I48" s="10">
        <f t="shared" si="8"/>
        <v>12857</v>
      </c>
      <c r="J48" s="10">
        <f t="shared" si="6"/>
        <v>32903702868.4744</v>
      </c>
      <c r="K48" s="11">
        <f t="shared" si="7"/>
        <v>3.0899999999999705E-2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7">
        <v>3.3599999999999998E-2</v>
      </c>
      <c r="E49" s="10">
        <f t="shared" si="2"/>
        <v>80700.340639989357</v>
      </c>
      <c r="F49" s="10"/>
      <c r="G49" s="11"/>
      <c r="H49" s="10"/>
      <c r="I49" s="10">
        <f t="shared" si="8"/>
        <v>12857</v>
      </c>
      <c r="J49" s="10">
        <f t="shared" si="6"/>
        <v>31917453553.666122</v>
      </c>
      <c r="K49" s="11">
        <f t="shared" si="7"/>
        <v>3.3600000000000074E-2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7">
        <v>3.3500000000000002E-2</v>
      </c>
      <c r="E50" s="10">
        <f t="shared" si="2"/>
        <v>77852.115195695776</v>
      </c>
      <c r="F50" s="10"/>
      <c r="G50" s="11"/>
      <c r="H50" s="10"/>
      <c r="I50" s="10">
        <f t="shared" si="8"/>
        <v>12857</v>
      </c>
      <c r="J50" s="10">
        <f t="shared" si="6"/>
        <v>30879889274.057777</v>
      </c>
      <c r="K50" s="11">
        <f t="shared" si="7"/>
        <v>3.3500000000000085E-2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7">
        <v>3.3300000000000003E-2</v>
      </c>
      <c r="E51" s="10">
        <f t="shared" si="2"/>
        <v>74893.376994346734</v>
      </c>
      <c r="F51" s="10"/>
      <c r="G51" s="11"/>
      <c r="H51" s="10"/>
      <c r="I51" s="10">
        <f t="shared" si="8"/>
        <v>12857</v>
      </c>
      <c r="J51" s="10">
        <f t="shared" si="6"/>
        <v>29878944628.986717</v>
      </c>
      <c r="K51" s="11">
        <f t="shared" si="7"/>
        <v>3.3300000000000107E-2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7">
        <v>3.32E-2</v>
      </c>
      <c r="E52" s="10">
        <f t="shared" si="2"/>
        <v>72269.13662246149</v>
      </c>
      <c r="F52" s="10"/>
      <c r="G52" s="11"/>
      <c r="H52" s="10"/>
      <c r="I52" s="10">
        <f t="shared" si="8"/>
        <v>12857</v>
      </c>
      <c r="J52" s="10">
        <f t="shared" si="6"/>
        <v>28916040480.970402</v>
      </c>
      <c r="K52" s="11">
        <f t="shared" si="7"/>
        <v>3.3199999999999674E-2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7">
        <v>3.3099999999999997E-2</v>
      </c>
      <c r="E53" s="10">
        <f t="shared" si="2"/>
        <v>69742.966315075755</v>
      </c>
      <c r="F53" s="10"/>
      <c r="G53" s="11"/>
      <c r="H53" s="10"/>
      <c r="I53" s="10">
        <f t="shared" si="8"/>
        <v>12857</v>
      </c>
      <c r="J53" s="10">
        <f t="shared" si="6"/>
        <v>27986876191.415417</v>
      </c>
      <c r="K53" s="11">
        <f t="shared" si="7"/>
        <v>3.3099999999999907E-2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7">
        <v>3.3300000000000003E-2</v>
      </c>
      <c r="E54" s="10">
        <f t="shared" si="2"/>
        <v>67903.197490106337</v>
      </c>
      <c r="F54" s="10"/>
      <c r="G54" s="11"/>
      <c r="H54" s="10"/>
      <c r="I54" s="10">
        <f t="shared" si="8"/>
        <v>12857</v>
      </c>
      <c r="J54" s="10">
        <f t="shared" si="6"/>
        <v>27090190873.502487</v>
      </c>
      <c r="K54" s="11">
        <f t="shared" si="7"/>
        <v>3.3300000000000107E-2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7">
        <v>3.3599999999999998E-2</v>
      </c>
      <c r="E55" s="10">
        <f t="shared" si="2"/>
        <v>66287.672221396118</v>
      </c>
      <c r="F55" s="10"/>
      <c r="G55" s="11"/>
      <c r="H55" s="10"/>
      <c r="I55" s="10">
        <f t="shared" si="8"/>
        <v>12857</v>
      </c>
      <c r="J55" s="10">
        <f t="shared" si="6"/>
        <v>26217159463.372189</v>
      </c>
      <c r="K55" s="11">
        <f t="shared" si="7"/>
        <v>3.3600000000000074E-2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7">
        <v>3.1800000000000002E-2</v>
      </c>
      <c r="E56" s="10">
        <f t="shared" si="2"/>
        <v>60803.011168658035</v>
      </c>
      <c r="F56" s="10"/>
      <c r="G56" s="11"/>
      <c r="H56" s="10"/>
      <c r="I56" s="10">
        <f t="shared" si="8"/>
        <v>12857</v>
      </c>
      <c r="J56" s="10">
        <f t="shared" si="6"/>
        <v>25364898861.6217</v>
      </c>
      <c r="K56" s="11">
        <f t="shared" si="7"/>
        <v>3.180000000000005E-2</v>
      </c>
      <c r="L56" t="inlineStr">
        <is>
          <t xml:space="preserve">Fincen Civil War begins (to 1727).</t>
        </is>
      </c>
      <c r="M56" t="inlineStr">
        <is>
          <t xml:space="preserve">Fincen Civil War (1711-27): a prolonged internal conflict.</t>
        </is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7">
        <v>2.41E-2</v>
      </c>
      <c r="E57" s="10">
        <f t="shared" si="2"/>
        <v>44995.869027035078</v>
      </c>
      <c r="F57" s="10"/>
      <c r="G57" s="11"/>
      <c r="H57" s="10"/>
      <c r="I57" s="10">
        <f t="shared" si="8"/>
        <v>12857</v>
      </c>
      <c r="J57" s="10">
        <f t="shared" si="6"/>
        <v>24583154547.026264</v>
      </c>
      <c r="K57" s="11">
        <f t="shared" si="7"/>
        <v>2.410000000000001E-2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7">
        <v>1.78E-2</v>
      </c>
      <c r="E58" s="10">
        <f t="shared" si="2"/>
        <v>32652.253321631346</v>
      </c>
      <c r="F58" s="10"/>
      <c r="G58" s="11"/>
      <c r="H58" s="10"/>
      <c r="I58" s="10">
        <f t="shared" si="8"/>
        <v>12857</v>
      </c>
      <c r="J58" s="10">
        <f t="shared" si="6"/>
        <v>24004642658.945671</v>
      </c>
      <c r="K58" s="11">
        <f t="shared" si="7"/>
        <v>1.7800000000000038E-2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7">
        <v>1.61E-2</v>
      </c>
      <c r="E59" s="10">
        <f t="shared" si="2"/>
        <v>29065.819987983443</v>
      </c>
      <c r="F59" s="10"/>
      <c r="G59" s="11"/>
      <c r="H59" s="10"/>
      <c r="I59" s="10">
        <f t="shared" si="8"/>
        <v>12857</v>
      </c>
      <c r="J59" s="10">
        <f t="shared" si="6"/>
        <v>23584832637.98946</v>
      </c>
      <c r="K59" s="11">
        <f t="shared" si="7"/>
        <v>1.6100000000000225E-2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7">
        <v>1.4E-2</v>
      </c>
      <c r="E60" s="10">
        <f t="shared" si="2"/>
        <v>24925.666742117843</v>
      </c>
      <c r="F60" s="10"/>
      <c r="G60" s="11"/>
      <c r="H60" s="10"/>
      <c r="I60" s="10">
        <f t="shared" si="8"/>
        <v>12857</v>
      </c>
      <c r="J60" s="10">
        <f t="shared" si="6"/>
        <v>23211133390.403954</v>
      </c>
      <c r="K60" s="11">
        <f t="shared" si="7"/>
        <v>1.4000000000000012E-2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7">
        <v>1.23E-2</v>
      </c>
      <c r="E61" s="10">
        <f t="shared" si="2"/>
        <v>21632.894041013205</v>
      </c>
      <c r="F61" s="10"/>
      <c r="G61" s="11"/>
      <c r="H61" s="10"/>
      <c r="I61" s="10">
        <f t="shared" si="8"/>
        <v>12857</v>
      </c>
      <c r="J61" s="10">
        <f t="shared" si="6"/>
        <v>22890664093.100548</v>
      </c>
      <c r="K61" s="11">
        <f t="shared" si="7"/>
        <v>1.2299999999999978E-2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7">
        <v>1.14E-2</v>
      </c>
      <c r="E62" s="10">
        <f t="shared" si="2"/>
        <v>19824.005690217018</v>
      </c>
      <c r="F62" s="10"/>
      <c r="G62" s="11"/>
      <c r="H62" s="10"/>
      <c r="I62" s="10">
        <f t="shared" si="8"/>
        <v>12857</v>
      </c>
      <c r="J62" s="10">
        <f t="shared" si="6"/>
        <v>22612529974.415241</v>
      </c>
      <c r="K62" s="11">
        <f t="shared" si="7"/>
        <v>1.1400000000000077E-2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7">
        <v>1.0699999999999999E-2</v>
      </c>
      <c r="E63" s="10">
        <f t="shared" si="2"/>
        <v>18409.75777473324</v>
      </c>
      <c r="F63" s="10"/>
      <c r="G63" s="11"/>
      <c r="H63" s="10"/>
      <c r="I63" s="10">
        <f t="shared" si="8"/>
        <v>12857</v>
      </c>
      <c r="J63" s="10">
        <f t="shared" si="6"/>
        <v>22357652733.256119</v>
      </c>
      <c r="K63" s="11">
        <f t="shared" si="7"/>
        <v>1.0699999999999932E-2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7">
        <v>1.0500000000000001E-2</v>
      </c>
      <c r="E64" s="10">
        <f t="shared" si="2"/>
        <v>17877.931868159911</v>
      </c>
      <c r="F64" s="10"/>
      <c r="G64" s="11"/>
      <c r="H64" s="10"/>
      <c r="I64" s="10">
        <f t="shared" si="8"/>
        <v>12857</v>
      </c>
      <c r="J64" s="10">
        <f t="shared" si="6"/>
        <v>22120958477.546375</v>
      </c>
      <c r="K64" s="11">
        <f t="shared" si="7"/>
        <v>1.0499999999999954E-2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7">
        <v>1.12E-2</v>
      </c>
      <c r="E65" s="10">
        <f t="shared" si="2"/>
        <v>18858.577920000069</v>
      </c>
      <c r="F65" s="10"/>
      <c r="G65" s="11"/>
      <c r="H65" s="10"/>
      <c r="I65" s="10">
        <f t="shared" si="8"/>
        <v>12857</v>
      </c>
      <c r="J65" s="10">
        <f t="shared" si="6"/>
        <v>21891101907.517441</v>
      </c>
      <c r="K65" s="11">
        <f t="shared" si="7"/>
        <v>1.1200000000000099E-2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7">
        <v>1.1900000000000001E-2</v>
      </c>
      <c r="E66" s="10">
        <f t="shared" si="2"/>
        <v>19801.600000000093</v>
      </c>
      <c r="F66" s="10"/>
      <c r="G66" s="11"/>
      <c r="H66" s="10"/>
      <c r="I66" s="10">
        <f t="shared" si="8"/>
        <v>12857</v>
      </c>
      <c r="J66" s="10">
        <f t="shared" ref="J66:J97" si="9">IF(I66="","",I66*C66)</f>
        <v>21648637171.200001</v>
      </c>
      <c r="K66" s="11">
        <f t="shared" ref="K66:K97" si="10">IFERROR(J66/J67-1,"")</f>
        <v>1.1900000000000022E-2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7">
        <v>1.1599999999999999E-2</v>
      </c>
      <c r="E67" s="3" t="s">
        <v>72</v>
      </c>
      <c r="F67" s="10"/>
      <c r="G67" s="11"/>
      <c r="H67" s="10"/>
      <c r="I67" s="10">
        <f t="shared" ref="I67:I98" si="11">IF(H67&lt;&gt;"",H67,I66/(1+IF(G66="",0,G66)))</f>
        <v>12857</v>
      </c>
      <c r="J67" s="10">
        <f t="shared" si="9"/>
        <v>21394048000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5">
        <v>7181169</v>
      </c>
      <c r="G2" s="11"/>
      <c r="H2" s="10"/>
      <c r="I2" s="10">
        <f>IF(H2&lt;&gt;"",H2,3532)</f>
        <v>3532</v>
      </c>
      <c r="J2" s="10">
        <f t="shared" ref="J2:J33" si="3">IF(I2="","",I2*C2)</f>
        <v>25363967540.420837</v>
      </c>
      <c r="K2" s="11">
        <f t="shared" ref="K2:K33" si="4">IFERROR(J2/J3-1,"")</f>
        <v>2.4999999999999911E-2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11"/>
      <c r="H3" s="10"/>
      <c r="I3" s="10">
        <f t="shared" ref="I3:I34" si="5">IF(H3&lt;&gt;"",H3,I2/(1+IF(G2="",0,G2)))</f>
        <v>3532</v>
      </c>
      <c r="J3" s="10">
        <f t="shared" si="3"/>
        <v>24745334185.776428</v>
      </c>
      <c r="K3" s="11">
        <f t="shared" si="4"/>
        <v>2.4999999999999911E-2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11"/>
      <c r="H4" s="10"/>
      <c r="I4" s="10">
        <f t="shared" si="5"/>
        <v>3532</v>
      </c>
      <c r="J4" s="10">
        <f t="shared" si="3"/>
        <v>24141789449.537979</v>
      </c>
      <c r="K4" s="11">
        <f t="shared" si="4"/>
        <v>2.50999999999999E-2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11"/>
      <c r="H5" s="10"/>
      <c r="I5" s="10">
        <f t="shared" si="5"/>
        <v>3532</v>
      </c>
      <c r="J5" s="10">
        <f t="shared" si="3"/>
        <v>23550667690.506275</v>
      </c>
      <c r="K5" s="11">
        <f t="shared" si="4"/>
        <v>2.5400000000000089E-2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11"/>
      <c r="H6" s="10"/>
      <c r="I6" s="10">
        <f t="shared" si="5"/>
        <v>3532</v>
      </c>
      <c r="J6" s="10">
        <f t="shared" si="3"/>
        <v>22967298313.347252</v>
      </c>
      <c r="K6" s="11">
        <f t="shared" si="4"/>
        <v>2.5800000000000045E-2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11"/>
      <c r="H7" s="10"/>
      <c r="I7" s="10">
        <f t="shared" si="5"/>
        <v>3532</v>
      </c>
      <c r="J7" s="10">
        <f t="shared" si="3"/>
        <v>22389645460.467197</v>
      </c>
      <c r="K7" s="11">
        <f t="shared" si="4"/>
        <v>2.6200000000000001E-2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11"/>
      <c r="H8" s="10"/>
      <c r="I8" s="10">
        <f t="shared" si="5"/>
        <v>3532</v>
      </c>
      <c r="J8" s="10">
        <f t="shared" si="3"/>
        <v>21818013506.594425</v>
      </c>
      <c r="K8" s="11">
        <f t="shared" si="4"/>
        <v>2.6700000000000168E-2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11"/>
      <c r="H9" s="10"/>
      <c r="I9" s="10">
        <f t="shared" si="5"/>
        <v>3532</v>
      </c>
      <c r="J9" s="10">
        <f t="shared" si="3"/>
        <v>21250621901.815937</v>
      </c>
      <c r="K9" s="11">
        <f t="shared" si="4"/>
        <v>2.7199999999999669E-2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11"/>
      <c r="H10" s="10"/>
      <c r="I10" s="10">
        <f t="shared" si="5"/>
        <v>3532</v>
      </c>
      <c r="J10" s="10">
        <f t="shared" si="3"/>
        <v>20687910729.961002</v>
      </c>
      <c r="K10" s="11">
        <f t="shared" si="4"/>
        <v>2.7800000000000047E-2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11"/>
      <c r="H11" s="10"/>
      <c r="I11" s="10">
        <f t="shared" si="5"/>
        <v>3532</v>
      </c>
      <c r="J11" s="10">
        <f t="shared" si="3"/>
        <v>20128342800.117729</v>
      </c>
      <c r="K11" s="11">
        <f t="shared" si="4"/>
        <v>2.849999999999997E-2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11"/>
      <c r="H12" s="10"/>
      <c r="I12" s="10">
        <f t="shared" si="5"/>
        <v>3532</v>
      </c>
      <c r="J12" s="10">
        <f t="shared" si="3"/>
        <v>19570581234.92244</v>
      </c>
      <c r="K12" s="11">
        <f t="shared" si="4"/>
        <v>2.9100000000000126E-2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11"/>
      <c r="H13" s="10"/>
      <c r="I13" s="10">
        <f t="shared" si="5"/>
        <v>3532</v>
      </c>
      <c r="J13" s="10">
        <f t="shared" si="3"/>
        <v>19017181260.249187</v>
      </c>
      <c r="K13" s="11">
        <f t="shared" si="4"/>
        <v>2.970000000000006E-2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11"/>
      <c r="H14" s="10"/>
      <c r="I14" s="10">
        <f t="shared" si="5"/>
        <v>3532</v>
      </c>
      <c r="J14" s="10">
        <f t="shared" si="3"/>
        <v>18468661998.882381</v>
      </c>
      <c r="K14" s="11">
        <f t="shared" si="4"/>
        <v>3.0299999999999994E-2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11"/>
      <c r="H15" s="10"/>
      <c r="I15" s="10">
        <f t="shared" si="5"/>
        <v>3532</v>
      </c>
      <c r="J15" s="10">
        <f t="shared" si="3"/>
        <v>17925518779.85284</v>
      </c>
      <c r="K15" s="11">
        <f t="shared" si="4"/>
        <v>3.0799999999999939E-2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11"/>
      <c r="H16" s="10"/>
      <c r="I16" s="10">
        <f t="shared" si="5"/>
        <v>3532</v>
      </c>
      <c r="J16" s="10">
        <f t="shared" si="3"/>
        <v>17389909565.243347</v>
      </c>
      <c r="K16" s="11">
        <f t="shared" si="4"/>
        <v>3.1099999999999905E-2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11"/>
      <c r="H17" s="10"/>
      <c r="I17" s="10">
        <f t="shared" si="5"/>
        <v>3532</v>
      </c>
      <c r="J17" s="10">
        <f t="shared" si="3"/>
        <v>16865395757.194595</v>
      </c>
      <c r="K17" s="11">
        <f t="shared" si="4"/>
        <v>3.1199999999999894E-2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11"/>
      <c r="H18" s="10"/>
      <c r="I18" s="10">
        <f t="shared" si="5"/>
        <v>3532</v>
      </c>
      <c r="J18" s="10">
        <f t="shared" si="3"/>
        <v>16355116133.819429</v>
      </c>
      <c r="K18" s="11">
        <f t="shared" si="4"/>
        <v>3.1199999999999894E-2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11"/>
      <c r="H19" s="10"/>
      <c r="I19" s="10">
        <f t="shared" si="5"/>
        <v>3532</v>
      </c>
      <c r="J19" s="10">
        <f t="shared" si="3"/>
        <v>15860275537.063063</v>
      </c>
      <c r="K19" s="11">
        <f t="shared" si="4"/>
        <v>3.1199999999999894E-2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11"/>
      <c r="H20" s="10"/>
      <c r="I20" s="10">
        <f t="shared" si="5"/>
        <v>3532</v>
      </c>
      <c r="J20" s="10">
        <f t="shared" si="3"/>
        <v>15380406843.544476</v>
      </c>
      <c r="K20" s="11">
        <f t="shared" si="4"/>
        <v>3.1300000000000328E-2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11"/>
      <c r="H21" s="10"/>
      <c r="I21" s="10">
        <f t="shared" si="5"/>
        <v>3532</v>
      </c>
      <c r="J21" s="10">
        <f t="shared" si="3"/>
        <v>14913610824.73041</v>
      </c>
      <c r="K21" s="11">
        <f t="shared" si="4"/>
        <v>3.1299999999999883E-2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11"/>
      <c r="H22" s="10"/>
      <c r="I22" s="10">
        <f t="shared" si="5"/>
        <v>3532</v>
      </c>
      <c r="J22" s="10">
        <f t="shared" si="3"/>
        <v>14460982085.455648</v>
      </c>
      <c r="K22" s="11">
        <f t="shared" si="4"/>
        <v>3.1500000000000083E-2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11"/>
      <c r="H23" s="10"/>
      <c r="I23" s="10">
        <f t="shared" si="5"/>
        <v>3532</v>
      </c>
      <c r="J23" s="10">
        <f t="shared" si="3"/>
        <v>14019371871.503294</v>
      </c>
      <c r="K23" s="11">
        <f t="shared" si="4"/>
        <v>3.1700000000000061E-2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11"/>
      <c r="H24" s="10"/>
      <c r="I24" s="10">
        <f t="shared" si="5"/>
        <v>3532</v>
      </c>
      <c r="J24" s="10">
        <f t="shared" si="3"/>
        <v>13588612844.337786</v>
      </c>
      <c r="K24" s="11">
        <f t="shared" si="4"/>
        <v>3.1900000000000039E-2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11"/>
      <c r="H25" s="10"/>
      <c r="I25" s="10">
        <f t="shared" si="5"/>
        <v>3532</v>
      </c>
      <c r="J25" s="10">
        <f t="shared" si="3"/>
        <v>13168536529.060747</v>
      </c>
      <c r="K25" s="11">
        <f t="shared" si="4"/>
        <v>3.2100000000000239E-2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11"/>
      <c r="H26" s="10"/>
      <c r="I26" s="10">
        <f t="shared" si="5"/>
        <v>3532</v>
      </c>
      <c r="J26" s="10">
        <f t="shared" si="3"/>
        <v>12758973480.341774</v>
      </c>
      <c r="K26" s="11">
        <f t="shared" si="4"/>
        <v>3.2200000000000006E-2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11"/>
      <c r="H27" s="10"/>
      <c r="I27" s="10">
        <f t="shared" si="5"/>
        <v>3532</v>
      </c>
      <c r="J27" s="10">
        <f t="shared" si="3"/>
        <v>12360950862.567114</v>
      </c>
      <c r="K27" s="11">
        <f t="shared" si="4"/>
        <v>3.2299999999999995E-2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11"/>
      <c r="H28" s="10"/>
      <c r="I28" s="10">
        <f t="shared" si="5"/>
        <v>3532</v>
      </c>
      <c r="J28" s="10">
        <f t="shared" si="3"/>
        <v>11974184696.858582</v>
      </c>
      <c r="K28" s="11">
        <f t="shared" si="4"/>
        <v>3.2299999999999995E-2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11"/>
      <c r="H29" s="10"/>
      <c r="I29" s="10">
        <f t="shared" si="5"/>
        <v>3532</v>
      </c>
      <c r="J29" s="10">
        <f t="shared" si="3"/>
        <v>11599520194.573847</v>
      </c>
      <c r="K29" s="11">
        <f t="shared" si="4"/>
        <v>3.2100000000000017E-2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11"/>
      <c r="H30" s="10"/>
      <c r="I30" s="10">
        <f t="shared" si="5"/>
        <v>3532</v>
      </c>
      <c r="J30" s="10">
        <f t="shared" si="3"/>
        <v>11238756123.024752</v>
      </c>
      <c r="K30" s="11">
        <f t="shared" si="4"/>
        <v>3.180000000000005E-2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11"/>
      <c r="H31" s="10"/>
      <c r="I31" s="10">
        <f t="shared" si="5"/>
        <v>3532</v>
      </c>
      <c r="J31" s="10">
        <f t="shared" si="3"/>
        <v>10892378487.133894</v>
      </c>
      <c r="K31" s="11">
        <f t="shared" si="4"/>
        <v>3.1300000000000328E-2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11"/>
      <c r="H32" s="10"/>
      <c r="I32" s="10">
        <f t="shared" si="5"/>
        <v>3532</v>
      </c>
      <c r="J32" s="10">
        <f t="shared" si="3"/>
        <v>10561794324.768633</v>
      </c>
      <c r="K32" s="11">
        <f t="shared" si="4"/>
        <v>3.0899999999999705E-2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11"/>
      <c r="H33" s="10"/>
      <c r="I33" s="10">
        <f t="shared" si="5"/>
        <v>3532</v>
      </c>
      <c r="J33" s="10">
        <f t="shared" si="3"/>
        <v>10245217115.887705</v>
      </c>
      <c r="K33" s="11">
        <f t="shared" si="4"/>
        <v>3.0499999999999972E-2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11"/>
      <c r="H34" s="10"/>
      <c r="I34" s="10">
        <f t="shared" si="5"/>
        <v>3532</v>
      </c>
      <c r="J34" s="10">
        <f t="shared" ref="J34:J65" si="6">IF(I34="","",I34*C34)</f>
        <v>9941986526.8197041</v>
      </c>
      <c r="K34" s="11">
        <f t="shared" ref="K34:K65" si="7">IFERROR(J34/J35-1,"")</f>
        <v>3.0200000000000005E-2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11"/>
      <c r="H35" s="10"/>
      <c r="I35" s="10">
        <f t="shared" ref="I35:I66" si="8">IF(H35&lt;&gt;"",H35,I34/(1+IF(G34="",0,G34)))</f>
        <v>3532</v>
      </c>
      <c r="J35" s="10">
        <f t="shared" si="6"/>
        <v>9650540212.4050713</v>
      </c>
      <c r="K35" s="11">
        <f t="shared" si="7"/>
        <v>3.0100000000000016E-2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11"/>
      <c r="H36" s="10"/>
      <c r="I36" s="10">
        <f t="shared" si="8"/>
        <v>3532</v>
      </c>
      <c r="J36" s="10">
        <f t="shared" si="6"/>
        <v>9368546949.2331524</v>
      </c>
      <c r="K36" s="11">
        <f t="shared" si="7"/>
        <v>3.0099999999999794E-2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11"/>
      <c r="H37" s="10"/>
      <c r="I37" s="10">
        <f t="shared" si="8"/>
        <v>3532</v>
      </c>
      <c r="J37" s="10">
        <f t="shared" si="6"/>
        <v>9094793660.0651913</v>
      </c>
      <c r="K37" s="11">
        <f t="shared" si="7"/>
        <v>3.0200000000000005E-2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11"/>
      <c r="H38" s="10"/>
      <c r="I38" s="10">
        <f t="shared" si="8"/>
        <v>3532</v>
      </c>
      <c r="J38" s="10">
        <f t="shared" si="6"/>
        <v>8828182547.1415176</v>
      </c>
      <c r="K38" s="11">
        <f t="shared" si="7"/>
        <v>3.0399999999999983E-2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11"/>
      <c r="H39" s="10"/>
      <c r="I39" s="10">
        <f t="shared" si="8"/>
        <v>3532</v>
      </c>
      <c r="J39" s="10">
        <f t="shared" si="6"/>
        <v>8567723745.2848577</v>
      </c>
      <c r="K39" s="11">
        <f t="shared" si="7"/>
        <v>3.0599999999999961E-2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11"/>
      <c r="H40" s="10"/>
      <c r="I40" s="10">
        <f t="shared" si="8"/>
        <v>3532</v>
      </c>
      <c r="J40" s="10">
        <f t="shared" si="6"/>
        <v>8313335673.6705399</v>
      </c>
      <c r="K40" s="11">
        <f t="shared" si="7"/>
        <v>3.0799999999999939E-2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11"/>
      <c r="H41" s="10"/>
      <c r="I41" s="10">
        <f t="shared" si="8"/>
        <v>3532</v>
      </c>
      <c r="J41" s="10">
        <f t="shared" si="6"/>
        <v>8064935655.4817038</v>
      </c>
      <c r="K41" s="11">
        <f t="shared" si="7"/>
        <v>3.0899999999999928E-2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11"/>
      <c r="H42" s="10"/>
      <c r="I42" s="10">
        <f t="shared" si="8"/>
        <v>3532</v>
      </c>
      <c r="J42" s="10">
        <f t="shared" si="6"/>
        <v>7823198812.1851826</v>
      </c>
      <c r="K42" s="11">
        <f t="shared" si="7"/>
        <v>3.1099999999999905E-2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11"/>
      <c r="H43" s="10"/>
      <c r="I43" s="10">
        <f t="shared" si="8"/>
        <v>3532</v>
      </c>
      <c r="J43" s="10">
        <f t="shared" si="6"/>
        <v>7587235779.4444599</v>
      </c>
      <c r="K43" s="11">
        <f t="shared" si="7"/>
        <v>3.1099999999999905E-2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11"/>
      <c r="H44" s="10"/>
      <c r="I44" s="10">
        <f t="shared" si="8"/>
        <v>3532</v>
      </c>
      <c r="J44" s="10">
        <f t="shared" si="6"/>
        <v>7358389854.9553499</v>
      </c>
      <c r="K44" s="11">
        <f t="shared" si="7"/>
        <v>3.1099999999999905E-2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11"/>
      <c r="H45" s="10"/>
      <c r="I45" s="10">
        <f t="shared" si="8"/>
        <v>3532</v>
      </c>
      <c r="J45" s="10">
        <f t="shared" si="6"/>
        <v>7136446372.7624388</v>
      </c>
      <c r="K45" s="11">
        <f t="shared" si="7"/>
        <v>3.0999999999999917E-2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11"/>
      <c r="H46" s="10"/>
      <c r="I46" s="10">
        <f t="shared" si="8"/>
        <v>3532</v>
      </c>
      <c r="J46" s="10">
        <f t="shared" si="6"/>
        <v>6921868450.7880106</v>
      </c>
      <c r="K46" s="11">
        <f t="shared" si="7"/>
        <v>3.0899999999999928E-2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11"/>
      <c r="H47" s="10"/>
      <c r="I47" s="10">
        <f t="shared" si="8"/>
        <v>3532</v>
      </c>
      <c r="J47" s="10">
        <f t="shared" si="6"/>
        <v>6714393685.8938904</v>
      </c>
      <c r="K47" s="11">
        <f t="shared" si="7"/>
        <v>3.0799999999999939E-2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11"/>
      <c r="H48" s="10"/>
      <c r="I48" s="10">
        <f t="shared" si="8"/>
        <v>3532</v>
      </c>
      <c r="J48" s="10">
        <f t="shared" si="6"/>
        <v>6513769582.7453346</v>
      </c>
      <c r="K48" s="11">
        <f t="shared" si="7"/>
        <v>3.0599999999999961E-2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11"/>
      <c r="H49" s="10"/>
      <c r="I49" s="10">
        <f t="shared" si="8"/>
        <v>3532</v>
      </c>
      <c r="J49" s="10">
        <f t="shared" si="6"/>
        <v>6320366371.7691975</v>
      </c>
      <c r="K49" s="11">
        <f t="shared" si="7"/>
        <v>3.0399999999999983E-2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11"/>
      <c r="H50" s="10"/>
      <c r="I50" s="10">
        <f t="shared" si="8"/>
        <v>3532</v>
      </c>
      <c r="J50" s="10">
        <f t="shared" si="6"/>
        <v>6133895935.3350134</v>
      </c>
      <c r="K50" s="11">
        <f t="shared" si="7"/>
        <v>3.0100000000000016E-2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11"/>
      <c r="H51" s="10"/>
      <c r="I51" s="10">
        <f t="shared" si="8"/>
        <v>3532</v>
      </c>
      <c r="J51" s="10">
        <f t="shared" si="6"/>
        <v>5954660649.7767334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11"/>
      <c r="H52" s="10"/>
      <c r="I52" s="10">
        <f t="shared" si="8"/>
        <v>3532</v>
      </c>
      <c r="J52" s="10">
        <f t="shared" si="6"/>
        <v>5782346717.5924768</v>
      </c>
      <c r="K52" s="11">
        <f t="shared" si="7"/>
        <v>2.9400000000000093E-2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11"/>
      <c r="H53" s="10"/>
      <c r="I53" s="10">
        <f t="shared" si="8"/>
        <v>3532</v>
      </c>
      <c r="J53" s="10">
        <f t="shared" si="6"/>
        <v>5617201007.958497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11"/>
      <c r="H54" s="10"/>
      <c r="I54" s="10">
        <f t="shared" si="8"/>
        <v>3532</v>
      </c>
      <c r="J54" s="10">
        <f t="shared" si="6"/>
        <v>5458893107.8313875</v>
      </c>
      <c r="K54" s="11">
        <f t="shared" si="7"/>
        <v>2.8599999999999737E-2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11"/>
      <c r="H55" s="10"/>
      <c r="I55" s="10">
        <f t="shared" si="8"/>
        <v>3532</v>
      </c>
      <c r="J55" s="10">
        <f t="shared" si="6"/>
        <v>5307109768.4536152</v>
      </c>
      <c r="K55" s="11">
        <f t="shared" si="7"/>
        <v>2.8200000000000003E-2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11"/>
      <c r="H56" s="10"/>
      <c r="I56" s="10">
        <f t="shared" si="8"/>
        <v>3532</v>
      </c>
      <c r="J56" s="10">
        <f t="shared" si="6"/>
        <v>5161553947.1441498</v>
      </c>
      <c r="K56" s="11">
        <f t="shared" si="7"/>
        <v>2.7800000000000047E-2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11"/>
      <c r="H57" s="10"/>
      <c r="I57" s="10">
        <f t="shared" si="8"/>
        <v>3532</v>
      </c>
      <c r="J57" s="10">
        <f t="shared" si="6"/>
        <v>5021943906.5422745</v>
      </c>
      <c r="K57" s="11">
        <f t="shared" si="7"/>
        <v>2.7300000000000102E-2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11"/>
      <c r="H58" s="10"/>
      <c r="I58" s="10">
        <f t="shared" si="8"/>
        <v>3532</v>
      </c>
      <c r="J58" s="10">
        <f t="shared" si="6"/>
        <v>4888488179.2487822</v>
      </c>
      <c r="K58" s="11">
        <f t="shared" si="7"/>
        <v>2.6800000000000157E-2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11"/>
      <c r="H59" s="10"/>
      <c r="I59" s="10">
        <f t="shared" si="8"/>
        <v>3532</v>
      </c>
      <c r="J59" s="10">
        <f t="shared" si="6"/>
        <v>4760896162.1043844</v>
      </c>
      <c r="K59" s="11">
        <f t="shared" si="7"/>
        <v>2.629999999999999E-2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11"/>
      <c r="H60" s="10"/>
      <c r="I60" s="10">
        <f t="shared" si="8"/>
        <v>3532</v>
      </c>
      <c r="J60" s="10">
        <f t="shared" si="6"/>
        <v>4638893269.1263609</v>
      </c>
      <c r="K60" s="11">
        <f t="shared" si="7"/>
        <v>2.5900000000000034E-2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11"/>
      <c r="H61" s="10"/>
      <c r="I61" s="10">
        <f t="shared" si="8"/>
        <v>3532</v>
      </c>
      <c r="J61" s="10">
        <f t="shared" si="6"/>
        <v>4521779188.1531935</v>
      </c>
      <c r="K61" s="11">
        <f t="shared" si="7"/>
        <v>2.5500000000000078E-2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11"/>
      <c r="H62" s="10"/>
      <c r="I62" s="10">
        <f t="shared" si="8"/>
        <v>3532</v>
      </c>
      <c r="J62" s="10">
        <f t="shared" si="6"/>
        <v>4409340992.8358784</v>
      </c>
      <c r="K62" s="11">
        <f t="shared" si="7"/>
        <v>2.53000000000001E-2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11"/>
      <c r="H63" s="10"/>
      <c r="I63" s="10">
        <f t="shared" si="8"/>
        <v>3532</v>
      </c>
      <c r="J63" s="10">
        <f t="shared" si="6"/>
        <v>4300537396.6993837</v>
      </c>
      <c r="K63" s="11">
        <f t="shared" si="7"/>
        <v>2.53000000000001E-2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11"/>
      <c r="H64" s="10"/>
      <c r="I64" s="10">
        <f t="shared" si="8"/>
        <v>3532</v>
      </c>
      <c r="J64" s="10">
        <f t="shared" si="6"/>
        <v>4194418605.9683828</v>
      </c>
      <c r="K64" s="11">
        <f t="shared" si="7"/>
        <v>2.5400000000000089E-2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11"/>
      <c r="H65" s="10"/>
      <c r="I65" s="10">
        <f t="shared" si="8"/>
        <v>3532</v>
      </c>
      <c r="J65" s="10">
        <f t="shared" si="6"/>
        <v>4090519412.8811998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11"/>
      <c r="H66" s="10"/>
      <c r="I66" s="10">
        <f t="shared" si="8"/>
        <v>3532</v>
      </c>
      <c r="J66" s="10">
        <f t="shared" ref="J66:J97" si="9">IF(I66="","",I66*C66)</f>
        <v>3988027116</v>
      </c>
      <c r="K66" s="11">
        <f t="shared" ref="K66:K97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3532</v>
      </c>
      <c r="J67" s="10">
        <f t="shared" si="9"/>
        <v>3886966000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5">
        <v>9533900</v>
      </c>
      <c r="G2" s="11"/>
      <c r="H2" s="10"/>
      <c r="I2" s="10">
        <f>IF(H2&lt;&gt;"",H2,19643)</f>
        <v>19643</v>
      </c>
      <c r="J2" s="10">
        <f t="shared" ref="J2:J33" si="3">IF(I2="","",I2*C2)</f>
        <v>187271619198.4686</v>
      </c>
      <c r="K2" s="11">
        <f t="shared" ref="K2:K33" si="4">IFERROR(J2/J3-1,"")</f>
        <v>7.9000000000000181E-3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11"/>
      <c r="H3" s="10"/>
      <c r="I3" s="10">
        <f t="shared" ref="I3:I34" si="5">IF(H3&lt;&gt;"",H3,I2/(1+IF(G2="",0,G2)))</f>
        <v>19643</v>
      </c>
      <c r="J3" s="10">
        <f t="shared" si="3"/>
        <v>185803769420.0502</v>
      </c>
      <c r="K3" s="11">
        <f t="shared" si="4"/>
        <v>8.1999999999999851E-3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11"/>
      <c r="H4" s="10"/>
      <c r="I4" s="10">
        <f t="shared" si="5"/>
        <v>19643</v>
      </c>
      <c r="J4" s="10">
        <f t="shared" si="3"/>
        <v>184292570343.23566</v>
      </c>
      <c r="K4" s="11">
        <f t="shared" si="4"/>
        <v>8.0999999999999961E-3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11"/>
      <c r="H5" s="10"/>
      <c r="I5" s="10">
        <f t="shared" si="5"/>
        <v>19643</v>
      </c>
      <c r="J5" s="10">
        <f t="shared" si="3"/>
        <v>182811794805.31262</v>
      </c>
      <c r="K5" s="11">
        <f t="shared" si="4"/>
        <v>8.0000000000000071E-3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11"/>
      <c r="H6" s="10"/>
      <c r="I6" s="10">
        <f t="shared" si="5"/>
        <v>19643</v>
      </c>
      <c r="J6" s="10">
        <f t="shared" si="3"/>
        <v>181360907544.953</v>
      </c>
      <c r="K6" s="11">
        <f t="shared" si="4"/>
        <v>8.0999999999999961E-3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11"/>
      <c r="H7" s="10"/>
      <c r="I7" s="10">
        <f t="shared" si="5"/>
        <v>19643</v>
      </c>
      <c r="J7" s="10">
        <f t="shared" si="3"/>
        <v>179903687674.78723</v>
      </c>
      <c r="K7" s="11">
        <f t="shared" si="4"/>
        <v>8.3999999999999631E-3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11"/>
      <c r="H8" s="10"/>
      <c r="I8" s="10">
        <f t="shared" si="5"/>
        <v>19643</v>
      </c>
      <c r="J8" s="10">
        <f t="shared" si="3"/>
        <v>178405084961.11389</v>
      </c>
      <c r="K8" s="11">
        <f t="shared" si="4"/>
        <v>8.3000000000001961E-3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11"/>
      <c r="H9" s="10"/>
      <c r="I9" s="10">
        <f t="shared" si="5"/>
        <v>19643</v>
      </c>
      <c r="J9" s="10">
        <f t="shared" si="3"/>
        <v>176936511912.24225</v>
      </c>
      <c r="K9" s="11">
        <f t="shared" si="4"/>
        <v>7.8000000000000291E-3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11"/>
      <c r="H10" s="10"/>
      <c r="I10" s="10">
        <f t="shared" si="5"/>
        <v>19643</v>
      </c>
      <c r="J10" s="10">
        <f t="shared" si="3"/>
        <v>175567088620.99847</v>
      </c>
      <c r="K10" s="11">
        <f t="shared" si="4"/>
        <v>6.5000000000001723E-3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11"/>
      <c r="H11" s="10"/>
      <c r="I11" s="10">
        <f t="shared" si="5"/>
        <v>19643</v>
      </c>
      <c r="J11" s="10">
        <f t="shared" si="3"/>
        <v>174433272350.71878</v>
      </c>
      <c r="K11" s="11">
        <f t="shared" si="4"/>
        <v>6.0000000000000053E-3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11"/>
      <c r="H12" s="10"/>
      <c r="I12" s="10">
        <f t="shared" si="5"/>
        <v>19643</v>
      </c>
      <c r="J12" s="10">
        <f t="shared" si="3"/>
        <v>173392914861.54947</v>
      </c>
      <c r="K12" s="11">
        <f t="shared" si="4"/>
        <v>5.7000000000000384E-3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11"/>
      <c r="H13" s="10"/>
      <c r="I13" s="10">
        <f t="shared" si="5"/>
        <v>19643</v>
      </c>
      <c r="J13" s="10">
        <f t="shared" si="3"/>
        <v>172410176853.48459</v>
      </c>
      <c r="K13" s="11">
        <f t="shared" si="4"/>
        <v>5.3000000000000824E-3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11"/>
      <c r="H14" s="10"/>
      <c r="I14" s="10">
        <f t="shared" si="5"/>
        <v>19643</v>
      </c>
      <c r="J14" s="10">
        <f t="shared" si="3"/>
        <v>171501220385.44174</v>
      </c>
      <c r="K14" s="11">
        <f t="shared" si="4"/>
        <v>4.9999999999998934E-3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11"/>
      <c r="H15" s="10"/>
      <c r="I15" s="10">
        <f t="shared" si="5"/>
        <v>19643</v>
      </c>
      <c r="J15" s="10">
        <f t="shared" si="3"/>
        <v>170647980483.02661</v>
      </c>
      <c r="K15" s="11">
        <f t="shared" si="4"/>
        <v>4.4999999999999485E-3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11"/>
      <c r="H16" s="10"/>
      <c r="I16" s="10">
        <f t="shared" si="5"/>
        <v>19643</v>
      </c>
      <c r="J16" s="10">
        <f t="shared" si="3"/>
        <v>169883504711.82343</v>
      </c>
      <c r="K16" s="11">
        <f t="shared" si="4"/>
        <v>3.9000000000002366E-3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11"/>
      <c r="H17" s="10"/>
      <c r="I17" s="10">
        <f t="shared" si="5"/>
        <v>19643</v>
      </c>
      <c r="J17" s="10">
        <f t="shared" si="3"/>
        <v>169223532933.38321</v>
      </c>
      <c r="K17" s="11">
        <f t="shared" si="4"/>
        <v>3.4000000000000696E-3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11"/>
      <c r="H18" s="10"/>
      <c r="I18" s="10">
        <f t="shared" si="5"/>
        <v>19643</v>
      </c>
      <c r="J18" s="10">
        <f t="shared" si="3"/>
        <v>168650122516.82599</v>
      </c>
      <c r="K18" s="11">
        <f t="shared" si="4"/>
        <v>3.3000000000000806E-3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11"/>
      <c r="H19" s="10"/>
      <c r="I19" s="10">
        <f t="shared" si="5"/>
        <v>19643</v>
      </c>
      <c r="J19" s="10">
        <f t="shared" si="3"/>
        <v>168095407671.50998</v>
      </c>
      <c r="K19" s="11">
        <f t="shared" si="4"/>
        <v>3.4000000000000696E-3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11"/>
      <c r="H20" s="10"/>
      <c r="I20" s="10">
        <f t="shared" si="5"/>
        <v>19643</v>
      </c>
      <c r="J20" s="10">
        <f t="shared" si="3"/>
        <v>167525819883.90469</v>
      </c>
      <c r="K20" s="11">
        <f t="shared" si="4"/>
        <v>3.5000000000000586E-3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11"/>
      <c r="H21" s="10"/>
      <c r="I21" s="10">
        <f t="shared" si="5"/>
        <v>19643</v>
      </c>
      <c r="J21" s="10">
        <f t="shared" si="3"/>
        <v>166941524547.98672</v>
      </c>
      <c r="K21" s="11">
        <f t="shared" si="4"/>
        <v>3.3000000000000806E-3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11"/>
      <c r="H22" s="10"/>
      <c r="I22" s="10">
        <f t="shared" si="5"/>
        <v>19643</v>
      </c>
      <c r="J22" s="10">
        <f t="shared" si="3"/>
        <v>166392429530.53595</v>
      </c>
      <c r="K22" s="11">
        <f t="shared" si="4"/>
        <v>2.7999999999999137E-3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11"/>
      <c r="H23" s="10"/>
      <c r="I23" s="10">
        <f t="shared" si="5"/>
        <v>19643</v>
      </c>
      <c r="J23" s="10">
        <f t="shared" si="3"/>
        <v>165927831602.05023</v>
      </c>
      <c r="K23" s="11">
        <f t="shared" si="4"/>
        <v>2.5999999999999357E-3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11"/>
      <c r="H24" s="10"/>
      <c r="I24" s="10">
        <f t="shared" si="5"/>
        <v>19643</v>
      </c>
      <c r="J24" s="10">
        <f t="shared" si="3"/>
        <v>165497538003.24182</v>
      </c>
      <c r="K24" s="11">
        <f t="shared" si="4"/>
        <v>2.3999999999999577E-3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11"/>
      <c r="H25" s="10"/>
      <c r="I25" s="10">
        <f t="shared" si="5"/>
        <v>19643</v>
      </c>
      <c r="J25" s="10">
        <f t="shared" si="3"/>
        <v>165101294895.49265</v>
      </c>
      <c r="K25" s="11">
        <f t="shared" si="4"/>
        <v>2.1999999999999797E-3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11"/>
      <c r="H26" s="10"/>
      <c r="I26" s="10">
        <f t="shared" si="5"/>
        <v>19643</v>
      </c>
      <c r="J26" s="10">
        <f t="shared" si="3"/>
        <v>164738869382.85037</v>
      </c>
      <c r="K26" s="11">
        <f t="shared" si="4"/>
        <v>2.1999999999999797E-3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11"/>
      <c r="H27" s="10"/>
      <c r="I27" s="10">
        <f t="shared" si="5"/>
        <v>19643</v>
      </c>
      <c r="J27" s="10">
        <f t="shared" si="3"/>
        <v>164377239456.04709</v>
      </c>
      <c r="K27" s="11">
        <f t="shared" si="4"/>
        <v>2.3999999999999577E-3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11"/>
      <c r="H28" s="10"/>
      <c r="I28" s="10">
        <f t="shared" si="5"/>
        <v>19643</v>
      </c>
      <c r="J28" s="10">
        <f t="shared" si="3"/>
        <v>163983678627.34146</v>
      </c>
      <c r="K28" s="11">
        <f t="shared" si="4"/>
        <v>2.5999999999997137E-3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11"/>
      <c r="H29" s="10"/>
      <c r="I29" s="10">
        <f t="shared" si="5"/>
        <v>19643</v>
      </c>
      <c r="J29" s="10">
        <f t="shared" si="3"/>
        <v>163558426717.87503</v>
      </c>
      <c r="K29" s="11">
        <f t="shared" si="4"/>
        <v>2.3999999999999577E-3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11"/>
      <c r="H30" s="10"/>
      <c r="I30" s="10">
        <f t="shared" si="5"/>
        <v>19643</v>
      </c>
      <c r="J30" s="10">
        <f t="shared" si="3"/>
        <v>163166826334.67181</v>
      </c>
      <c r="K30" s="11">
        <f t="shared" si="4"/>
        <v>1.9000000000000128E-3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11"/>
      <c r="H31" s="10"/>
      <c r="I31" s="10">
        <f t="shared" si="5"/>
        <v>19643</v>
      </c>
      <c r="J31" s="10">
        <f t="shared" si="3"/>
        <v>162857397279.84012</v>
      </c>
      <c r="K31" s="11">
        <f t="shared" si="4"/>
        <v>1.4000000000000679E-3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11"/>
      <c r="H32" s="10"/>
      <c r="I32" s="10">
        <f t="shared" si="5"/>
        <v>19643</v>
      </c>
      <c r="J32" s="10">
        <f t="shared" si="3"/>
        <v>162629715677.89105</v>
      </c>
      <c r="K32" s="11">
        <f t="shared" si="4"/>
        <v>8.9999999999967883E-4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11"/>
      <c r="H33" s="10"/>
      <c r="I33" s="10">
        <f t="shared" si="5"/>
        <v>19643</v>
      </c>
      <c r="J33" s="10">
        <f t="shared" si="3"/>
        <v>162483480545.40024</v>
      </c>
      <c r="K33" s="11">
        <f t="shared" si="4"/>
        <v>5.9999999999993392E-4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11"/>
      <c r="H34" s="10"/>
      <c r="I34" s="10">
        <f t="shared" si="5"/>
        <v>19643</v>
      </c>
      <c r="J34" s="10">
        <f t="shared" ref="J34:J65" si="6">IF(I34="","",I34*C34)</f>
        <v>162386048916.05063</v>
      </c>
      <c r="K34" s="11">
        <f t="shared" ref="K34:K65" si="7">IFERROR(J34/J35-1,"")</f>
        <v>8.0000000000013394E-4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11"/>
      <c r="H35" s="10"/>
      <c r="I35" s="10">
        <f t="shared" ref="I35:I66" si="8">IF(H35&lt;&gt;"",H35,I34/(1+IF(G34="",0,G34)))</f>
        <v>19643</v>
      </c>
      <c r="J35" s="10">
        <f t="shared" si="6"/>
        <v>162256243920.91388</v>
      </c>
      <c r="K35" s="11">
        <f t="shared" si="7"/>
        <v>1.0999999999998789E-3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11"/>
      <c r="H36" s="10"/>
      <c r="I36" s="10">
        <f t="shared" si="8"/>
        <v>19643</v>
      </c>
      <c r="J36" s="10">
        <f t="shared" si="6"/>
        <v>162077958166.93027</v>
      </c>
      <c r="K36" s="11">
        <f t="shared" si="7"/>
        <v>1.4000000000000679E-3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11"/>
      <c r="H37" s="10"/>
      <c r="I37" s="10">
        <f t="shared" si="8"/>
        <v>19643</v>
      </c>
      <c r="J37" s="10">
        <f t="shared" si="6"/>
        <v>161851366254.17441</v>
      </c>
      <c r="K37" s="11">
        <f t="shared" si="7"/>
        <v>1.6000000000002679E-3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11"/>
      <c r="H38" s="10"/>
      <c r="I38" s="10">
        <f t="shared" si="8"/>
        <v>19643</v>
      </c>
      <c r="J38" s="10">
        <f t="shared" si="6"/>
        <v>161592817745.78113</v>
      </c>
      <c r="K38" s="11">
        <f t="shared" si="7"/>
        <v>1.8999999999997907E-3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11"/>
      <c r="H39" s="10"/>
      <c r="I39" s="10">
        <f t="shared" si="8"/>
        <v>19643</v>
      </c>
      <c r="J39" s="10">
        <f t="shared" si="6"/>
        <v>161286373635.87299</v>
      </c>
      <c r="K39" s="11">
        <f t="shared" si="7"/>
        <v>2.2999999999999687E-3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11"/>
      <c r="H40" s="10"/>
      <c r="I40" s="10">
        <f t="shared" si="8"/>
        <v>19643</v>
      </c>
      <c r="J40" s="10">
        <f t="shared" si="6"/>
        <v>160916266223.55881</v>
      </c>
      <c r="K40" s="11">
        <f t="shared" si="7"/>
        <v>2.7999999999999137E-3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11"/>
      <c r="H41" s="10"/>
      <c r="I41" s="10">
        <f t="shared" si="8"/>
        <v>19643</v>
      </c>
      <c r="J41" s="10">
        <f t="shared" si="6"/>
        <v>160466958739.08936</v>
      </c>
      <c r="K41" s="11">
        <f t="shared" si="7"/>
        <v>3.4000000000000696E-3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11"/>
      <c r="H42" s="10"/>
      <c r="I42" s="10">
        <f t="shared" si="8"/>
        <v>19643</v>
      </c>
      <c r="J42" s="10">
        <f t="shared" si="6"/>
        <v>159923219791.79724</v>
      </c>
      <c r="K42" s="11">
        <f t="shared" si="7"/>
        <v>4.0999999999999925E-3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11"/>
      <c r="H43" s="10"/>
      <c r="I43" s="10">
        <f t="shared" si="8"/>
        <v>19643</v>
      </c>
      <c r="J43" s="10">
        <f t="shared" si="6"/>
        <v>159270211922.9133</v>
      </c>
      <c r="K43" s="11">
        <f t="shared" si="7"/>
        <v>4.9999999999998934E-3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11"/>
      <c r="H44" s="10"/>
      <c r="I44" s="10">
        <f t="shared" si="8"/>
        <v>19643</v>
      </c>
      <c r="J44" s="10">
        <f t="shared" si="6"/>
        <v>158477822808.86896</v>
      </c>
      <c r="K44" s="11">
        <f t="shared" si="7"/>
        <v>5.9000000000000163E-3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11"/>
      <c r="H45" s="10"/>
      <c r="I45" s="10">
        <f t="shared" si="8"/>
        <v>19643</v>
      </c>
      <c r="J45" s="10">
        <f t="shared" si="6"/>
        <v>157548287910.19879</v>
      </c>
      <c r="K45" s="11">
        <f t="shared" si="7"/>
        <v>6.6999999999999282E-3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11"/>
      <c r="H46" s="10"/>
      <c r="I46" s="10">
        <f t="shared" si="8"/>
        <v>19643</v>
      </c>
      <c r="J46" s="10">
        <f t="shared" si="6"/>
        <v>156499739654.51355</v>
      </c>
      <c r="K46" s="11">
        <f t="shared" si="7"/>
        <v>7.4000000000000732E-3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11"/>
      <c r="H47" s="10"/>
      <c r="I47" s="10">
        <f t="shared" si="8"/>
        <v>19643</v>
      </c>
      <c r="J47" s="10">
        <f t="shared" si="6"/>
        <v>155350148555.20502</v>
      </c>
      <c r="K47" s="11">
        <f t="shared" si="7"/>
        <v>8.0000000000000071E-3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11"/>
      <c r="H48" s="10"/>
      <c r="I48" s="10">
        <f t="shared" si="8"/>
        <v>19643</v>
      </c>
      <c r="J48" s="10">
        <f t="shared" si="6"/>
        <v>154117210868.25894</v>
      </c>
      <c r="K48" s="11">
        <f t="shared" si="7"/>
        <v>8.2999999999999741E-3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11"/>
      <c r="H49" s="10"/>
      <c r="I49" s="10">
        <f t="shared" si="8"/>
        <v>19643</v>
      </c>
      <c r="J49" s="10">
        <f t="shared" si="6"/>
        <v>152848567755.8851</v>
      </c>
      <c r="K49" s="11">
        <f t="shared" si="7"/>
        <v>8.2999999999999741E-3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11"/>
      <c r="H50" s="10"/>
      <c r="I50" s="10">
        <f t="shared" si="8"/>
        <v>19643</v>
      </c>
      <c r="J50" s="10">
        <f t="shared" si="6"/>
        <v>151590367703.94238</v>
      </c>
      <c r="K50" s="11">
        <f t="shared" si="7"/>
        <v>7.9000000000000181E-3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11"/>
      <c r="H51" s="10"/>
      <c r="I51" s="10">
        <f t="shared" si="8"/>
        <v>19643</v>
      </c>
      <c r="J51" s="10">
        <f t="shared" si="6"/>
        <v>150402190399.78409</v>
      </c>
      <c r="K51" s="11">
        <f t="shared" si="7"/>
        <v>7.1000000000001062E-3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11"/>
      <c r="H52" s="10"/>
      <c r="I52" s="10">
        <f t="shared" si="8"/>
        <v>19643</v>
      </c>
      <c r="J52" s="10">
        <f t="shared" si="6"/>
        <v>149341863171.26807</v>
      </c>
      <c r="K52" s="11">
        <f t="shared" si="7"/>
        <v>6.2999999999999723E-3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11"/>
      <c r="H53" s="10"/>
      <c r="I53" s="10">
        <f t="shared" si="8"/>
        <v>19643</v>
      </c>
      <c r="J53" s="10">
        <f t="shared" si="6"/>
        <v>148406899703.13831</v>
      </c>
      <c r="K53" s="11">
        <f t="shared" si="7"/>
        <v>5.4999999999998384E-3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11"/>
      <c r="H54" s="10"/>
      <c r="I54" s="10">
        <f t="shared" si="8"/>
        <v>19643</v>
      </c>
      <c r="J54" s="10">
        <f t="shared" si="6"/>
        <v>147595126507.3479</v>
      </c>
      <c r="K54" s="11">
        <f t="shared" si="7"/>
        <v>4.8999999999999044E-3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11"/>
      <c r="H55" s="10"/>
      <c r="I55" s="10">
        <f t="shared" si="8"/>
        <v>19643</v>
      </c>
      <c r="J55" s="10">
        <f t="shared" si="6"/>
        <v>146875436866.70108</v>
      </c>
      <c r="K55" s="11">
        <f t="shared" si="7"/>
        <v>4.3999999999999595E-3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11"/>
      <c r="H56" s="10"/>
      <c r="I56" s="10">
        <f t="shared" si="8"/>
        <v>19643</v>
      </c>
      <c r="J56" s="10">
        <f t="shared" si="6"/>
        <v>146232015996.31729</v>
      </c>
      <c r="K56" s="11">
        <f t="shared" si="7"/>
        <v>4.0000000000000036E-3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11"/>
      <c r="H57" s="10"/>
      <c r="I57" s="10">
        <f t="shared" si="8"/>
        <v>19643</v>
      </c>
      <c r="J57" s="10">
        <f t="shared" si="6"/>
        <v>145649418323.02518</v>
      </c>
      <c r="K57" s="11">
        <f t="shared" si="7"/>
        <v>3.5000000000000586E-3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11"/>
      <c r="H58" s="10"/>
      <c r="I58" s="10">
        <f t="shared" si="8"/>
        <v>19643</v>
      </c>
      <c r="J58" s="10">
        <f t="shared" si="6"/>
        <v>145141423341.33051</v>
      </c>
      <c r="K58" s="11">
        <f t="shared" si="7"/>
        <v>2.9999999999998916E-3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11"/>
      <c r="H59" s="10"/>
      <c r="I59" s="10">
        <f t="shared" si="8"/>
        <v>19643</v>
      </c>
      <c r="J59" s="10">
        <f t="shared" si="6"/>
        <v>144707301437.01947</v>
      </c>
      <c r="K59" s="11">
        <f t="shared" si="7"/>
        <v>2.5999999999999357E-3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11"/>
      <c r="H60" s="10"/>
      <c r="I60" s="10">
        <f t="shared" si="8"/>
        <v>19643</v>
      </c>
      <c r="J60" s="10">
        <f t="shared" si="6"/>
        <v>144332038137.86105</v>
      </c>
      <c r="K60" s="11">
        <f t="shared" si="7"/>
        <v>2.4000000000001798E-3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11"/>
      <c r="H61" s="10"/>
      <c r="I61" s="10">
        <f t="shared" si="8"/>
        <v>19643</v>
      </c>
      <c r="J61" s="10">
        <f t="shared" si="6"/>
        <v>143986470608.40088</v>
      </c>
      <c r="K61" s="11">
        <f t="shared" si="7"/>
        <v>2.5999999999999357E-3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11"/>
      <c r="H62" s="10"/>
      <c r="I62" s="10">
        <f t="shared" si="8"/>
        <v>19643</v>
      </c>
      <c r="J62" s="10">
        <f t="shared" si="6"/>
        <v>143613076609.21692</v>
      </c>
      <c r="K62" s="11">
        <f t="shared" si="7"/>
        <v>3.2000000000000917E-3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11"/>
      <c r="H63" s="10"/>
      <c r="I63" s="10">
        <f t="shared" si="8"/>
        <v>19643</v>
      </c>
      <c r="J63" s="10">
        <f t="shared" si="6"/>
        <v>143154980671.06949</v>
      </c>
      <c r="K63" s="11">
        <f t="shared" si="7"/>
        <v>4.0000000000000036E-3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11"/>
      <c r="H64" s="10"/>
      <c r="I64" s="10">
        <f t="shared" si="8"/>
        <v>19643</v>
      </c>
      <c r="J64" s="10">
        <f t="shared" si="6"/>
        <v>142584642102.65884</v>
      </c>
      <c r="K64" s="11">
        <f t="shared" si="7"/>
        <v>4.6999999999999265E-3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11"/>
      <c r="H65" s="10"/>
      <c r="I65" s="10">
        <f t="shared" si="8"/>
        <v>19643</v>
      </c>
      <c r="J65" s="10">
        <f t="shared" si="6"/>
        <v>141917629245.20639</v>
      </c>
      <c r="K65" s="11">
        <f t="shared" si="7"/>
        <v>5.2000000000000934E-3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11"/>
      <c r="H66" s="10"/>
      <c r="I66" s="10">
        <f t="shared" si="8"/>
        <v>19643</v>
      </c>
      <c r="J66" s="10">
        <f t="shared" ref="J66:J97" si="9">IF(I66="","",I66*C66)</f>
        <v>141183475174.30002</v>
      </c>
      <c r="K66" s="11">
        <f t="shared" ref="K66:K97" si="10">IFERROR(J66/J67-1,"")</f>
        <v>5.1000000000001044E-3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19643</v>
      </c>
      <c r="J67" s="10">
        <f t="shared" si="9"/>
        <v>140467093000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5"/>
      <c r="G2" s="11"/>
      <c r="H2" s="10"/>
      <c r="I2" s="10">
        <f>IF(H2&lt;&gt;"",H2,1560)</f>
        <v>1560</v>
      </c>
      <c r="J2" s="10">
        <f t="shared" ref="J2:J33" si="3">IF(I2="","",I2*C2)</f>
        <v>25050074710.569733</v>
      </c>
      <c r="K2" s="11">
        <f t="shared" ref="K2:K33" si="4">IFERROR(J2/J3-1,"")</f>
        <v>1.1500000000000066E-2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11"/>
      <c r="H3" s="10"/>
      <c r="I3" s="10">
        <f t="shared" ref="I3:I34" si="5">IF(H3&lt;&gt;"",H3,I2/(1+IF(G2="",0,G2)))</f>
        <v>1560</v>
      </c>
      <c r="J3" s="10">
        <f t="shared" si="3"/>
        <v>24765274058.892467</v>
      </c>
      <c r="K3" s="11">
        <f t="shared" si="4"/>
        <v>1.1900000000000022E-2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11"/>
      <c r="H4" s="10"/>
      <c r="I4" s="10">
        <f t="shared" si="5"/>
        <v>1560</v>
      </c>
      <c r="J4" s="10">
        <f t="shared" si="3"/>
        <v>24474033065.41404</v>
      </c>
      <c r="K4" s="11">
        <f t="shared" si="4"/>
        <v>1.2199999999999989E-2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11"/>
      <c r="H5" s="10"/>
      <c r="I5" s="10">
        <f t="shared" si="5"/>
        <v>1560</v>
      </c>
      <c r="J5" s="10">
        <f t="shared" si="3"/>
        <v>24179048671.620274</v>
      </c>
      <c r="K5" s="11">
        <f t="shared" si="4"/>
        <v>1.2499999999999956E-2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11"/>
      <c r="H6" s="10"/>
      <c r="I6" s="10">
        <f t="shared" si="5"/>
        <v>1560</v>
      </c>
      <c r="J6" s="10">
        <f t="shared" si="3"/>
        <v>23880541897.896568</v>
      </c>
      <c r="K6" s="11">
        <f t="shared" si="4"/>
        <v>1.2699999999999934E-2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11"/>
      <c r="H7" s="10"/>
      <c r="I7" s="10">
        <f t="shared" si="5"/>
        <v>1560</v>
      </c>
      <c r="J7" s="10">
        <f t="shared" si="3"/>
        <v>23581062405.34864</v>
      </c>
      <c r="K7" s="11">
        <f t="shared" si="4"/>
        <v>1.2799999999999923E-2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11"/>
      <c r="H8" s="10"/>
      <c r="I8" s="10">
        <f t="shared" si="5"/>
        <v>1560</v>
      </c>
      <c r="J8" s="10">
        <f t="shared" si="3"/>
        <v>23283039499.75182</v>
      </c>
      <c r="K8" s="11">
        <f t="shared" si="4"/>
        <v>1.2699999999999934E-2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11"/>
      <c r="H9" s="10"/>
      <c r="I9" s="10">
        <f t="shared" si="5"/>
        <v>1560</v>
      </c>
      <c r="J9" s="10">
        <f t="shared" si="3"/>
        <v>22991053125.063515</v>
      </c>
      <c r="K9" s="11">
        <f t="shared" si="4"/>
        <v>1.2299999999999978E-2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11"/>
      <c r="H10" s="10"/>
      <c r="I10" s="10">
        <f t="shared" si="5"/>
        <v>1560</v>
      </c>
      <c r="J10" s="10">
        <f t="shared" si="3"/>
        <v>22711699224.600925</v>
      </c>
      <c r="K10" s="11">
        <f t="shared" si="4"/>
        <v>1.2199999999999989E-2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11"/>
      <c r="H11" s="10"/>
      <c r="I11" s="10">
        <f t="shared" si="5"/>
        <v>1560</v>
      </c>
      <c r="J11" s="10">
        <f t="shared" si="3"/>
        <v>22437956159.455566</v>
      </c>
      <c r="K11" s="11">
        <f t="shared" si="4"/>
        <v>1.2499999999999956E-2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11"/>
      <c r="H12" s="10"/>
      <c r="I12" s="10">
        <f t="shared" si="5"/>
        <v>1560</v>
      </c>
      <c r="J12" s="10">
        <f t="shared" si="3"/>
        <v>22160944355.017845</v>
      </c>
      <c r="K12" s="11">
        <f t="shared" si="4"/>
        <v>1.3100000000000334E-2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11"/>
      <c r="H13" s="10"/>
      <c r="I13" s="10">
        <f t="shared" si="5"/>
        <v>1560</v>
      </c>
      <c r="J13" s="10">
        <f t="shared" si="3"/>
        <v>21874389848.008923</v>
      </c>
      <c r="K13" s="11">
        <f t="shared" si="4"/>
        <v>1.3700000000000045E-2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11"/>
      <c r="H14" s="10"/>
      <c r="I14" s="10">
        <f t="shared" si="5"/>
        <v>1560</v>
      </c>
      <c r="J14" s="10">
        <f t="shared" si="3"/>
        <v>21578760824.710388</v>
      </c>
      <c r="K14" s="11">
        <f t="shared" si="4"/>
        <v>1.4399999999999746E-2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11"/>
      <c r="H15" s="10"/>
      <c r="I15" s="10">
        <f t="shared" si="5"/>
        <v>1560</v>
      </c>
      <c r="J15" s="10">
        <f t="shared" si="3"/>
        <v>21272437721.520496</v>
      </c>
      <c r="K15" s="11">
        <f t="shared" si="4"/>
        <v>1.4999999999999902E-2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11"/>
      <c r="H16" s="10"/>
      <c r="I16" s="10">
        <f t="shared" si="5"/>
        <v>1560</v>
      </c>
      <c r="J16" s="10">
        <f t="shared" si="3"/>
        <v>20958066720.70985</v>
      </c>
      <c r="K16" s="11">
        <f t="shared" si="4"/>
        <v>1.5700000000000047E-2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11"/>
      <c r="H17" s="10"/>
      <c r="I17" s="10">
        <f t="shared" si="5"/>
        <v>1560</v>
      </c>
      <c r="J17" s="10">
        <f t="shared" si="3"/>
        <v>20634111175.258293</v>
      </c>
      <c r="K17" s="11">
        <f t="shared" si="4"/>
        <v>1.6199999999999992E-2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11"/>
      <c r="H18" s="10"/>
      <c r="I18" s="10">
        <f t="shared" si="5"/>
        <v>1560</v>
      </c>
      <c r="J18" s="10">
        <f t="shared" si="3"/>
        <v>20305167462.367931</v>
      </c>
      <c r="K18" s="11">
        <f t="shared" si="4"/>
        <v>1.6199999999999992E-2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11"/>
      <c r="H19" s="10"/>
      <c r="I19" s="10">
        <f t="shared" si="5"/>
        <v>1560</v>
      </c>
      <c r="J19" s="10">
        <f t="shared" si="3"/>
        <v>19981467685.857048</v>
      </c>
      <c r="K19" s="11">
        <f t="shared" si="4"/>
        <v>1.6100000000000003E-2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11"/>
      <c r="H20" s="10"/>
      <c r="I20" s="10">
        <f t="shared" si="5"/>
        <v>1560</v>
      </c>
      <c r="J20" s="10">
        <f t="shared" si="3"/>
        <v>19664863385.352867</v>
      </c>
      <c r="K20" s="11">
        <f t="shared" si="4"/>
        <v>1.6999999999999904E-2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11"/>
      <c r="H21" s="10"/>
      <c r="I21" s="10">
        <f t="shared" si="5"/>
        <v>1560</v>
      </c>
      <c r="J21" s="10">
        <f t="shared" si="3"/>
        <v>19336148854.820915</v>
      </c>
      <c r="K21" s="11">
        <f t="shared" si="4"/>
        <v>1.6899999999999915E-2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11"/>
      <c r="H22" s="10"/>
      <c r="I22" s="10">
        <f t="shared" si="5"/>
        <v>1560</v>
      </c>
      <c r="J22" s="10">
        <f t="shared" si="3"/>
        <v>19014798755.847099</v>
      </c>
      <c r="K22" s="11">
        <f t="shared" si="4"/>
        <v>1.7500000000000071E-2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11"/>
      <c r="H23" s="10"/>
      <c r="I23" s="10">
        <f t="shared" si="5"/>
        <v>1560</v>
      </c>
      <c r="J23" s="10">
        <f t="shared" si="3"/>
        <v>18687762905.009434</v>
      </c>
      <c r="K23" s="11">
        <f t="shared" si="4"/>
        <v>1.8000000000000016E-2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11"/>
      <c r="H24" s="10"/>
      <c r="I24" s="10">
        <f t="shared" si="5"/>
        <v>1560</v>
      </c>
      <c r="J24" s="10">
        <f t="shared" si="3"/>
        <v>18357330947.9464</v>
      </c>
      <c r="K24" s="11">
        <f t="shared" si="4"/>
        <v>1.9000000000000128E-2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11"/>
      <c r="H25" s="10"/>
      <c r="I25" s="10">
        <f t="shared" si="5"/>
        <v>1560</v>
      </c>
      <c r="J25" s="10">
        <f t="shared" si="3"/>
        <v>18015045091.213345</v>
      </c>
      <c r="K25" s="11">
        <f t="shared" si="4"/>
        <v>1.9300000000000095E-2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11"/>
      <c r="H26" s="10"/>
      <c r="I26" s="10">
        <f t="shared" si="5"/>
        <v>1560</v>
      </c>
      <c r="J26" s="10">
        <f t="shared" si="3"/>
        <v>17673938086.150635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11"/>
      <c r="H27" s="10"/>
      <c r="I27" s="10">
        <f t="shared" si="5"/>
        <v>1560</v>
      </c>
      <c r="J27" s="10">
        <f t="shared" si="3"/>
        <v>17334188001.324669</v>
      </c>
      <c r="K27" s="11">
        <f t="shared" si="4"/>
        <v>1.980000000000004E-2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11"/>
      <c r="H28" s="10"/>
      <c r="I28" s="10">
        <f t="shared" si="5"/>
        <v>1560</v>
      </c>
      <c r="J28" s="10">
        <f t="shared" si="3"/>
        <v>16997634831.657845</v>
      </c>
      <c r="K28" s="11">
        <f t="shared" si="4"/>
        <v>2.0599999999999952E-2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11"/>
      <c r="H29" s="10"/>
      <c r="I29" s="10">
        <f t="shared" si="5"/>
        <v>1560</v>
      </c>
      <c r="J29" s="10">
        <f t="shared" si="3"/>
        <v>16654551079.421757</v>
      </c>
      <c r="K29" s="11">
        <f t="shared" si="4"/>
        <v>2.0899999999999919E-2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11"/>
      <c r="H30" s="10"/>
      <c r="I30" s="10">
        <f t="shared" si="5"/>
        <v>1560</v>
      </c>
      <c r="J30" s="10">
        <f t="shared" si="3"/>
        <v>16313596904.125536</v>
      </c>
      <c r="K30" s="11">
        <f t="shared" si="4"/>
        <v>2.1200000000000108E-2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11"/>
      <c r="H31" s="10"/>
      <c r="I31" s="10">
        <f t="shared" si="5"/>
        <v>1560</v>
      </c>
      <c r="J31" s="10">
        <f t="shared" si="3"/>
        <v>15974928421.587872</v>
      </c>
      <c r="K31" s="11">
        <f t="shared" si="4"/>
        <v>2.1500000000000075E-2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11"/>
      <c r="H32" s="10"/>
      <c r="I32" s="10">
        <f t="shared" si="5"/>
        <v>1560</v>
      </c>
      <c r="J32" s="10">
        <f t="shared" si="3"/>
        <v>15638696447.9568</v>
      </c>
      <c r="K32" s="11">
        <f t="shared" si="4"/>
        <v>2.1900000000000031E-2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11"/>
      <c r="H33" s="10"/>
      <c r="I33" s="10">
        <f t="shared" si="5"/>
        <v>1560</v>
      </c>
      <c r="J33" s="10">
        <f t="shared" si="3"/>
        <v>15303548730.753304</v>
      </c>
      <c r="K33" s="11">
        <f t="shared" si="4"/>
        <v>2.2199999999999998E-2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11"/>
      <c r="H34" s="10"/>
      <c r="I34" s="10">
        <f t="shared" si="5"/>
        <v>1560</v>
      </c>
      <c r="J34" s="10">
        <f t="shared" ref="J34:J65" si="6">IF(I34="","",I34*C34)</f>
        <v>14971188349.396698</v>
      </c>
      <c r="K34" s="11">
        <f t="shared" ref="K34:K65" si="7">IFERROR(J34/J35-1,"")</f>
        <v>2.2499999999999964E-2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11"/>
      <c r="H35" s="10"/>
      <c r="I35" s="10">
        <f t="shared" ref="I35:I66" si="8">IF(H35&lt;&gt;"",H35,I34/(1+IF(G34="",0,G34)))</f>
        <v>1560</v>
      </c>
      <c r="J35" s="10">
        <f t="shared" si="6"/>
        <v>14641748996.964985</v>
      </c>
      <c r="K35" s="11">
        <f t="shared" si="7"/>
        <v>2.2699999999999942E-2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11"/>
      <c r="H36" s="10"/>
      <c r="I36" s="10">
        <f t="shared" si="8"/>
        <v>1560</v>
      </c>
      <c r="J36" s="10">
        <f t="shared" si="6"/>
        <v>14316758577.261158</v>
      </c>
      <c r="K36" s="11">
        <f t="shared" si="7"/>
        <v>2.289999999999992E-2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11"/>
      <c r="H37" s="10"/>
      <c r="I37" s="10">
        <f t="shared" si="8"/>
        <v>1560</v>
      </c>
      <c r="J37" s="10">
        <f t="shared" si="6"/>
        <v>13996244576.46022</v>
      </c>
      <c r="K37" s="11">
        <f t="shared" si="7"/>
        <v>2.3099999999999898E-2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11"/>
      <c r="H38" s="10"/>
      <c r="I38" s="10">
        <f t="shared" si="8"/>
        <v>1560</v>
      </c>
      <c r="J38" s="10">
        <f t="shared" si="6"/>
        <v>13680231234.933264</v>
      </c>
      <c r="K38" s="11">
        <f t="shared" si="7"/>
        <v>2.3300000000000098E-2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11"/>
      <c r="H39" s="10"/>
      <c r="I39" s="10">
        <f t="shared" si="8"/>
        <v>1560</v>
      </c>
      <c r="J39" s="10">
        <f t="shared" si="6"/>
        <v>13368739602.201958</v>
      </c>
      <c r="K39" s="11">
        <f t="shared" si="7"/>
        <v>2.3600000000000065E-2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11"/>
      <c r="H40" s="10"/>
      <c r="I40" s="10">
        <f t="shared" si="8"/>
        <v>1560</v>
      </c>
      <c r="J40" s="10">
        <f t="shared" si="6"/>
        <v>13060511530.091789</v>
      </c>
      <c r="K40" s="11">
        <f t="shared" si="7"/>
        <v>2.3800000000000043E-2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11"/>
      <c r="H41" s="10"/>
      <c r="I41" s="10">
        <f t="shared" si="8"/>
        <v>1560</v>
      </c>
      <c r="J41" s="10">
        <f t="shared" si="6"/>
        <v>12756897372.623354</v>
      </c>
      <c r="K41" s="11">
        <f t="shared" si="7"/>
        <v>2.410000000000001E-2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11"/>
      <c r="H42" s="10"/>
      <c r="I42" s="10">
        <f t="shared" si="8"/>
        <v>1560</v>
      </c>
      <c r="J42" s="10">
        <f t="shared" si="6"/>
        <v>12456691116.710627</v>
      </c>
      <c r="K42" s="11">
        <f t="shared" si="7"/>
        <v>2.4399999999999977E-2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11"/>
      <c r="H43" s="10"/>
      <c r="I43" s="10">
        <f t="shared" si="8"/>
        <v>1560</v>
      </c>
      <c r="J43" s="10">
        <f t="shared" si="6"/>
        <v>12159987423.575388</v>
      </c>
      <c r="K43" s="11">
        <f t="shared" si="7"/>
        <v>2.4799999999999933E-2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11"/>
      <c r="H44" s="10"/>
      <c r="I44" s="10">
        <f t="shared" si="8"/>
        <v>1560</v>
      </c>
      <c r="J44" s="10">
        <f t="shared" si="6"/>
        <v>11865717626.439684</v>
      </c>
      <c r="K44" s="11">
        <f t="shared" si="7"/>
        <v>2.5099999999999678E-2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11"/>
      <c r="H45" s="10"/>
      <c r="I45" s="10">
        <f t="shared" si="8"/>
        <v>1560</v>
      </c>
      <c r="J45" s="10">
        <f t="shared" si="6"/>
        <v>11575180593.541788</v>
      </c>
      <c r="K45" s="11">
        <f t="shared" si="7"/>
        <v>2.55000000000003E-2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11"/>
      <c r="H46" s="10"/>
      <c r="I46" s="10">
        <f t="shared" si="8"/>
        <v>1560</v>
      </c>
      <c r="J46" s="10">
        <f t="shared" si="6"/>
        <v>11287353089.753082</v>
      </c>
      <c r="K46" s="11">
        <f t="shared" si="7"/>
        <v>2.5800000000000045E-2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11"/>
      <c r="H47" s="10"/>
      <c r="I47" s="10">
        <f t="shared" si="8"/>
        <v>1560</v>
      </c>
      <c r="J47" s="10">
        <f t="shared" si="6"/>
        <v>11003463725.631783</v>
      </c>
      <c r="K47" s="11">
        <f t="shared" si="7"/>
        <v>2.6100000000000012E-2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11"/>
      <c r="H48" s="10"/>
      <c r="I48" s="10">
        <f t="shared" si="8"/>
        <v>1560</v>
      </c>
      <c r="J48" s="10">
        <f t="shared" si="6"/>
        <v>10723578331.18778</v>
      </c>
      <c r="K48" s="11">
        <f t="shared" si="7"/>
        <v>2.6599999999999957E-2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11"/>
      <c r="H49" s="10"/>
      <c r="I49" s="10">
        <f t="shared" si="8"/>
        <v>1560</v>
      </c>
      <c r="J49" s="10">
        <f t="shared" si="6"/>
        <v>10445722122.723339</v>
      </c>
      <c r="K49" s="11">
        <f t="shared" si="7"/>
        <v>2.7199999999999891E-2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11"/>
      <c r="H50" s="10"/>
      <c r="I50" s="10">
        <f t="shared" si="8"/>
        <v>1560</v>
      </c>
      <c r="J50" s="10">
        <f t="shared" si="6"/>
        <v>10169122004.208858</v>
      </c>
      <c r="K50" s="11">
        <f t="shared" si="7"/>
        <v>2.7799999999999825E-2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11"/>
      <c r="H51" s="10"/>
      <c r="I51" s="10">
        <f t="shared" si="8"/>
        <v>1560</v>
      </c>
      <c r="J51" s="10">
        <f t="shared" si="6"/>
        <v>9894066943.1882267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11"/>
      <c r="H52" s="10"/>
      <c r="I52" s="10">
        <f t="shared" si="8"/>
        <v>1560</v>
      </c>
      <c r="J52" s="10">
        <f t="shared" si="6"/>
        <v>9621770828.7350254</v>
      </c>
      <c r="K52" s="11">
        <f t="shared" si="7"/>
        <v>2.8799999999999937E-2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11"/>
      <c r="H53" s="10"/>
      <c r="I53" s="10">
        <f t="shared" si="8"/>
        <v>1560</v>
      </c>
      <c r="J53" s="10">
        <f t="shared" si="6"/>
        <v>9352421101.0254917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11"/>
      <c r="H54" s="10"/>
      <c r="I54" s="10">
        <f t="shared" si="8"/>
        <v>1560</v>
      </c>
      <c r="J54" s="10">
        <f t="shared" si="6"/>
        <v>9086195570.8010216</v>
      </c>
      <c r="K54" s="11">
        <f t="shared" si="7"/>
        <v>2.9799999999999827E-2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11"/>
      <c r="H55" s="10"/>
      <c r="I55" s="10">
        <f t="shared" si="8"/>
        <v>1560</v>
      </c>
      <c r="J55" s="10">
        <f t="shared" si="6"/>
        <v>8823262352.690836</v>
      </c>
      <c r="K55" s="11">
        <f t="shared" si="7"/>
        <v>3.0200000000000005E-2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11"/>
      <c r="H56" s="10"/>
      <c r="I56" s="10">
        <f t="shared" si="8"/>
        <v>1560</v>
      </c>
      <c r="J56" s="10">
        <f t="shared" si="6"/>
        <v>8564611097.5449772</v>
      </c>
      <c r="K56" s="11">
        <f t="shared" si="7"/>
        <v>3.0599999999999961E-2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11"/>
      <c r="H57" s="10"/>
      <c r="I57" s="10">
        <f t="shared" si="8"/>
        <v>1560</v>
      </c>
      <c r="J57" s="10">
        <f t="shared" si="6"/>
        <v>8310315444.9301157</v>
      </c>
      <c r="K57" s="11">
        <f t="shared" si="7"/>
        <v>3.0899999999999928E-2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11"/>
      <c r="H58" s="10"/>
      <c r="I58" s="10">
        <f t="shared" si="8"/>
        <v>1560</v>
      </c>
      <c r="J58" s="10">
        <f t="shared" si="6"/>
        <v>8061223634.620348</v>
      </c>
      <c r="K58" s="11">
        <f t="shared" si="7"/>
        <v>3.1199999999999894E-2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11"/>
      <c r="H59" s="10"/>
      <c r="I59" s="10">
        <f t="shared" si="8"/>
        <v>1560</v>
      </c>
      <c r="J59" s="10">
        <f t="shared" si="6"/>
        <v>7817323152.2695389</v>
      </c>
      <c r="K59" s="11">
        <f t="shared" si="7"/>
        <v>3.1400000000000095E-2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11"/>
      <c r="H60" s="10"/>
      <c r="I60" s="10">
        <f t="shared" si="8"/>
        <v>1560</v>
      </c>
      <c r="J60" s="10">
        <f t="shared" si="6"/>
        <v>7579332123.5888481</v>
      </c>
      <c r="K60" s="11">
        <f t="shared" si="7"/>
        <v>3.1600000000000072E-2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11"/>
      <c r="H61" s="10"/>
      <c r="I61" s="10">
        <f t="shared" si="8"/>
        <v>1560</v>
      </c>
      <c r="J61" s="10">
        <f t="shared" si="6"/>
        <v>7347161810.3808146</v>
      </c>
      <c r="K61" s="11">
        <f t="shared" si="7"/>
        <v>3.1500000000000083E-2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11"/>
      <c r="H62" s="10"/>
      <c r="I62" s="10">
        <f t="shared" si="8"/>
        <v>1560</v>
      </c>
      <c r="J62" s="10">
        <f t="shared" si="6"/>
        <v>7122793805.5073328</v>
      </c>
      <c r="K62" s="11">
        <f t="shared" si="7"/>
        <v>3.1300000000000106E-2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11"/>
      <c r="H63" s="10"/>
      <c r="I63" s="10">
        <f t="shared" si="8"/>
        <v>1560</v>
      </c>
      <c r="J63" s="10">
        <f t="shared" si="6"/>
        <v>6906616702.7124329</v>
      </c>
      <c r="K63" s="11">
        <f t="shared" si="7"/>
        <v>3.0799999999999939E-2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11"/>
      <c r="H64" s="10"/>
      <c r="I64" s="10">
        <f t="shared" si="8"/>
        <v>1560</v>
      </c>
      <c r="J64" s="10">
        <f t="shared" si="6"/>
        <v>6700249032.5110922</v>
      </c>
      <c r="K64" s="11">
        <f t="shared" si="7"/>
        <v>3.0299999999999994E-2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11"/>
      <c r="H65" s="10"/>
      <c r="I65" s="10">
        <f t="shared" si="8"/>
        <v>1560</v>
      </c>
      <c r="J65" s="10">
        <f t="shared" si="6"/>
        <v>6503202011.5607996</v>
      </c>
      <c r="K65" s="11">
        <f t="shared" si="7"/>
        <v>2.970000000000006E-2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11"/>
      <c r="H66" s="10"/>
      <c r="I66" s="10">
        <f t="shared" si="8"/>
        <v>1560</v>
      </c>
      <c r="J66" s="10">
        <f t="shared" ref="J66:J97" si="9">IF(I66="","",I66*C66)</f>
        <v>6315627863.999999</v>
      </c>
      <c r="K66" s="11">
        <f t="shared" ref="K66:K97" si="10">IFERROR(J66/J67-1,"")</f>
        <v>2.9099999999999904E-2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11"/>
      <c r="H67" s="10"/>
      <c r="I67" s="10">
        <f t="shared" ref="I67:I98" si="11">IF(H67&lt;&gt;"",H67,I66/(1+IF(G66="",0,G66)))</f>
        <v>1560</v>
      </c>
      <c r="J67" s="10">
        <f t="shared" si="9"/>
        <v>6137040000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5">
        <v>15795087</v>
      </c>
      <c r="G2" s="11"/>
      <c r="H2" s="10"/>
      <c r="I2" s="10">
        <f>IF(H2&lt;&gt;"",H2,18651)</f>
        <v>18651</v>
      </c>
      <c r="J2" s="10">
        <f t="shared" ref="J2:J33" si="3">IF(I2="","",I2*C2)</f>
        <v>294595184377.02997</v>
      </c>
      <c r="K2" s="11">
        <f t="shared" ref="K2:K33" si="4">IFERROR(J2/J3-1,"")</f>
        <v>2.1900000000000031E-2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11"/>
      <c r="H3" s="10"/>
      <c r="I3" s="10">
        <f t="shared" ref="I3:I34" si="5">IF(H3&lt;&gt;"",H3,I2/(1+IF(G2="",0,G2)))</f>
        <v>18651</v>
      </c>
      <c r="J3" s="10">
        <f t="shared" si="3"/>
        <v>288281812679.35217</v>
      </c>
      <c r="K3" s="11">
        <f t="shared" si="4"/>
        <v>2.0400000000000196E-2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11"/>
      <c r="H4" s="10"/>
      <c r="I4" s="10">
        <f t="shared" si="5"/>
        <v>18651</v>
      </c>
      <c r="J4" s="10">
        <f t="shared" si="3"/>
        <v>282518436573.25769</v>
      </c>
      <c r="K4" s="11">
        <f t="shared" si="4"/>
        <v>1.9199999999999884E-2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11"/>
      <c r="H5" s="10"/>
      <c r="I5" s="10">
        <f t="shared" si="5"/>
        <v>18651</v>
      </c>
      <c r="J5" s="10">
        <f t="shared" si="3"/>
        <v>277196268223.36902</v>
      </c>
      <c r="K5" s="11">
        <f t="shared" si="4"/>
        <v>1.8799999999999928E-2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11"/>
      <c r="H6" s="10"/>
      <c r="I6" s="10">
        <f t="shared" si="5"/>
        <v>18651</v>
      </c>
      <c r="J6" s="10">
        <f t="shared" si="3"/>
        <v>272081142739.85968</v>
      </c>
      <c r="K6" s="11">
        <f t="shared" si="4"/>
        <v>1.8799999999999928E-2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11"/>
      <c r="H7" s="10"/>
      <c r="I7" s="10">
        <f t="shared" si="5"/>
        <v>18651</v>
      </c>
      <c r="J7" s="10">
        <f t="shared" si="3"/>
        <v>267060407086.63104</v>
      </c>
      <c r="K7" s="11">
        <f t="shared" si="4"/>
        <v>1.8799999999999928E-2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11"/>
      <c r="H8" s="10"/>
      <c r="I8" s="10">
        <f t="shared" si="5"/>
        <v>18651</v>
      </c>
      <c r="J8" s="10">
        <f t="shared" si="3"/>
        <v>262132319480.39954</v>
      </c>
      <c r="K8" s="11">
        <f t="shared" si="4"/>
        <v>1.8699999999999939E-2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11"/>
      <c r="H9" s="10"/>
      <c r="I9" s="10">
        <f t="shared" si="5"/>
        <v>18651</v>
      </c>
      <c r="J9" s="10">
        <f t="shared" si="3"/>
        <v>257320427486.40381</v>
      </c>
      <c r="K9" s="11">
        <f t="shared" si="4"/>
        <v>1.7700000000000049E-2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11"/>
      <c r="H10" s="10"/>
      <c r="I10" s="10">
        <f t="shared" si="5"/>
        <v>18651</v>
      </c>
      <c r="J10" s="10">
        <f t="shared" si="3"/>
        <v>252845069751.79697</v>
      </c>
      <c r="K10" s="11">
        <f t="shared" si="4"/>
        <v>1.5900000000000025E-2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11"/>
      <c r="H11" s="10"/>
      <c r="I11" s="10">
        <f t="shared" si="5"/>
        <v>18651</v>
      </c>
      <c r="J11" s="10">
        <f t="shared" si="3"/>
        <v>248887754455.94742</v>
      </c>
      <c r="K11" s="11">
        <f t="shared" si="4"/>
        <v>1.4600000000000168E-2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11"/>
      <c r="H12" s="10"/>
      <c r="I12" s="10">
        <f t="shared" si="5"/>
        <v>18651</v>
      </c>
      <c r="J12" s="10">
        <f t="shared" si="3"/>
        <v>245306282728.11688</v>
      </c>
      <c r="K12" s="11">
        <f t="shared" si="4"/>
        <v>1.9099999999999673E-2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11"/>
      <c r="H13" s="10"/>
      <c r="I13" s="10">
        <f t="shared" si="5"/>
        <v>18651</v>
      </c>
      <c r="J13" s="10">
        <f t="shared" si="3"/>
        <v>240708745685.52344</v>
      </c>
      <c r="K13" s="11">
        <f t="shared" si="4"/>
        <v>2.1300000000000097E-2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11"/>
      <c r="H14" s="10"/>
      <c r="I14" s="10">
        <f t="shared" si="5"/>
        <v>18651</v>
      </c>
      <c r="J14" s="10">
        <f t="shared" si="3"/>
        <v>235688578953.80731</v>
      </c>
      <c r="K14" s="11">
        <f t="shared" si="4"/>
        <v>1.5300000000000091E-2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11"/>
      <c r="H15" s="10"/>
      <c r="I15" s="10">
        <f t="shared" si="5"/>
        <v>18651</v>
      </c>
      <c r="J15" s="10">
        <f t="shared" si="3"/>
        <v>232136884619.13455</v>
      </c>
      <c r="K15" s="11">
        <f t="shared" si="4"/>
        <v>1.2699999999999934E-2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11"/>
      <c r="H16" s="10"/>
      <c r="I16" s="10">
        <f t="shared" si="5"/>
        <v>18651</v>
      </c>
      <c r="J16" s="10">
        <f t="shared" si="3"/>
        <v>229225718000.52786</v>
      </c>
      <c r="K16" s="11">
        <f t="shared" si="4"/>
        <v>1.3900000000000023E-2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11"/>
      <c r="H17" s="10"/>
      <c r="I17" s="10">
        <f t="shared" si="5"/>
        <v>18651</v>
      </c>
      <c r="J17" s="10">
        <f t="shared" si="3"/>
        <v>226083162048.05981</v>
      </c>
      <c r="K17" s="11">
        <f t="shared" si="4"/>
        <v>1.419999999999999E-2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11"/>
      <c r="H18" s="10"/>
      <c r="I18" s="10">
        <f t="shared" si="5"/>
        <v>18651</v>
      </c>
      <c r="J18" s="10">
        <f t="shared" si="3"/>
        <v>222917730278.11066</v>
      </c>
      <c r="K18" s="11">
        <f t="shared" si="4"/>
        <v>1.330000000000009E-2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11"/>
      <c r="H19" s="10"/>
      <c r="I19" s="10">
        <f t="shared" si="5"/>
        <v>18651</v>
      </c>
      <c r="J19" s="10">
        <f t="shared" si="3"/>
        <v>219991838821.78094</v>
      </c>
      <c r="K19" s="11">
        <f t="shared" si="4"/>
        <v>1.1700000000000266E-2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11"/>
      <c r="H20" s="10"/>
      <c r="I20" s="10">
        <f t="shared" si="5"/>
        <v>18651</v>
      </c>
      <c r="J20" s="10">
        <f t="shared" si="3"/>
        <v>217447700723.31808</v>
      </c>
      <c r="K20" s="11">
        <f t="shared" si="4"/>
        <v>1.0499999999999732E-2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11"/>
      <c r="H21" s="10"/>
      <c r="I21" s="10">
        <f t="shared" si="5"/>
        <v>18651</v>
      </c>
      <c r="J21" s="10">
        <f t="shared" si="3"/>
        <v>215188224367.45981</v>
      </c>
      <c r="K21" s="11">
        <f t="shared" si="4"/>
        <v>1.0799999999999921E-2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11"/>
      <c r="H22" s="10"/>
      <c r="I22" s="10">
        <f t="shared" si="5"/>
        <v>18651</v>
      </c>
      <c r="J22" s="10">
        <f t="shared" si="3"/>
        <v>212889022919.92462</v>
      </c>
      <c r="K22" s="11">
        <f t="shared" si="4"/>
        <v>1.2199999999999989E-2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11"/>
      <c r="H23" s="10"/>
      <c r="I23" s="10">
        <f t="shared" si="5"/>
        <v>18651</v>
      </c>
      <c r="J23" s="10">
        <f t="shared" si="3"/>
        <v>210323081327.72635</v>
      </c>
      <c r="K23" s="11">
        <f t="shared" si="4"/>
        <v>1.2699999999999934E-2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11"/>
      <c r="H24" s="10"/>
      <c r="I24" s="10">
        <f t="shared" si="5"/>
        <v>18651</v>
      </c>
      <c r="J24" s="10">
        <f t="shared" si="3"/>
        <v>207685475785.25366</v>
      </c>
      <c r="K24" s="11">
        <f t="shared" si="4"/>
        <v>1.1900000000000022E-2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11"/>
      <c r="H25" s="10"/>
      <c r="I25" s="10">
        <f t="shared" si="5"/>
        <v>18651</v>
      </c>
      <c r="J25" s="10">
        <f t="shared" si="3"/>
        <v>205243083096.4064</v>
      </c>
      <c r="K25" s="11">
        <f t="shared" si="4"/>
        <v>1.0799999999999921E-2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11"/>
      <c r="H26" s="10"/>
      <c r="I26" s="10">
        <f t="shared" si="5"/>
        <v>18651</v>
      </c>
      <c r="J26" s="10">
        <f t="shared" si="3"/>
        <v>203050141567.47766</v>
      </c>
      <c r="K26" s="11">
        <f t="shared" si="4"/>
        <v>1.0099999999999998E-2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11"/>
      <c r="H27" s="10"/>
      <c r="I27" s="10">
        <f t="shared" si="5"/>
        <v>18651</v>
      </c>
      <c r="J27" s="10">
        <f t="shared" si="3"/>
        <v>201019841171.64404</v>
      </c>
      <c r="K27" s="11">
        <f t="shared" si="4"/>
        <v>9.9999999999997868E-3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11"/>
      <c r="H28" s="10"/>
      <c r="I28" s="10">
        <f t="shared" si="5"/>
        <v>18651</v>
      </c>
      <c r="J28" s="10">
        <f t="shared" si="3"/>
        <v>199029545714.49908</v>
      </c>
      <c r="K28" s="11">
        <f t="shared" si="4"/>
        <v>1.089999999999991E-2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11"/>
      <c r="H29" s="10"/>
      <c r="I29" s="10">
        <f t="shared" si="5"/>
        <v>18651</v>
      </c>
      <c r="J29" s="10">
        <f t="shared" si="3"/>
        <v>196883515396.67532</v>
      </c>
      <c r="K29" s="11">
        <f t="shared" si="4"/>
        <v>1.2599999999999945E-2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11"/>
      <c r="H30" s="10"/>
      <c r="I30" s="10">
        <f t="shared" si="5"/>
        <v>18651</v>
      </c>
      <c r="J30" s="10">
        <f t="shared" si="3"/>
        <v>194433651389.17175</v>
      </c>
      <c r="K30" s="11">
        <f t="shared" si="4"/>
        <v>1.4599999999999946E-2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11"/>
      <c r="H31" s="10"/>
      <c r="I31" s="10">
        <f t="shared" si="5"/>
        <v>18651</v>
      </c>
      <c r="J31" s="10">
        <f t="shared" si="3"/>
        <v>191635769159.44388</v>
      </c>
      <c r="K31" s="11">
        <f t="shared" si="4"/>
        <v>1.6299999999999759E-2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11"/>
      <c r="H32" s="10"/>
      <c r="I32" s="10">
        <f t="shared" si="5"/>
        <v>18651</v>
      </c>
      <c r="J32" s="10">
        <f t="shared" si="3"/>
        <v>188562205214.44839</v>
      </c>
      <c r="K32" s="11">
        <f t="shared" si="4"/>
        <v>1.5500000000000069E-2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11"/>
      <c r="H33" s="10"/>
      <c r="I33" s="10">
        <f t="shared" si="5"/>
        <v>18651</v>
      </c>
      <c r="J33" s="10">
        <f t="shared" si="3"/>
        <v>185684101639.04321</v>
      </c>
      <c r="K33" s="11">
        <f t="shared" si="4"/>
        <v>1.3200000000000323E-2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11"/>
      <c r="H34" s="10"/>
      <c r="I34" s="10">
        <f t="shared" si="5"/>
        <v>18651</v>
      </c>
      <c r="J34" s="10">
        <f t="shared" ref="J34:J65" si="6">IF(I34="","",I34*C34)</f>
        <v>183265003591.63361</v>
      </c>
      <c r="K34" s="11">
        <f t="shared" ref="K34:K65" si="7">IFERROR(J34/J35-1,"")</f>
        <v>1.2199999999999989E-2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11"/>
      <c r="H35" s="10"/>
      <c r="I35" s="10">
        <f t="shared" ref="I35:I66" si="8">IF(H35&lt;&gt;"",H35,I34/(1+IF(G34="",0,G34)))</f>
        <v>18651</v>
      </c>
      <c r="J35" s="10">
        <f t="shared" si="6"/>
        <v>181056118940.55881</v>
      </c>
      <c r="K35" s="11">
        <f t="shared" si="7"/>
        <v>1.1600000000000055E-2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11"/>
      <c r="H36" s="10"/>
      <c r="I36" s="10">
        <f t="shared" si="8"/>
        <v>18651</v>
      </c>
      <c r="J36" s="10">
        <f t="shared" si="6"/>
        <v>178979951503.12259</v>
      </c>
      <c r="K36" s="11">
        <f t="shared" si="7"/>
        <v>1.0999999999999899E-2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11"/>
      <c r="H37" s="10"/>
      <c r="I37" s="10">
        <f t="shared" si="8"/>
        <v>18651</v>
      </c>
      <c r="J37" s="10">
        <f t="shared" si="6"/>
        <v>177032592980.3389</v>
      </c>
      <c r="K37" s="11">
        <f t="shared" si="7"/>
        <v>1.0699999999999932E-2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11"/>
      <c r="H38" s="10"/>
      <c r="I38" s="10">
        <f t="shared" si="8"/>
        <v>18651</v>
      </c>
      <c r="J38" s="10">
        <f t="shared" si="6"/>
        <v>175158398120.4501</v>
      </c>
      <c r="K38" s="11">
        <f t="shared" si="7"/>
        <v>1.0500000000000176E-2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11"/>
      <c r="H39" s="10"/>
      <c r="I39" s="10">
        <f t="shared" si="8"/>
        <v>18651</v>
      </c>
      <c r="J39" s="10">
        <f t="shared" si="6"/>
        <v>173338345492.77594</v>
      </c>
      <c r="K39" s="11">
        <f t="shared" si="7"/>
        <v>9.8000000000000309E-3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11"/>
      <c r="H40" s="10"/>
      <c r="I40" s="10">
        <f t="shared" si="8"/>
        <v>18651</v>
      </c>
      <c r="J40" s="10">
        <f t="shared" si="6"/>
        <v>171656115560.28516</v>
      </c>
      <c r="K40" s="11">
        <f t="shared" si="7"/>
        <v>8.999999999999897E-3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11"/>
      <c r="H41" s="10"/>
      <c r="I41" s="10">
        <f t="shared" si="8"/>
        <v>18651</v>
      </c>
      <c r="J41" s="10">
        <f t="shared" si="6"/>
        <v>170124990644.4848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11"/>
      <c r="H42" s="10"/>
      <c r="I42" s="10">
        <f t="shared" si="8"/>
        <v>18651</v>
      </c>
      <c r="J42" s="10">
        <f t="shared" si="6"/>
        <v>168624234953.39957</v>
      </c>
      <c r="K42" s="11">
        <f t="shared" si="7"/>
        <v>9.6000000000000529E-3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11"/>
      <c r="H43" s="10"/>
      <c r="I43" s="10">
        <f t="shared" si="8"/>
        <v>18651</v>
      </c>
      <c r="J43" s="10">
        <f t="shared" si="6"/>
        <v>167020834937.99481</v>
      </c>
      <c r="K43" s="11">
        <f t="shared" si="7"/>
        <v>1.0399999999999965E-2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11"/>
      <c r="H44" s="10"/>
      <c r="I44" s="10">
        <f t="shared" si="8"/>
        <v>18651</v>
      </c>
      <c r="J44" s="10">
        <f t="shared" si="6"/>
        <v>165301697286.21814</v>
      </c>
      <c r="K44" s="11">
        <f t="shared" si="7"/>
        <v>1.0299999999999976E-2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11"/>
      <c r="H45" s="10"/>
      <c r="I45" s="10">
        <f t="shared" si="8"/>
        <v>18651</v>
      </c>
      <c r="J45" s="10">
        <f t="shared" si="6"/>
        <v>163616447873.12494</v>
      </c>
      <c r="K45" s="11">
        <f t="shared" si="7"/>
        <v>9.5000000000000639E-3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11"/>
      <c r="H46" s="10"/>
      <c r="I46" s="10">
        <f t="shared" si="8"/>
        <v>18651</v>
      </c>
      <c r="J46" s="10">
        <f t="shared" si="6"/>
        <v>162076719042.22382</v>
      </c>
      <c r="K46" s="11">
        <f t="shared" si="7"/>
        <v>9.300000000000086E-3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11"/>
      <c r="H47" s="10"/>
      <c r="I47" s="10">
        <f t="shared" si="8"/>
        <v>18651</v>
      </c>
      <c r="J47" s="10">
        <f t="shared" si="6"/>
        <v>160583294404.26413</v>
      </c>
      <c r="K47" s="11">
        <f t="shared" si="7"/>
        <v>9.6000000000000529E-3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11"/>
      <c r="H48" s="10"/>
      <c r="I48" s="10">
        <f t="shared" si="8"/>
        <v>18651</v>
      </c>
      <c r="J48" s="10">
        <f t="shared" si="6"/>
        <v>159056353411.51358</v>
      </c>
      <c r="K48" s="11">
        <f t="shared" si="7"/>
        <v>9.8000000000000309E-3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11"/>
      <c r="H49" s="10"/>
      <c r="I49" s="10">
        <f t="shared" si="8"/>
        <v>18651</v>
      </c>
      <c r="J49" s="10">
        <f t="shared" si="6"/>
        <v>157512728670.54227</v>
      </c>
      <c r="K49" s="11">
        <f t="shared" si="7"/>
        <v>1.0199999999999987E-2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11"/>
      <c r="H50" s="10"/>
      <c r="I50" s="10">
        <f t="shared" si="8"/>
        <v>18651</v>
      </c>
      <c r="J50" s="10">
        <f t="shared" si="6"/>
        <v>155922320996.37921</v>
      </c>
      <c r="K50" s="11">
        <f t="shared" si="7"/>
        <v>1.0799999999999699E-2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11"/>
      <c r="H51" s="10"/>
      <c r="I51" s="10">
        <f t="shared" si="8"/>
        <v>18651</v>
      </c>
      <c r="J51" s="10">
        <f t="shared" si="6"/>
        <v>154256352390.56119</v>
      </c>
      <c r="K51" s="11">
        <f t="shared" si="7"/>
        <v>1.130000000000031E-2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11"/>
      <c r="H52" s="10"/>
      <c r="I52" s="10">
        <f t="shared" si="8"/>
        <v>18651</v>
      </c>
      <c r="J52" s="10">
        <f t="shared" si="6"/>
        <v>152532732513.16241</v>
      </c>
      <c r="K52" s="11">
        <f t="shared" si="7"/>
        <v>1.0999999999999899E-2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11"/>
      <c r="H53" s="10"/>
      <c r="I53" s="10">
        <f t="shared" si="8"/>
        <v>18651</v>
      </c>
      <c r="J53" s="10">
        <f t="shared" si="6"/>
        <v>150873128104.01822</v>
      </c>
      <c r="K53" s="11">
        <f t="shared" si="7"/>
        <v>1.0499999999999732E-2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11"/>
      <c r="H54" s="10"/>
      <c r="I54" s="10">
        <f t="shared" si="8"/>
        <v>18651</v>
      </c>
      <c r="J54" s="10">
        <f t="shared" si="6"/>
        <v>149305421181.61133</v>
      </c>
      <c r="K54" s="11">
        <f t="shared" si="7"/>
        <v>1.0599999999999943E-2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11"/>
      <c r="H55" s="10"/>
      <c r="I55" s="10">
        <f t="shared" si="8"/>
        <v>18651</v>
      </c>
      <c r="J55" s="10">
        <f t="shared" si="6"/>
        <v>147739383714.24039</v>
      </c>
      <c r="K55" s="11">
        <f t="shared" si="7"/>
        <v>1.0599999999999943E-2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11"/>
      <c r="H56" s="10"/>
      <c r="I56" s="10">
        <f t="shared" si="8"/>
        <v>18651</v>
      </c>
      <c r="J56" s="10">
        <f t="shared" si="6"/>
        <v>146189772129.66592</v>
      </c>
      <c r="K56" s="11">
        <f t="shared" si="7"/>
        <v>9.7000000000000419E-3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11"/>
      <c r="H57" s="10"/>
      <c r="I57" s="10">
        <f t="shared" si="8"/>
        <v>18651</v>
      </c>
      <c r="J57" s="10">
        <f t="shared" si="6"/>
        <v>144785354193.98428</v>
      </c>
      <c r="K57" s="11">
        <f t="shared" si="7"/>
        <v>9.200000000000097E-3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11"/>
      <c r="H58" s="10"/>
      <c r="I58" s="10">
        <f t="shared" si="8"/>
        <v>18651</v>
      </c>
      <c r="J58" s="10">
        <f t="shared" si="6"/>
        <v>143465471852.93726</v>
      </c>
      <c r="K58" s="11">
        <f t="shared" si="7"/>
        <v>1.089999999999991E-2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11"/>
      <c r="H59" s="10"/>
      <c r="I59" s="10">
        <f t="shared" si="8"/>
        <v>18651</v>
      </c>
      <c r="J59" s="10">
        <f t="shared" si="6"/>
        <v>141918559553.80084</v>
      </c>
      <c r="K59" s="11">
        <f t="shared" si="7"/>
        <v>1.2499999999999956E-2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11"/>
      <c r="H60" s="10"/>
      <c r="I60" s="10">
        <f t="shared" si="8"/>
        <v>18651</v>
      </c>
      <c r="J60" s="10">
        <f t="shared" si="6"/>
        <v>140166478571.65515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11"/>
      <c r="H61" s="10"/>
      <c r="I61" s="10">
        <f t="shared" si="8"/>
        <v>18651</v>
      </c>
      <c r="J61" s="10">
        <f t="shared" si="6"/>
        <v>138340385483.27588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11"/>
      <c r="H62" s="10"/>
      <c r="I62" s="10">
        <f t="shared" si="8"/>
        <v>18651</v>
      </c>
      <c r="J62" s="10">
        <f t="shared" si="6"/>
        <v>136551560046.66457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11"/>
      <c r="H63" s="10"/>
      <c r="I63" s="10">
        <f t="shared" si="8"/>
        <v>18651</v>
      </c>
      <c r="J63" s="10">
        <f t="shared" si="6"/>
        <v>135159418040.84389</v>
      </c>
      <c r="K63" s="11">
        <f t="shared" si="7"/>
        <v>7.4000000000000732E-3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11"/>
      <c r="H64" s="10"/>
      <c r="I64" s="10">
        <f t="shared" si="8"/>
        <v>18651</v>
      </c>
      <c r="J64" s="10">
        <f t="shared" si="6"/>
        <v>134166585309.55319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11"/>
      <c r="H65" s="10"/>
      <c r="I65" s="10">
        <f t="shared" si="8"/>
        <v>18651</v>
      </c>
      <c r="J65" s="10">
        <f t="shared" si="6"/>
        <v>132903997334.87189</v>
      </c>
      <c r="K65" s="11">
        <f t="shared" si="7"/>
        <v>1.2299999999999978E-2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5">
        <v>15795087</v>
      </c>
      <c r="G66" s="11"/>
      <c r="H66" s="10"/>
      <c r="I66" s="10">
        <f t="shared" si="8"/>
        <v>18651</v>
      </c>
      <c r="J66" s="10">
        <f t="shared" ref="J66:J97" si="9">IF(I66="","",I66*C66)</f>
        <v>131289140901.78</v>
      </c>
      <c r="K66" s="11">
        <f t="shared" ref="K66:K97" si="10">IFERROR(J66/J67-1,"")</f>
        <v>1.1300000000000088E-2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11"/>
      <c r="H67" s="10"/>
      <c r="I67" s="10">
        <f t="shared" ref="I67:I98" si="11">IF(H67&lt;&gt;"",H67,I66/(1+IF(G66="",0,G66)))</f>
        <v>18651</v>
      </c>
      <c r="J67" s="10">
        <f t="shared" si="9"/>
        <v>129822150600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5"/>
      <c r="G2" s="11"/>
      <c r="H2" s="10"/>
      <c r="I2" s="10">
        <f>IF(H2&lt;&gt;"",H2,10437)</f>
        <v>10437</v>
      </c>
      <c r="J2" s="10">
        <f t="shared" ref="J2:J33" si="3">IF(I2="","",I2*C2)</f>
        <v>34947755374.118637</v>
      </c>
      <c r="K2" s="11">
        <f t="shared" ref="K2:K33" si="4">IFERROR(J2/J3-1,"")</f>
        <v>7.3000000000000842E-3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11"/>
      <c r="H3" s="10"/>
      <c r="I3" s="10">
        <f t="shared" ref="I3:I34" si="5">IF(H3&lt;&gt;"",H3,I2/(1+IF(G2="",0,G2)))</f>
        <v>10437</v>
      </c>
      <c r="J3" s="10">
        <f t="shared" si="3"/>
        <v>34694485629.026741</v>
      </c>
      <c r="K3" s="11">
        <f t="shared" si="4"/>
        <v>7.3000000000000842E-3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11"/>
      <c r="H4" s="10"/>
      <c r="I4" s="10">
        <f t="shared" si="5"/>
        <v>10437</v>
      </c>
      <c r="J4" s="10">
        <f t="shared" si="3"/>
        <v>34443051354.141502</v>
      </c>
      <c r="K4" s="11">
        <f t="shared" si="4"/>
        <v>7.2000000000000952E-3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11"/>
      <c r="H5" s="10"/>
      <c r="I5" s="10">
        <f t="shared" si="5"/>
        <v>10437</v>
      </c>
      <c r="J5" s="10">
        <f t="shared" si="3"/>
        <v>34196834148.273926</v>
      </c>
      <c r="K5" s="11">
        <f t="shared" si="4"/>
        <v>7.3000000000000842E-3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11"/>
      <c r="H6" s="10"/>
      <c r="I6" s="10">
        <f t="shared" si="5"/>
        <v>10437</v>
      </c>
      <c r="J6" s="10">
        <f t="shared" si="3"/>
        <v>33949006401.542664</v>
      </c>
      <c r="K6" s="11">
        <f t="shared" si="4"/>
        <v>7.3000000000000842E-3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11"/>
      <c r="H7" s="10"/>
      <c r="I7" s="10">
        <f t="shared" si="5"/>
        <v>10437</v>
      </c>
      <c r="J7" s="10">
        <f t="shared" si="3"/>
        <v>33702974686.332436</v>
      </c>
      <c r="K7" s="11">
        <f t="shared" si="4"/>
        <v>9.300000000000086E-3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11"/>
      <c r="H8" s="10"/>
      <c r="I8" s="10">
        <f t="shared" si="5"/>
        <v>10437</v>
      </c>
      <c r="J8" s="10">
        <f t="shared" si="3"/>
        <v>33392425132.599258</v>
      </c>
      <c r="K8" s="11">
        <f t="shared" si="4"/>
        <v>9.5000000000000639E-3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11"/>
      <c r="H9" s="10"/>
      <c r="I9" s="10">
        <f t="shared" si="5"/>
        <v>10437</v>
      </c>
      <c r="J9" s="10">
        <f t="shared" si="3"/>
        <v>33078182399.801147</v>
      </c>
      <c r="K9" s="11">
        <f t="shared" si="4"/>
        <v>9.500000000000286E-3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11"/>
      <c r="H10" s="10"/>
      <c r="I10" s="10">
        <f t="shared" si="5"/>
        <v>10437</v>
      </c>
      <c r="J10" s="10">
        <f t="shared" si="3"/>
        <v>32766896879.4464</v>
      </c>
      <c r="K10" s="11">
        <f t="shared" si="4"/>
        <v>9.300000000000086E-3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11"/>
      <c r="H11" s="10"/>
      <c r="I11" s="10">
        <f t="shared" si="5"/>
        <v>10437</v>
      </c>
      <c r="J11" s="10">
        <f t="shared" si="3"/>
        <v>32464972633.950657</v>
      </c>
      <c r="K11" s="11">
        <f t="shared" si="4"/>
        <v>9.100000000000108E-3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11"/>
      <c r="H12" s="10"/>
      <c r="I12" s="10">
        <f t="shared" si="5"/>
        <v>10437</v>
      </c>
      <c r="J12" s="10">
        <f t="shared" si="3"/>
        <v>32172205563.324402</v>
      </c>
      <c r="K12" s="11">
        <f t="shared" si="4"/>
        <v>9.300000000000086E-3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11"/>
      <c r="H13" s="10"/>
      <c r="I13" s="10">
        <f t="shared" si="5"/>
        <v>10437</v>
      </c>
      <c r="J13" s="10">
        <f t="shared" si="3"/>
        <v>31875760986.153172</v>
      </c>
      <c r="K13" s="11">
        <f t="shared" si="4"/>
        <v>9.6000000000000529E-3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11"/>
      <c r="H14" s="10"/>
      <c r="I14" s="10">
        <f t="shared" si="5"/>
        <v>10437</v>
      </c>
      <c r="J14" s="10">
        <f t="shared" si="3"/>
        <v>31572663417.346645</v>
      </c>
      <c r="K14" s="11">
        <f t="shared" si="4"/>
        <v>9.7000000000000419E-3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11"/>
      <c r="H15" s="10"/>
      <c r="I15" s="10">
        <f t="shared" si="5"/>
        <v>10437</v>
      </c>
      <c r="J15" s="10">
        <f t="shared" si="3"/>
        <v>31269350715.407196</v>
      </c>
      <c r="K15" s="11">
        <f t="shared" si="4"/>
        <v>9.9000000000000199E-3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11"/>
      <c r="H16" s="10"/>
      <c r="I16" s="10">
        <f t="shared" si="5"/>
        <v>10437</v>
      </c>
      <c r="J16" s="10">
        <f t="shared" si="3"/>
        <v>30962818809.196152</v>
      </c>
      <c r="K16" s="11">
        <f t="shared" si="4"/>
        <v>1.110000000000011E-2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11"/>
      <c r="H17" s="10"/>
      <c r="I17" s="10">
        <f t="shared" si="5"/>
        <v>10437</v>
      </c>
      <c r="J17" s="10">
        <f t="shared" si="3"/>
        <v>30622904568.485954</v>
      </c>
      <c r="K17" s="11">
        <f t="shared" si="4"/>
        <v>1.1500000000000066E-2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11"/>
      <c r="H18" s="10"/>
      <c r="I18" s="10">
        <f t="shared" si="5"/>
        <v>10437</v>
      </c>
      <c r="J18" s="10">
        <f t="shared" si="3"/>
        <v>30274745000.974743</v>
      </c>
      <c r="K18" s="11">
        <f t="shared" si="4"/>
        <v>1.1900000000000022E-2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11"/>
      <c r="H19" s="10"/>
      <c r="I19" s="10">
        <f t="shared" si="5"/>
        <v>10437</v>
      </c>
      <c r="J19" s="10">
        <f t="shared" si="3"/>
        <v>29918712324.315388</v>
      </c>
      <c r="K19" s="11">
        <f t="shared" si="4"/>
        <v>1.21E-2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11"/>
      <c r="H20" s="10"/>
      <c r="I20" s="10">
        <f t="shared" si="5"/>
        <v>10437</v>
      </c>
      <c r="J20" s="10">
        <f t="shared" si="3"/>
        <v>29561023934.705452</v>
      </c>
      <c r="K20" s="11">
        <f t="shared" si="4"/>
        <v>1.21E-2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11"/>
      <c r="H21" s="10"/>
      <c r="I21" s="10">
        <f t="shared" si="5"/>
        <v>10437</v>
      </c>
      <c r="J21" s="10">
        <f t="shared" si="3"/>
        <v>29207611831.543774</v>
      </c>
      <c r="K21" s="11">
        <f t="shared" si="4"/>
        <v>1.1900000000000022E-2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11"/>
      <c r="H22" s="10"/>
      <c r="I22" s="10">
        <f t="shared" si="5"/>
        <v>10437</v>
      </c>
      <c r="J22" s="10">
        <f t="shared" si="3"/>
        <v>28864128700.013611</v>
      </c>
      <c r="K22" s="11">
        <f t="shared" si="4"/>
        <v>1.1500000000000066E-2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11"/>
      <c r="H23" s="10"/>
      <c r="I23" s="10">
        <f t="shared" si="5"/>
        <v>10437</v>
      </c>
      <c r="J23" s="10">
        <f t="shared" si="3"/>
        <v>28535965101.348106</v>
      </c>
      <c r="K23" s="11">
        <f t="shared" si="4"/>
        <v>1.1099999999999888E-2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11"/>
      <c r="H24" s="10"/>
      <c r="I24" s="10">
        <f t="shared" si="5"/>
        <v>10437</v>
      </c>
      <c r="J24" s="10">
        <f t="shared" si="3"/>
        <v>28222693206.753147</v>
      </c>
      <c r="K24" s="11">
        <f t="shared" si="4"/>
        <v>1.0600000000000165E-2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11"/>
      <c r="H25" s="10"/>
      <c r="I25" s="10">
        <f t="shared" si="5"/>
        <v>10437</v>
      </c>
      <c r="J25" s="10">
        <f t="shared" si="3"/>
        <v>27926670499.458881</v>
      </c>
      <c r="K25" s="11">
        <f t="shared" si="4"/>
        <v>1.0099999999999998E-2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11"/>
      <c r="H26" s="10"/>
      <c r="I26" s="10">
        <f t="shared" si="5"/>
        <v>10437</v>
      </c>
      <c r="J26" s="10">
        <f t="shared" si="3"/>
        <v>27647431441.895737</v>
      </c>
      <c r="K26" s="11">
        <f t="shared" si="4"/>
        <v>9.6000000000000529E-3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11"/>
      <c r="H27" s="10"/>
      <c r="I27" s="10">
        <f t="shared" si="5"/>
        <v>10437</v>
      </c>
      <c r="J27" s="10">
        <f t="shared" si="3"/>
        <v>27384539859.246964</v>
      </c>
      <c r="K27" s="11">
        <f t="shared" si="4"/>
        <v>9.5000000000000639E-3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11"/>
      <c r="H28" s="10"/>
      <c r="I28" s="10">
        <f t="shared" si="5"/>
        <v>10437</v>
      </c>
      <c r="J28" s="10">
        <f t="shared" si="3"/>
        <v>27126834927.436317</v>
      </c>
      <c r="K28" s="11">
        <f t="shared" si="4"/>
        <v>9.6000000000000529E-3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11"/>
      <c r="H29" s="10"/>
      <c r="I29" s="10">
        <f t="shared" si="5"/>
        <v>10437</v>
      </c>
      <c r="J29" s="10">
        <f t="shared" si="3"/>
        <v>26868893549.362438</v>
      </c>
      <c r="K29" s="11">
        <f t="shared" si="4"/>
        <v>9.600000000000275E-3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11"/>
      <c r="H30" s="10"/>
      <c r="I30" s="10">
        <f t="shared" si="5"/>
        <v>10437</v>
      </c>
      <c r="J30" s="10">
        <f t="shared" si="3"/>
        <v>26613404862.680698</v>
      </c>
      <c r="K30" s="11">
        <f t="shared" si="4"/>
        <v>9.400000000000075E-3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11"/>
      <c r="H31" s="10"/>
      <c r="I31" s="10">
        <f t="shared" si="5"/>
        <v>10437</v>
      </c>
      <c r="J31" s="10">
        <f t="shared" si="3"/>
        <v>26365568518.605801</v>
      </c>
      <c r="K31" s="11">
        <f t="shared" si="4"/>
        <v>9.200000000000097E-3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11"/>
      <c r="H32" s="10"/>
      <c r="I32" s="10">
        <f t="shared" si="5"/>
        <v>10437</v>
      </c>
      <c r="J32" s="10">
        <f t="shared" si="3"/>
        <v>26125216526.561432</v>
      </c>
      <c r="K32" s="11">
        <f t="shared" si="4"/>
        <v>8.999999999999897E-3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11"/>
      <c r="H33" s="10"/>
      <c r="I33" s="10">
        <f t="shared" si="5"/>
        <v>10437</v>
      </c>
      <c r="J33" s="10">
        <f t="shared" si="3"/>
        <v>25892186844.956825</v>
      </c>
      <c r="K33" s="11">
        <f t="shared" si="4"/>
        <v>9.100000000000108E-3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11"/>
      <c r="H34" s="10"/>
      <c r="I34" s="10">
        <f t="shared" si="5"/>
        <v>10437</v>
      </c>
      <c r="J34" s="10">
        <f t="shared" ref="J34:J65" si="6">IF(I34="","",I34*C34)</f>
        <v>25658692741.013599</v>
      </c>
      <c r="K34" s="11">
        <f t="shared" ref="K34:K65" si="7">IFERROR(J34/J35-1,"")</f>
        <v>9.300000000000086E-3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11"/>
      <c r="H35" s="10"/>
      <c r="I35" s="10">
        <f t="shared" ref="I35:I66" si="8">IF(H35&lt;&gt;"",H35,I34/(1+IF(G34="",0,G34)))</f>
        <v>10437</v>
      </c>
      <c r="J35" s="10">
        <f t="shared" si="6"/>
        <v>25422265670.279991</v>
      </c>
      <c r="K35" s="11">
        <f t="shared" si="7"/>
        <v>9.400000000000075E-3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11"/>
      <c r="H36" s="10"/>
      <c r="I36" s="10">
        <f t="shared" si="8"/>
        <v>10437</v>
      </c>
      <c r="J36" s="10">
        <f t="shared" si="6"/>
        <v>25185521765.682575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11"/>
      <c r="H37" s="10"/>
      <c r="I37" s="10">
        <f t="shared" si="8"/>
        <v>10437</v>
      </c>
      <c r="J37" s="10">
        <f t="shared" si="6"/>
        <v>24948510912.018398</v>
      </c>
      <c r="K37" s="11">
        <f t="shared" si="7"/>
        <v>9.6000000000000529E-3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11"/>
      <c r="H38" s="10"/>
      <c r="I38" s="10">
        <f t="shared" si="8"/>
        <v>10437</v>
      </c>
      <c r="J38" s="10">
        <f t="shared" si="6"/>
        <v>24711282599.067352</v>
      </c>
      <c r="K38" s="11">
        <f t="shared" si="7"/>
        <v>9.8000000000000309E-3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11"/>
      <c r="H39" s="10"/>
      <c r="I39" s="10">
        <f t="shared" si="8"/>
        <v>10437</v>
      </c>
      <c r="J39" s="10">
        <f t="shared" si="6"/>
        <v>24471462268.83279</v>
      </c>
      <c r="K39" s="11">
        <f t="shared" si="7"/>
        <v>1.0000000000000009E-2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11"/>
      <c r="H40" s="10"/>
      <c r="I40" s="10">
        <f t="shared" si="8"/>
        <v>10437</v>
      </c>
      <c r="J40" s="10">
        <f t="shared" si="6"/>
        <v>24229170563.200783</v>
      </c>
      <c r="K40" s="11">
        <f t="shared" si="7"/>
        <v>1.0199999999999987E-2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11"/>
      <c r="H41" s="10"/>
      <c r="I41" s="10">
        <f t="shared" si="8"/>
        <v>10437</v>
      </c>
      <c r="J41" s="10">
        <f t="shared" si="6"/>
        <v>23984528373.788143</v>
      </c>
      <c r="K41" s="11">
        <f t="shared" si="7"/>
        <v>1.0399999999999965E-2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11"/>
      <c r="H42" s="10"/>
      <c r="I42" s="10">
        <f t="shared" si="8"/>
        <v>10437</v>
      </c>
      <c r="J42" s="10">
        <f t="shared" si="6"/>
        <v>23737656743.65414</v>
      </c>
      <c r="K42" s="11">
        <f t="shared" si="7"/>
        <v>1.0699999999999932E-2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11"/>
      <c r="H43" s="10"/>
      <c r="I43" s="10">
        <f t="shared" si="8"/>
        <v>10437</v>
      </c>
      <c r="J43" s="10">
        <f t="shared" si="6"/>
        <v>23486352769.02557</v>
      </c>
      <c r="K43" s="11">
        <f t="shared" si="7"/>
        <v>1.0999999999999899E-2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11"/>
      <c r="H44" s="10"/>
      <c r="I44" s="10">
        <f t="shared" si="8"/>
        <v>10437</v>
      </c>
      <c r="J44" s="10">
        <f t="shared" si="6"/>
        <v>23230813817.038151</v>
      </c>
      <c r="K44" s="11">
        <f t="shared" si="7"/>
        <v>1.110000000000011E-2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11"/>
      <c r="H45" s="10"/>
      <c r="I45" s="10">
        <f t="shared" si="8"/>
        <v>10437</v>
      </c>
      <c r="J45" s="10">
        <f t="shared" si="6"/>
        <v>22975782629.846848</v>
      </c>
      <c r="K45" s="11">
        <f t="shared" si="7"/>
        <v>1.110000000000011E-2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11"/>
      <c r="H46" s="10"/>
      <c r="I46" s="10">
        <f t="shared" si="8"/>
        <v>10437</v>
      </c>
      <c r="J46" s="10">
        <f t="shared" si="6"/>
        <v>22723551211.400303</v>
      </c>
      <c r="K46" s="11">
        <f t="shared" si="7"/>
        <v>1.0999999999999899E-2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11"/>
      <c r="H47" s="10"/>
      <c r="I47" s="10">
        <f t="shared" si="8"/>
        <v>10437</v>
      </c>
      <c r="J47" s="10">
        <f t="shared" si="6"/>
        <v>22476311781.800499</v>
      </c>
      <c r="K47" s="11">
        <f t="shared" si="7"/>
        <v>1.089999999999991E-2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11"/>
      <c r="H48" s="10"/>
      <c r="I48" s="10">
        <f t="shared" si="8"/>
        <v>10437</v>
      </c>
      <c r="J48" s="10">
        <f t="shared" si="6"/>
        <v>22233961600.356613</v>
      </c>
      <c r="K48" s="11">
        <f t="shared" si="7"/>
        <v>1.089999999999991E-2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11"/>
      <c r="H49" s="10"/>
      <c r="I49" s="10">
        <f t="shared" si="8"/>
        <v>10437</v>
      </c>
      <c r="J49" s="10">
        <f t="shared" si="6"/>
        <v>21994224552.731838</v>
      </c>
      <c r="K49" s="11">
        <f t="shared" si="7"/>
        <v>1.110000000000011E-2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11"/>
      <c r="H50" s="10"/>
      <c r="I50" s="10">
        <f t="shared" si="8"/>
        <v>10437</v>
      </c>
      <c r="J50" s="10">
        <f t="shared" si="6"/>
        <v>21752768818.842682</v>
      </c>
      <c r="K50" s="11">
        <f t="shared" si="7"/>
        <v>1.1600000000000055E-2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11"/>
      <c r="H51" s="10"/>
      <c r="I51" s="10">
        <f t="shared" si="8"/>
        <v>10437</v>
      </c>
      <c r="J51" s="10">
        <f t="shared" si="6"/>
        <v>21503330188.654293</v>
      </c>
      <c r="K51" s="11">
        <f t="shared" si="7"/>
        <v>1.2499999999999956E-2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11"/>
      <c r="H52" s="10"/>
      <c r="I52" s="10">
        <f t="shared" si="8"/>
        <v>10437</v>
      </c>
      <c r="J52" s="10">
        <f t="shared" si="6"/>
        <v>21237856976.448685</v>
      </c>
      <c r="K52" s="11">
        <f t="shared" si="7"/>
        <v>1.3600000000000056E-2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11"/>
      <c r="H53" s="10"/>
      <c r="I53" s="10">
        <f t="shared" si="8"/>
        <v>10437</v>
      </c>
      <c r="J53" s="10">
        <f t="shared" si="6"/>
        <v>20952897569.503437</v>
      </c>
      <c r="K53" s="11">
        <f t="shared" si="7"/>
        <v>1.4699999999999935E-2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11"/>
      <c r="H54" s="10"/>
      <c r="I54" s="10">
        <f t="shared" si="8"/>
        <v>10437</v>
      </c>
      <c r="J54" s="10">
        <f t="shared" si="6"/>
        <v>20649352093.72567</v>
      </c>
      <c r="K54" s="11">
        <f t="shared" si="7"/>
        <v>1.5499999999999847E-2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11"/>
      <c r="H55" s="10"/>
      <c r="I55" s="10">
        <f t="shared" si="8"/>
        <v>10437</v>
      </c>
      <c r="J55" s="10">
        <f t="shared" si="6"/>
        <v>20334172421.197117</v>
      </c>
      <c r="K55" s="11">
        <f t="shared" si="7"/>
        <v>1.6100000000000225E-2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11"/>
      <c r="H56" s="10"/>
      <c r="I56" s="10">
        <f t="shared" si="8"/>
        <v>10437</v>
      </c>
      <c r="J56" s="10">
        <f t="shared" si="6"/>
        <v>20011979550.435108</v>
      </c>
      <c r="K56" s="11">
        <f t="shared" si="7"/>
        <v>1.6499999999999737E-2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11"/>
      <c r="H57" s="10"/>
      <c r="I57" s="10">
        <f t="shared" si="8"/>
        <v>10437</v>
      </c>
      <c r="J57" s="10">
        <f t="shared" si="6"/>
        <v>19687141712.184074</v>
      </c>
      <c r="K57" s="11">
        <f t="shared" si="7"/>
        <v>1.6699999999999937E-2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11"/>
      <c r="H58" s="10"/>
      <c r="I58" s="10">
        <f t="shared" si="8"/>
        <v>10437</v>
      </c>
      <c r="J58" s="10">
        <f t="shared" si="6"/>
        <v>19363766806.51527</v>
      </c>
      <c r="K58" s="11">
        <f t="shared" si="7"/>
        <v>1.6799999999999926E-2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11"/>
      <c r="H59" s="10"/>
      <c r="I59" s="10">
        <f t="shared" si="8"/>
        <v>10437</v>
      </c>
      <c r="J59" s="10">
        <f t="shared" si="6"/>
        <v>19043830454.873398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11"/>
      <c r="H60" s="10"/>
      <c r="I60" s="10">
        <f t="shared" si="8"/>
        <v>10437</v>
      </c>
      <c r="J60" s="10">
        <f t="shared" si="6"/>
        <v>18727338435.316551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11"/>
      <c r="H61" s="10"/>
      <c r="I61" s="10">
        <f t="shared" si="8"/>
        <v>10437</v>
      </c>
      <c r="J61" s="10">
        <f t="shared" si="6"/>
        <v>18412484942.794762</v>
      </c>
      <c r="K61" s="11">
        <f t="shared" si="7"/>
        <v>1.7100000000000115E-2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11"/>
      <c r="H62" s="10"/>
      <c r="I62" s="10">
        <f t="shared" si="8"/>
        <v>10437</v>
      </c>
      <c r="J62" s="10">
        <f t="shared" si="6"/>
        <v>18102924926.550743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11"/>
      <c r="H63" s="10"/>
      <c r="I63" s="10">
        <f t="shared" si="8"/>
        <v>10437</v>
      </c>
      <c r="J63" s="10">
        <f t="shared" si="6"/>
        <v>17800319495.133476</v>
      </c>
      <c r="K63" s="11">
        <f t="shared" si="7"/>
        <v>1.6699999999999937E-2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11"/>
      <c r="H64" s="10"/>
      <c r="I64" s="10">
        <f t="shared" si="8"/>
        <v>10437</v>
      </c>
      <c r="J64" s="10">
        <f t="shared" si="6"/>
        <v>17507936948.100204</v>
      </c>
      <c r="K64" s="11">
        <f t="shared" si="7"/>
        <v>1.619999999999977E-2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11"/>
      <c r="H65" s="10"/>
      <c r="I65" s="10">
        <f t="shared" si="8"/>
        <v>10437</v>
      </c>
      <c r="J65" s="10">
        <f t="shared" si="6"/>
        <v>17228829903.6609</v>
      </c>
      <c r="K65" s="11">
        <f t="shared" si="7"/>
        <v>1.5500000000000069E-2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5">
        <v>3347590</v>
      </c>
      <c r="G66" s="11"/>
      <c r="H66" s="10"/>
      <c r="I66" s="10">
        <f t="shared" si="8"/>
        <v>10437</v>
      </c>
      <c r="J66" s="10">
        <f t="shared" ref="J66:J97" si="9">IF(I66="","",I66*C66)</f>
        <v>16965859087.799999</v>
      </c>
      <c r="K66" s="11">
        <f t="shared" ref="K66:K97" si="10">IFERROR(J66/J67-1,"")</f>
        <v>1.4699999999999935E-2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11"/>
      <c r="H67" s="10"/>
      <c r="I67" s="10">
        <f t="shared" ref="I67:I98" si="11">IF(H67&lt;&gt;"",H67,I66/(1+IF(G66="",0,G66)))</f>
        <v>10437</v>
      </c>
      <c r="J67" s="10">
        <f t="shared" si="9"/>
        <v>16720074000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5"/>
      <c r="G2" s="11"/>
      <c r="H2" s="10"/>
      <c r="I2" s="10">
        <f>IF(H2&lt;&gt;"",H2,16786)</f>
        <v>16786</v>
      </c>
      <c r="J2" s="10">
        <f t="shared" ref="J2:J33" si="3">IF(I2="","",I2*C2)</f>
        <v>13990139465.558846</v>
      </c>
      <c r="K2" s="11">
        <f t="shared" ref="K2:K33" si="4">IFERROR(J2/J3-1,"")</f>
        <v>2.4499999999999966E-2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11"/>
      <c r="H3" s="10"/>
      <c r="I3" s="10">
        <f t="shared" ref="I3:I34" si="5">IF(H3&lt;&gt;"",H3,I2/(1+IF(G2="",0,G2)))</f>
        <v>16786</v>
      </c>
      <c r="J3" s="10">
        <f t="shared" si="3"/>
        <v>13655577809.232645</v>
      </c>
      <c r="K3" s="11">
        <f t="shared" si="4"/>
        <v>5.4100000000000037E-2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11"/>
      <c r="H4" s="10"/>
      <c r="I4" s="10">
        <f t="shared" si="5"/>
        <v>16786</v>
      </c>
      <c r="J4" s="10">
        <f t="shared" si="3"/>
        <v>12954727074.502083</v>
      </c>
      <c r="K4" s="11">
        <f t="shared" si="4"/>
        <v>4.2000000000000259E-2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11"/>
      <c r="H5" s="10"/>
      <c r="I5" s="10">
        <f t="shared" si="5"/>
        <v>16786</v>
      </c>
      <c r="J5" s="10">
        <f t="shared" si="3"/>
        <v>12432559572.458811</v>
      </c>
      <c r="K5" s="11">
        <f t="shared" si="4"/>
        <v>4.5400000000000107E-2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11"/>
      <c r="H6" s="10"/>
      <c r="I6" s="10">
        <f t="shared" si="5"/>
        <v>16786</v>
      </c>
      <c r="J6" s="10">
        <f t="shared" si="3"/>
        <v>11892633989.342653</v>
      </c>
      <c r="K6" s="11">
        <f t="shared" si="4"/>
        <v>-9.9000000000001309E-3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11"/>
      <c r="H7" s="10"/>
      <c r="I7" s="10">
        <f t="shared" si="5"/>
        <v>16786</v>
      </c>
      <c r="J7" s="10">
        <f t="shared" si="3"/>
        <v>12011548317.687763</v>
      </c>
      <c r="K7" s="11">
        <f t="shared" si="4"/>
        <v>3.9099999999999691E-2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11"/>
      <c r="H8" s="10"/>
      <c r="I8" s="10">
        <f t="shared" si="5"/>
        <v>16786</v>
      </c>
      <c r="J8" s="10">
        <f t="shared" si="3"/>
        <v>11559569163.39887</v>
      </c>
      <c r="K8" s="11">
        <f t="shared" si="4"/>
        <v>4.0300000000000225E-2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11"/>
      <c r="H9" s="10"/>
      <c r="I9" s="10">
        <f t="shared" si="5"/>
        <v>16786</v>
      </c>
      <c r="J9" s="10">
        <f t="shared" si="3"/>
        <v>11111765032.585667</v>
      </c>
      <c r="K9" s="11">
        <f t="shared" si="4"/>
        <v>4.1500000000000092E-2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11"/>
      <c r="H10" s="10"/>
      <c r="I10" s="10">
        <f t="shared" si="5"/>
        <v>16786</v>
      </c>
      <c r="J10" s="10">
        <f t="shared" si="3"/>
        <v>10669001471.517681</v>
      </c>
      <c r="K10" s="11">
        <f t="shared" si="4"/>
        <v>4.2799999999999727E-2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11"/>
      <c r="H11" s="10"/>
      <c r="I11" s="10">
        <f t="shared" si="5"/>
        <v>16786</v>
      </c>
      <c r="J11" s="10">
        <f t="shared" si="3"/>
        <v>10231109965.015039</v>
      </c>
      <c r="K11" s="11">
        <f t="shared" si="4"/>
        <v>4.4300000000000006E-2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11"/>
      <c r="H12" s="10"/>
      <c r="I12" s="10">
        <f t="shared" si="5"/>
        <v>16786</v>
      </c>
      <c r="J12" s="10">
        <f t="shared" si="3"/>
        <v>9797098501.4028912</v>
      </c>
      <c r="K12" s="11">
        <f t="shared" si="4"/>
        <v>4.5900000000000274E-2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11"/>
      <c r="H13" s="10"/>
      <c r="I13" s="10">
        <f t="shared" si="5"/>
        <v>16786</v>
      </c>
      <c r="J13" s="10">
        <f t="shared" si="3"/>
        <v>9367146478.0599384</v>
      </c>
      <c r="K13" s="11">
        <f t="shared" si="4"/>
        <v>4.7699999999999854E-2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11"/>
      <c r="H14" s="10"/>
      <c r="I14" s="10">
        <f t="shared" si="5"/>
        <v>16786</v>
      </c>
      <c r="J14" s="10">
        <f t="shared" si="3"/>
        <v>8940676222.2582226</v>
      </c>
      <c r="K14" s="11">
        <f t="shared" si="4"/>
        <v>4.9800000000000066E-2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11"/>
      <c r="H15" s="10"/>
      <c r="I15" s="10">
        <f t="shared" si="5"/>
        <v>16786</v>
      </c>
      <c r="J15" s="10">
        <f t="shared" si="3"/>
        <v>8516551935.8527546</v>
      </c>
      <c r="K15" s="11">
        <f t="shared" si="4"/>
        <v>5.2000000000000046E-2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11"/>
      <c r="H16" s="10"/>
      <c r="I16" s="10">
        <f t="shared" si="5"/>
        <v>16786</v>
      </c>
      <c r="J16" s="10">
        <f t="shared" si="3"/>
        <v>8095581688.0729599</v>
      </c>
      <c r="K16" s="11">
        <f t="shared" si="4"/>
        <v>4.4599999999999973E-2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11"/>
      <c r="H17" s="10"/>
      <c r="I17" s="10">
        <f t="shared" si="5"/>
        <v>16786</v>
      </c>
      <c r="J17" s="10">
        <f t="shared" si="3"/>
        <v>7749934604.7031975</v>
      </c>
      <c r="K17" s="11">
        <f t="shared" si="4"/>
        <v>3.620000000000001E-2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11"/>
      <c r="H18" s="10"/>
      <c r="I18" s="10">
        <f t="shared" si="5"/>
        <v>16786</v>
      </c>
      <c r="J18" s="10">
        <f t="shared" si="3"/>
        <v>7479187999.1345282</v>
      </c>
      <c r="K18" s="11">
        <f t="shared" si="4"/>
        <v>3.74000000000001E-2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11"/>
      <c r="H19" s="10"/>
      <c r="I19" s="10">
        <f t="shared" si="5"/>
        <v>16786</v>
      </c>
      <c r="J19" s="10">
        <f t="shared" si="3"/>
        <v>7209550799.2428446</v>
      </c>
      <c r="K19" s="11">
        <f t="shared" si="4"/>
        <v>3.8599999999999968E-2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11"/>
      <c r="H20" s="10"/>
      <c r="I20" s="10">
        <f t="shared" si="5"/>
        <v>16786</v>
      </c>
      <c r="J20" s="10">
        <f t="shared" si="3"/>
        <v>6941604851.9572935</v>
      </c>
      <c r="K20" s="11">
        <f t="shared" si="4"/>
        <v>4.0000000000000036E-2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11"/>
      <c r="H21" s="10"/>
      <c r="I21" s="10">
        <f t="shared" si="5"/>
        <v>16786</v>
      </c>
      <c r="J21" s="10">
        <f t="shared" si="3"/>
        <v>6674620049.9589357</v>
      </c>
      <c r="K21" s="11">
        <f t="shared" si="4"/>
        <v>4.1400000000000103E-2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11"/>
      <c r="H22" s="10"/>
      <c r="I22" s="10">
        <f t="shared" si="5"/>
        <v>16786</v>
      </c>
      <c r="J22" s="10">
        <f t="shared" si="3"/>
        <v>6409276022.6223688</v>
      </c>
      <c r="K22" s="11">
        <f t="shared" si="4"/>
        <v>4.2799999999999949E-2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11"/>
      <c r="H23" s="10"/>
      <c r="I23" s="10">
        <f t="shared" si="5"/>
        <v>16786</v>
      </c>
      <c r="J23" s="10">
        <f t="shared" si="3"/>
        <v>6146217896.6459236</v>
      </c>
      <c r="K23" s="11">
        <f t="shared" si="4"/>
        <v>4.4300000000000006E-2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11"/>
      <c r="H24" s="10"/>
      <c r="I24" s="10">
        <f t="shared" si="5"/>
        <v>16786</v>
      </c>
      <c r="J24" s="10">
        <f t="shared" si="3"/>
        <v>5885490660.3906193</v>
      </c>
      <c r="K24" s="11">
        <f t="shared" si="4"/>
        <v>4.6000000000000263E-2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11"/>
      <c r="H25" s="10"/>
      <c r="I25" s="10">
        <f t="shared" si="5"/>
        <v>16786</v>
      </c>
      <c r="J25" s="10">
        <f t="shared" si="3"/>
        <v>5626664111.2721014</v>
      </c>
      <c r="K25" s="11">
        <f t="shared" si="4"/>
        <v>4.7700000000000076E-2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11"/>
      <c r="H26" s="10"/>
      <c r="I26" s="10">
        <f t="shared" si="5"/>
        <v>16786</v>
      </c>
      <c r="J26" s="10">
        <f t="shared" si="3"/>
        <v>5370491659.1315269</v>
      </c>
      <c r="K26" s="11">
        <f t="shared" si="4"/>
        <v>4.9299999999999899E-2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11"/>
      <c r="H27" s="10"/>
      <c r="I27" s="10">
        <f t="shared" si="5"/>
        <v>16786</v>
      </c>
      <c r="J27" s="10">
        <f t="shared" si="3"/>
        <v>5118166071.7921734</v>
      </c>
      <c r="K27" s="11">
        <f t="shared" si="4"/>
        <v>5.0499999999999989E-2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11"/>
      <c r="H28" s="10"/>
      <c r="I28" s="10">
        <f t="shared" si="5"/>
        <v>16786</v>
      </c>
      <c r="J28" s="10">
        <f t="shared" si="3"/>
        <v>4872123818.9359102</v>
      </c>
      <c r="K28" s="11">
        <f t="shared" si="4"/>
        <v>5.3199999999999914E-2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11"/>
      <c r="H29" s="10"/>
      <c r="I29" s="10">
        <f t="shared" si="5"/>
        <v>16786</v>
      </c>
      <c r="J29" s="10">
        <f t="shared" si="3"/>
        <v>4626019577.4173098</v>
      </c>
      <c r="K29" s="11">
        <f t="shared" si="4"/>
        <v>5.6499999999999995E-2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11"/>
      <c r="H30" s="10"/>
      <c r="I30" s="10">
        <f t="shared" si="5"/>
        <v>16786</v>
      </c>
      <c r="J30" s="10">
        <f t="shared" si="3"/>
        <v>4378627143.793005</v>
      </c>
      <c r="K30" s="11">
        <f t="shared" si="4"/>
        <v>5.6899999999999951E-2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11"/>
      <c r="H31" s="10"/>
      <c r="I31" s="10">
        <f t="shared" si="5"/>
        <v>16786</v>
      </c>
      <c r="J31" s="10">
        <f t="shared" si="3"/>
        <v>4142896341.936801</v>
      </c>
      <c r="K31" s="11">
        <f t="shared" si="4"/>
        <v>5.7399999999999896E-2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11"/>
      <c r="H32" s="10"/>
      <c r="I32" s="10">
        <f t="shared" si="5"/>
        <v>16786</v>
      </c>
      <c r="J32" s="10">
        <f t="shared" si="3"/>
        <v>3918002971.3796115</v>
      </c>
      <c r="K32" s="11">
        <f t="shared" si="4"/>
        <v>5.9499999999999886E-2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11"/>
      <c r="H33" s="10"/>
      <c r="I33" s="10">
        <f t="shared" si="5"/>
        <v>16786</v>
      </c>
      <c r="J33" s="10">
        <f t="shared" si="3"/>
        <v>3697973545.426722</v>
      </c>
      <c r="K33" s="11">
        <f t="shared" si="4"/>
        <v>6.0899999999999954E-2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11"/>
      <c r="H34" s="10"/>
      <c r="I34" s="10">
        <f t="shared" si="5"/>
        <v>16786</v>
      </c>
      <c r="J34" s="10">
        <f t="shared" ref="J34:J65" si="6">IF(I34="","",I34*C34)</f>
        <v>3485694736.0040741</v>
      </c>
      <c r="K34" s="11">
        <f t="shared" ref="K34:K65" si="7">IFERROR(J34/J35-1,"")</f>
        <v>6.0999999999999943E-2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11"/>
      <c r="H35" s="10"/>
      <c r="I35" s="10">
        <f t="shared" ref="I35:I66" si="8">IF(H35&lt;&gt;"",H35,I34/(1+IF(G34="",0,G34)))</f>
        <v>16786</v>
      </c>
      <c r="J35" s="10">
        <f t="shared" si="6"/>
        <v>3285291928.3733029</v>
      </c>
      <c r="K35" s="11">
        <f t="shared" si="7"/>
        <v>5.9800000000000075E-2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11"/>
      <c r="H36" s="10"/>
      <c r="I36" s="10">
        <f t="shared" si="8"/>
        <v>16786</v>
      </c>
      <c r="J36" s="10">
        <f t="shared" si="6"/>
        <v>3099916897.880074</v>
      </c>
      <c r="K36" s="11">
        <f t="shared" si="7"/>
        <v>5.8599999999999985E-2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11"/>
      <c r="H37" s="10"/>
      <c r="I37" s="10">
        <f t="shared" si="8"/>
        <v>16786</v>
      </c>
      <c r="J37" s="10">
        <f t="shared" si="6"/>
        <v>2928317492.8018837</v>
      </c>
      <c r="K37" s="11">
        <f t="shared" si="7"/>
        <v>5.8100000000000041E-2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11"/>
      <c r="H38" s="10"/>
      <c r="I38" s="10">
        <f t="shared" si="8"/>
        <v>16786</v>
      </c>
      <c r="J38" s="10">
        <f t="shared" si="6"/>
        <v>2767524329.2712255</v>
      </c>
      <c r="K38" s="11">
        <f t="shared" si="7"/>
        <v>5.7099999999999929E-2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11"/>
      <c r="H39" s="10"/>
      <c r="I39" s="10">
        <f t="shared" si="8"/>
        <v>16786</v>
      </c>
      <c r="J39" s="10">
        <f t="shared" si="6"/>
        <v>2618034556.1169477</v>
      </c>
      <c r="K39" s="11">
        <f t="shared" si="7"/>
        <v>5.1400000000000112E-2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11"/>
      <c r="H40" s="10"/>
      <c r="I40" s="10">
        <f t="shared" si="8"/>
        <v>16786</v>
      </c>
      <c r="J40" s="10">
        <f t="shared" si="6"/>
        <v>2490046182.3444428</v>
      </c>
      <c r="K40" s="11">
        <f t="shared" si="7"/>
        <v>4.6300000000000008E-2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11"/>
      <c r="H41" s="10"/>
      <c r="I41" s="10">
        <f t="shared" si="8"/>
        <v>16786</v>
      </c>
      <c r="J41" s="10">
        <f t="shared" si="6"/>
        <v>2379858723.4487648</v>
      </c>
      <c r="K41" s="11">
        <f t="shared" si="7"/>
        <v>4.3500000000000094E-2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11"/>
      <c r="H42" s="10"/>
      <c r="I42" s="10">
        <f t="shared" si="8"/>
        <v>16786</v>
      </c>
      <c r="J42" s="10">
        <f t="shared" si="6"/>
        <v>2280650429.754446</v>
      </c>
      <c r="K42" s="11">
        <f t="shared" si="7"/>
        <v>4.3500000000000094E-2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11"/>
      <c r="H43" s="10"/>
      <c r="I43" s="10">
        <f t="shared" si="8"/>
        <v>16786</v>
      </c>
      <c r="J43" s="10">
        <f t="shared" si="6"/>
        <v>2185577795.6439347</v>
      </c>
      <c r="K43" s="11">
        <f t="shared" si="7"/>
        <v>4.3500000000000316E-2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11"/>
      <c r="H44" s="10"/>
      <c r="I44" s="10">
        <f t="shared" si="8"/>
        <v>16786</v>
      </c>
      <c r="J44" s="10">
        <f t="shared" si="6"/>
        <v>2094468419.4000328</v>
      </c>
      <c r="K44" s="11">
        <f t="shared" si="7"/>
        <v>4.3400000000000105E-2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11"/>
      <c r="H45" s="10"/>
      <c r="I45" s="10">
        <f t="shared" si="8"/>
        <v>16786</v>
      </c>
      <c r="J45" s="10">
        <f t="shared" si="6"/>
        <v>2007349453.1340163</v>
      </c>
      <c r="K45" s="11">
        <f t="shared" si="7"/>
        <v>4.3099999999999916E-2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11"/>
      <c r="H46" s="10"/>
      <c r="I46" s="10">
        <f t="shared" si="8"/>
        <v>16786</v>
      </c>
      <c r="J46" s="10">
        <f t="shared" si="6"/>
        <v>1924407490.3020003</v>
      </c>
      <c r="K46" s="11">
        <f t="shared" si="7"/>
        <v>4.269999999999996E-2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11"/>
      <c r="H47" s="10"/>
      <c r="I47" s="10">
        <f t="shared" si="8"/>
        <v>16786</v>
      </c>
      <c r="J47" s="10">
        <f t="shared" si="6"/>
        <v>1845600355.1376238</v>
      </c>
      <c r="K47" s="11">
        <f t="shared" si="7"/>
        <v>4.2200000000000015E-2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11"/>
      <c r="H48" s="10"/>
      <c r="I48" s="10">
        <f t="shared" si="8"/>
        <v>16786</v>
      </c>
      <c r="J48" s="10">
        <f t="shared" si="6"/>
        <v>1770869655.6684167</v>
      </c>
      <c r="K48" s="11">
        <f t="shared" si="7"/>
        <v>4.170000000000007E-2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11"/>
      <c r="H49" s="10"/>
      <c r="I49" s="10">
        <f t="shared" si="8"/>
        <v>16786</v>
      </c>
      <c r="J49" s="10">
        <f t="shared" si="6"/>
        <v>1699980470.0666378</v>
      </c>
      <c r="K49" s="11">
        <f t="shared" si="7"/>
        <v>4.1099999999999914E-2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11"/>
      <c r="H50" s="10"/>
      <c r="I50" s="10">
        <f t="shared" si="8"/>
        <v>16786</v>
      </c>
      <c r="J50" s="10">
        <f t="shared" si="6"/>
        <v>1632869532.2895379</v>
      </c>
      <c r="K50" s="11">
        <f t="shared" si="7"/>
        <v>4.0599999999999969E-2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11"/>
      <c r="H51" s="10"/>
      <c r="I51" s="10">
        <f t="shared" si="8"/>
        <v>16786</v>
      </c>
      <c r="J51" s="10">
        <f t="shared" si="6"/>
        <v>1569161572.4481432</v>
      </c>
      <c r="K51" s="11">
        <f t="shared" si="7"/>
        <v>3.9999999999999813E-2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11"/>
      <c r="H52" s="10"/>
      <c r="I52" s="10">
        <f t="shared" si="8"/>
        <v>16786</v>
      </c>
      <c r="J52" s="10">
        <f t="shared" si="6"/>
        <v>1508809204.277061</v>
      </c>
      <c r="K52" s="11">
        <f t="shared" si="7"/>
        <v>3.9500000000000091E-2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11"/>
      <c r="H53" s="10"/>
      <c r="I53" s="10">
        <f t="shared" si="8"/>
        <v>16786</v>
      </c>
      <c r="J53" s="10">
        <f t="shared" si="6"/>
        <v>1451475905.9904385</v>
      </c>
      <c r="K53" s="11">
        <f t="shared" si="7"/>
        <v>3.8899999999999935E-2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11"/>
      <c r="H54" s="10"/>
      <c r="I54" s="10">
        <f t="shared" si="8"/>
        <v>16786</v>
      </c>
      <c r="J54" s="10">
        <f t="shared" si="6"/>
        <v>1397127640.7646921</v>
      </c>
      <c r="K54" s="11">
        <f t="shared" si="7"/>
        <v>3.839999999999999E-2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11"/>
      <c r="H55" s="10"/>
      <c r="I55" s="10">
        <f t="shared" si="8"/>
        <v>16786</v>
      </c>
      <c r="J55" s="10">
        <f t="shared" si="6"/>
        <v>1345461903.6639948</v>
      </c>
      <c r="K55" s="11">
        <f t="shared" si="7"/>
        <v>3.7900000000000045E-2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11"/>
      <c r="H56" s="10"/>
      <c r="I56" s="10">
        <f t="shared" si="8"/>
        <v>16786</v>
      </c>
      <c r="J56" s="10">
        <f t="shared" si="6"/>
        <v>1296330960.2697704</v>
      </c>
      <c r="K56" s="11">
        <f t="shared" si="7"/>
        <v>3.74000000000001E-2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11"/>
      <c r="H57" s="10"/>
      <c r="I57" s="10">
        <f t="shared" si="8"/>
        <v>16786</v>
      </c>
      <c r="J57" s="10">
        <f t="shared" si="6"/>
        <v>1249596067.3508484</v>
      </c>
      <c r="K57" s="11">
        <f t="shared" si="7"/>
        <v>3.7300000000000111E-2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11"/>
      <c r="H58" s="10"/>
      <c r="I58" s="10">
        <f t="shared" si="8"/>
        <v>16786</v>
      </c>
      <c r="J58" s="10">
        <f t="shared" si="6"/>
        <v>1204662168.4670281</v>
      </c>
      <c r="K58" s="11">
        <f t="shared" si="7"/>
        <v>3.71999999999999E-2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11"/>
      <c r="H59" s="10"/>
      <c r="I59" s="10">
        <f t="shared" si="8"/>
        <v>16786</v>
      </c>
      <c r="J59" s="10">
        <f t="shared" si="6"/>
        <v>1161456005.0781221</v>
      </c>
      <c r="K59" s="11">
        <f t="shared" si="7"/>
        <v>3.7099999999999911E-2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11"/>
      <c r="H60" s="10"/>
      <c r="I60" s="10">
        <f t="shared" si="8"/>
        <v>16786</v>
      </c>
      <c r="J60" s="10">
        <f t="shared" si="6"/>
        <v>1119907439.0879591</v>
      </c>
      <c r="K60" s="11">
        <f t="shared" si="7"/>
        <v>3.6899999999999933E-2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11"/>
      <c r="H61" s="10"/>
      <c r="I61" s="10">
        <f t="shared" si="8"/>
        <v>16786</v>
      </c>
      <c r="J61" s="10">
        <f t="shared" si="6"/>
        <v>1080053466.1857066</v>
      </c>
      <c r="K61" s="11">
        <f t="shared" si="7"/>
        <v>3.6699999999999955E-2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11"/>
      <c r="H62" s="10"/>
      <c r="I62" s="10">
        <f t="shared" si="8"/>
        <v>16786</v>
      </c>
      <c r="J62" s="10">
        <f t="shared" si="6"/>
        <v>1041818719.1913829</v>
      </c>
      <c r="K62" s="11">
        <f t="shared" si="7"/>
        <v>3.6599999999999966E-2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11"/>
      <c r="H63" s="10"/>
      <c r="I63" s="10">
        <f t="shared" si="8"/>
        <v>16786</v>
      </c>
      <c r="J63" s="10">
        <f t="shared" si="6"/>
        <v>1005034458.0275737</v>
      </c>
      <c r="K63" s="11">
        <f t="shared" si="7"/>
        <v>3.6399999999999988E-2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11"/>
      <c r="H64" s="10"/>
      <c r="I64" s="10">
        <f t="shared" si="8"/>
        <v>16786</v>
      </c>
      <c r="J64" s="10">
        <f t="shared" si="6"/>
        <v>969736065.25238681</v>
      </c>
      <c r="K64" s="11">
        <f t="shared" si="7"/>
        <v>3.620000000000001E-2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11"/>
      <c r="H65" s="10"/>
      <c r="I65" s="10">
        <f t="shared" si="8"/>
        <v>16786</v>
      </c>
      <c r="J65" s="10">
        <f t="shared" si="6"/>
        <v>935858005.45491874</v>
      </c>
      <c r="K65" s="11">
        <f t="shared" si="7"/>
        <v>3.5899999999999821E-2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6">
        <v>833491</v>
      </c>
      <c r="G66" s="11"/>
      <c r="H66" s="10"/>
      <c r="I66" s="10">
        <f t="shared" si="8"/>
        <v>16786</v>
      </c>
      <c r="J66" s="10">
        <f t="shared" ref="J66:J97" si="9">IF(I66="","",I66*C66)</f>
        <v>903425046.2930001</v>
      </c>
      <c r="K66" s="11">
        <f t="shared" ref="K66:K97" si="10">IFERROR(J66/J67-1,"")</f>
        <v>3.5700000000000065E-2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11"/>
      <c r="H67" s="10"/>
      <c r="I67" s="10">
        <f t="shared" ref="I67:I98" si="11">IF(H67&lt;&gt;"",H67,I66/(1+IF(G66="",0,G66)))</f>
        <v>16786</v>
      </c>
      <c r="J67" s="10">
        <f t="shared" si="9"/>
        <v>872284490</v>
      </c>
      <c r="K67" s="11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5"/>
      <c r="G2" s="11"/>
      <c r="H2" s="10"/>
      <c r="I2" s="10">
        <f>IF(H2&lt;&gt;"",H2,9325)</f>
        <v>9325</v>
      </c>
      <c r="J2" s="10">
        <f t="shared" ref="J2:J33" si="3">IF(I2="","",I2*C2)</f>
        <v>159255566946.13174</v>
      </c>
      <c r="K2" s="11">
        <f t="shared" ref="K2:K33" si="4">IFERROR(J2/J3-1,"")</f>
        <v>2.0300000000000207E-2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11"/>
      <c r="H3" s="10"/>
      <c r="I3" s="10">
        <f t="shared" ref="I3:I34" si="5">IF(H3&lt;&gt;"",H3,I2/(1+IF(G2="",0,G2)))</f>
        <v>9325</v>
      </c>
      <c r="J3" s="10">
        <f t="shared" si="3"/>
        <v>156087000829.297</v>
      </c>
      <c r="K3" s="11">
        <f t="shared" si="4"/>
        <v>1.6799999999999926E-2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11"/>
      <c r="H4" s="10"/>
      <c r="I4" s="10">
        <f t="shared" si="5"/>
        <v>9325</v>
      </c>
      <c r="J4" s="10">
        <f t="shared" si="3"/>
        <v>153508065331.72403</v>
      </c>
      <c r="K4" s="11">
        <f t="shared" si="4"/>
        <v>1.6699999999999937E-2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11"/>
      <c r="H5" s="10"/>
      <c r="I5" s="10">
        <f t="shared" si="5"/>
        <v>9325</v>
      </c>
      <c r="J5" s="10">
        <f t="shared" si="3"/>
        <v>150986589290.5715</v>
      </c>
      <c r="K5" s="11">
        <f t="shared" si="4"/>
        <v>1.4899999999999913E-2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11"/>
      <c r="H6" s="10"/>
      <c r="I6" s="10">
        <f t="shared" si="5"/>
        <v>9325</v>
      </c>
      <c r="J6" s="10">
        <f t="shared" si="3"/>
        <v>148769917519.53052</v>
      </c>
      <c r="K6" s="11">
        <f t="shared" si="4"/>
        <v>1.2399999999999967E-2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11"/>
      <c r="H7" s="10"/>
      <c r="I7" s="10">
        <f t="shared" si="5"/>
        <v>9325</v>
      </c>
      <c r="J7" s="10">
        <f t="shared" si="3"/>
        <v>146947765230.6702</v>
      </c>
      <c r="K7" s="11">
        <f t="shared" si="4"/>
        <v>1.1900000000000022E-2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11"/>
      <c r="H8" s="10"/>
      <c r="I8" s="10">
        <f t="shared" si="5"/>
        <v>9325</v>
      </c>
      <c r="J8" s="10">
        <f t="shared" si="3"/>
        <v>145219651379.25705</v>
      </c>
      <c r="K8" s="11">
        <f t="shared" si="4"/>
        <v>1.2000000000000011E-2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11"/>
      <c r="H9" s="10"/>
      <c r="I9" s="10">
        <f t="shared" si="5"/>
        <v>9325</v>
      </c>
      <c r="J9" s="10">
        <f t="shared" si="3"/>
        <v>143497679228.51486</v>
      </c>
      <c r="K9" s="11">
        <f t="shared" si="4"/>
        <v>1.1600000000000055E-2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11"/>
      <c r="H10" s="10"/>
      <c r="I10" s="10">
        <f t="shared" si="5"/>
        <v>9325</v>
      </c>
      <c r="J10" s="10">
        <f t="shared" si="3"/>
        <v>141852193780.65921</v>
      </c>
      <c r="K10" s="11">
        <f t="shared" si="4"/>
        <v>1.0599999999999943E-2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11"/>
      <c r="H11" s="10"/>
      <c r="I11" s="10">
        <f t="shared" si="5"/>
        <v>9325</v>
      </c>
      <c r="J11" s="10">
        <f t="shared" si="3"/>
        <v>140364331862.91235</v>
      </c>
      <c r="K11" s="11">
        <f t="shared" si="4"/>
        <v>1.0299999999999976E-2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11"/>
      <c r="H12" s="10"/>
      <c r="I12" s="10">
        <f t="shared" si="5"/>
        <v>9325</v>
      </c>
      <c r="J12" s="10">
        <f t="shared" si="3"/>
        <v>138933318680.50317</v>
      </c>
      <c r="K12" s="11">
        <f t="shared" si="4"/>
        <v>1.0200000000000209E-2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11"/>
      <c r="H13" s="10"/>
      <c r="I13" s="10">
        <f t="shared" si="5"/>
        <v>9325</v>
      </c>
      <c r="J13" s="10">
        <f t="shared" si="3"/>
        <v>137530507503.96274</v>
      </c>
      <c r="K13" s="11">
        <f t="shared" si="4"/>
        <v>1.0099999999999998E-2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11"/>
      <c r="H14" s="10"/>
      <c r="I14" s="10">
        <f t="shared" si="5"/>
        <v>9325</v>
      </c>
      <c r="J14" s="10">
        <f t="shared" si="3"/>
        <v>136155338584.26169</v>
      </c>
      <c r="K14" s="11">
        <f t="shared" si="4"/>
        <v>1.0000000000000009E-2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11"/>
      <c r="H15" s="10"/>
      <c r="I15" s="10">
        <f t="shared" si="5"/>
        <v>9325</v>
      </c>
      <c r="J15" s="10">
        <f t="shared" si="3"/>
        <v>134807265925.01158</v>
      </c>
      <c r="K15" s="11">
        <f t="shared" si="4"/>
        <v>9.5000000000000639E-3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11"/>
      <c r="H16" s="10"/>
      <c r="I16" s="10">
        <f t="shared" si="5"/>
        <v>9325</v>
      </c>
      <c r="J16" s="10">
        <f t="shared" si="3"/>
        <v>133538648761.77472</v>
      </c>
      <c r="K16" s="11">
        <f t="shared" si="4"/>
        <v>8.599999999999941E-3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11"/>
      <c r="H17" s="10"/>
      <c r="I17" s="10">
        <f t="shared" si="5"/>
        <v>9325</v>
      </c>
      <c r="J17" s="10">
        <f t="shared" si="3"/>
        <v>132400008687.06595</v>
      </c>
      <c r="K17" s="11">
        <f t="shared" si="4"/>
        <v>9.200000000000097E-3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11"/>
      <c r="H18" s="10"/>
      <c r="I18" s="10">
        <f t="shared" si="5"/>
        <v>9325</v>
      </c>
      <c r="J18" s="10">
        <f t="shared" si="3"/>
        <v>131193032785.4399</v>
      </c>
      <c r="K18" s="11">
        <f t="shared" si="4"/>
        <v>1.0999999999999899E-2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11"/>
      <c r="H19" s="10"/>
      <c r="I19" s="10">
        <f t="shared" si="5"/>
        <v>9325</v>
      </c>
      <c r="J19" s="10">
        <f t="shared" si="3"/>
        <v>129765611063.73877</v>
      </c>
      <c r="K19" s="11">
        <f t="shared" si="4"/>
        <v>1.2199999999999989E-2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11"/>
      <c r="H20" s="10"/>
      <c r="I20" s="10">
        <f t="shared" si="5"/>
        <v>9325</v>
      </c>
      <c r="J20" s="10">
        <f t="shared" si="3"/>
        <v>128201552127.77985</v>
      </c>
      <c r="K20" s="11">
        <f t="shared" si="4"/>
        <v>1.21E-2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11"/>
      <c r="H21" s="10"/>
      <c r="I21" s="10">
        <f t="shared" si="5"/>
        <v>9325</v>
      </c>
      <c r="J21" s="10">
        <f t="shared" si="3"/>
        <v>126668858934.67033</v>
      </c>
      <c r="K21" s="11">
        <f t="shared" si="4"/>
        <v>1.3100000000000112E-2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11"/>
      <c r="H22" s="10"/>
      <c r="I22" s="10">
        <f t="shared" si="5"/>
        <v>9325</v>
      </c>
      <c r="J22" s="10">
        <f t="shared" si="3"/>
        <v>125030953444.54677</v>
      </c>
      <c r="K22" s="11">
        <f t="shared" si="4"/>
        <v>1.2199999999999989E-2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11"/>
      <c r="H23" s="10"/>
      <c r="I23" s="10">
        <f t="shared" si="5"/>
        <v>9325</v>
      </c>
      <c r="J23" s="10">
        <f t="shared" si="3"/>
        <v>123523961118.89622</v>
      </c>
      <c r="K23" s="11">
        <f t="shared" si="4"/>
        <v>1.6299999999999981E-2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11"/>
      <c r="H24" s="10"/>
      <c r="I24" s="10">
        <f t="shared" si="5"/>
        <v>9325</v>
      </c>
      <c r="J24" s="10">
        <f t="shared" si="3"/>
        <v>121542813262.71399</v>
      </c>
      <c r="K24" s="11">
        <f t="shared" si="4"/>
        <v>2.0100000000000007E-2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11"/>
      <c r="H25" s="10"/>
      <c r="I25" s="10">
        <f t="shared" si="5"/>
        <v>9325</v>
      </c>
      <c r="J25" s="10">
        <f t="shared" si="3"/>
        <v>119147939675.24164</v>
      </c>
      <c r="K25" s="11">
        <f t="shared" si="4"/>
        <v>1.8100000000000005E-2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11"/>
      <c r="H26" s="10"/>
      <c r="I26" s="10">
        <f t="shared" si="5"/>
        <v>9325</v>
      </c>
      <c r="J26" s="10">
        <f t="shared" si="3"/>
        <v>117029702067.81421</v>
      </c>
      <c r="K26" s="11">
        <f t="shared" si="4"/>
        <v>2.3099999999999898E-2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11"/>
      <c r="H27" s="10"/>
      <c r="I27" s="10">
        <f t="shared" si="5"/>
        <v>9325</v>
      </c>
      <c r="J27" s="10">
        <f t="shared" si="3"/>
        <v>114387354186.11496</v>
      </c>
      <c r="K27" s="11">
        <f t="shared" si="4"/>
        <v>2.8200000000000003E-2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11"/>
      <c r="H28" s="10"/>
      <c r="I28" s="10">
        <f t="shared" si="5"/>
        <v>9325</v>
      </c>
      <c r="J28" s="10">
        <f t="shared" si="3"/>
        <v>111250101328.64711</v>
      </c>
      <c r="K28" s="11">
        <f t="shared" si="4"/>
        <v>2.9800000000000049E-2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11"/>
      <c r="H29" s="10"/>
      <c r="I29" s="10">
        <f t="shared" si="5"/>
        <v>9325</v>
      </c>
      <c r="J29" s="10">
        <f t="shared" si="3"/>
        <v>108030783966.44699</v>
      </c>
      <c r="K29" s="11">
        <f t="shared" si="4"/>
        <v>3.0899999999999928E-2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11"/>
      <c r="H30" s="10"/>
      <c r="I30" s="10">
        <f t="shared" si="5"/>
        <v>9325</v>
      </c>
      <c r="J30" s="10">
        <f t="shared" si="3"/>
        <v>104792689850.07954</v>
      </c>
      <c r="K30" s="11">
        <f t="shared" si="4"/>
        <v>3.1700000000000061E-2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11"/>
      <c r="H31" s="10"/>
      <c r="I31" s="10">
        <f t="shared" si="5"/>
        <v>9325</v>
      </c>
      <c r="J31" s="10">
        <f t="shared" si="3"/>
        <v>101572831104.08018</v>
      </c>
      <c r="K31" s="11">
        <f t="shared" si="4"/>
        <v>3.2499999999999751E-2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11"/>
      <c r="H32" s="10"/>
      <c r="I32" s="10">
        <f t="shared" si="5"/>
        <v>9325</v>
      </c>
      <c r="J32" s="10">
        <f t="shared" si="3"/>
        <v>98375623345.356125</v>
      </c>
      <c r="K32" s="11">
        <f t="shared" si="4"/>
        <v>3.3900000000000041E-2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11"/>
      <c r="H33" s="10"/>
      <c r="I33" s="10">
        <f t="shared" si="5"/>
        <v>9325</v>
      </c>
      <c r="J33" s="10">
        <f t="shared" si="3"/>
        <v>95150037088.070526</v>
      </c>
      <c r="K33" s="11">
        <f t="shared" si="4"/>
        <v>3.5199999999999898E-2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11"/>
      <c r="H34" s="10"/>
      <c r="I34" s="10">
        <f t="shared" si="5"/>
        <v>9325</v>
      </c>
      <c r="J34" s="10">
        <f t="shared" ref="J34:J65" si="6">IF(I34="","",I34*C34)</f>
        <v>91914641700.222687</v>
      </c>
      <c r="K34" s="11">
        <f t="shared" ref="K34:K65" si="7">IFERROR(J34/J35-1,"")</f>
        <v>3.5599999999999854E-2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11"/>
      <c r="H35" s="10"/>
      <c r="I35" s="10">
        <f t="shared" ref="I35:I66" si="8">IF(H35&lt;&gt;"",H35,I34/(1+IF(G34="",0,G34)))</f>
        <v>9325</v>
      </c>
      <c r="J35" s="10">
        <f t="shared" si="6"/>
        <v>88754964948.07135</v>
      </c>
      <c r="K35" s="11">
        <f t="shared" si="7"/>
        <v>3.5199999999999898E-2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11"/>
      <c r="H36" s="10"/>
      <c r="I36" s="10">
        <f t="shared" si="8"/>
        <v>9325</v>
      </c>
      <c r="J36" s="10">
        <f t="shared" si="6"/>
        <v>85737021781.367233</v>
      </c>
      <c r="K36" s="11">
        <f t="shared" si="7"/>
        <v>3.4599999999999964E-2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11"/>
      <c r="H37" s="10"/>
      <c r="I37" s="10">
        <f t="shared" si="8"/>
        <v>9325</v>
      </c>
      <c r="J37" s="10">
        <f t="shared" si="6"/>
        <v>82869729152.684357</v>
      </c>
      <c r="K37" s="11">
        <f t="shared" si="7"/>
        <v>3.0899999999999928E-2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11"/>
      <c r="H38" s="10"/>
      <c r="I38" s="10">
        <f t="shared" si="8"/>
        <v>9325</v>
      </c>
      <c r="J38" s="10">
        <f t="shared" si="6"/>
        <v>80385807694.911591</v>
      </c>
      <c r="K38" s="11">
        <f t="shared" si="7"/>
        <v>2.7399999999999869E-2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11"/>
      <c r="H39" s="10"/>
      <c r="I39" s="10">
        <f t="shared" si="8"/>
        <v>9325</v>
      </c>
      <c r="J39" s="10">
        <f t="shared" si="6"/>
        <v>78241977511.107254</v>
      </c>
      <c r="K39" s="11">
        <f t="shared" si="7"/>
        <v>2.7700000000000058E-2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11"/>
      <c r="H40" s="10"/>
      <c r="I40" s="10">
        <f t="shared" si="8"/>
        <v>9325</v>
      </c>
      <c r="J40" s="10">
        <f t="shared" si="6"/>
        <v>76133090893.361145</v>
      </c>
      <c r="K40" s="11">
        <f t="shared" si="7"/>
        <v>2.7399999999999869E-2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11"/>
      <c r="H41" s="10"/>
      <c r="I41" s="10">
        <f t="shared" si="8"/>
        <v>9325</v>
      </c>
      <c r="J41" s="10">
        <f t="shared" si="6"/>
        <v>74102677529.064774</v>
      </c>
      <c r="K41" s="11">
        <f t="shared" si="7"/>
        <v>2.8099999999999792E-2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11"/>
      <c r="H42" s="10"/>
      <c r="I42" s="10">
        <f t="shared" si="8"/>
        <v>9325</v>
      </c>
      <c r="J42" s="10">
        <f t="shared" si="6"/>
        <v>72077305251.497696</v>
      </c>
      <c r="K42" s="11">
        <f t="shared" si="7"/>
        <v>2.8600000000000181E-2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11"/>
      <c r="H43" s="10"/>
      <c r="I43" s="10">
        <f t="shared" si="8"/>
        <v>9325</v>
      </c>
      <c r="J43" s="10">
        <f t="shared" si="6"/>
        <v>70073211405.305939</v>
      </c>
      <c r="K43" s="11">
        <f t="shared" si="7"/>
        <v>2.8999999999999915E-2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11"/>
      <c r="H44" s="10"/>
      <c r="I44" s="10">
        <f t="shared" si="8"/>
        <v>9325</v>
      </c>
      <c r="J44" s="10">
        <f t="shared" si="6"/>
        <v>68098358994.466423</v>
      </c>
      <c r="K44" s="11">
        <f t="shared" si="7"/>
        <v>2.9099999999999904E-2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11"/>
      <c r="H45" s="10"/>
      <c r="I45" s="10">
        <f t="shared" si="8"/>
        <v>9325</v>
      </c>
      <c r="J45" s="10">
        <f t="shared" si="6"/>
        <v>66172732479.318268</v>
      </c>
      <c r="K45" s="11">
        <f t="shared" si="7"/>
        <v>2.970000000000006E-2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11"/>
      <c r="H46" s="10"/>
      <c r="I46" s="10">
        <f t="shared" si="8"/>
        <v>9325</v>
      </c>
      <c r="J46" s="10">
        <f t="shared" si="6"/>
        <v>64264089034.979378</v>
      </c>
      <c r="K46" s="11">
        <f t="shared" si="7"/>
        <v>3.0799999999999939E-2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11"/>
      <c r="H47" s="10"/>
      <c r="I47" s="10">
        <f t="shared" si="8"/>
        <v>9325</v>
      </c>
      <c r="J47" s="10">
        <f t="shared" si="6"/>
        <v>62343897007.158882</v>
      </c>
      <c r="K47" s="11">
        <f t="shared" si="7"/>
        <v>3.1400000000000095E-2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11"/>
      <c r="H48" s="10"/>
      <c r="I48" s="10">
        <f t="shared" si="8"/>
        <v>9325</v>
      </c>
      <c r="J48" s="10">
        <f t="shared" si="6"/>
        <v>60445895876.632614</v>
      </c>
      <c r="K48" s="11">
        <f t="shared" si="7"/>
        <v>3.1700000000000061E-2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11"/>
      <c r="H49" s="10"/>
      <c r="I49" s="10">
        <f t="shared" si="8"/>
        <v>9325</v>
      </c>
      <c r="J49" s="10">
        <f t="shared" si="6"/>
        <v>58588636111.885826</v>
      </c>
      <c r="K49" s="11">
        <f t="shared" si="7"/>
        <v>3.1700000000000284E-2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11"/>
      <c r="H50" s="10"/>
      <c r="I50" s="10">
        <f t="shared" si="8"/>
        <v>9325</v>
      </c>
      <c r="J50" s="10">
        <f t="shared" si="6"/>
        <v>56788442485.107895</v>
      </c>
      <c r="K50" s="11">
        <f t="shared" si="7"/>
        <v>3.1500000000000083E-2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11"/>
      <c r="H51" s="10"/>
      <c r="I51" s="10">
        <f t="shared" si="8"/>
        <v>9325</v>
      </c>
      <c r="J51" s="10">
        <f t="shared" si="6"/>
        <v>55054234110.62326</v>
      </c>
      <c r="K51" s="11">
        <f t="shared" si="7"/>
        <v>3.1199999999999894E-2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11"/>
      <c r="H52" s="10"/>
      <c r="I52" s="10">
        <f t="shared" si="8"/>
        <v>9325</v>
      </c>
      <c r="J52" s="10">
        <f t="shared" si="6"/>
        <v>53388512519.99929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11"/>
      <c r="H53" s="10"/>
      <c r="I53" s="10">
        <f t="shared" si="8"/>
        <v>9325</v>
      </c>
      <c r="J53" s="10">
        <f t="shared" si="6"/>
        <v>51783232318.137047</v>
      </c>
      <c r="K53" s="11">
        <f t="shared" si="7"/>
        <v>3.0799999999999939E-2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11"/>
      <c r="H54" s="10"/>
      <c r="I54" s="10">
        <f t="shared" si="8"/>
        <v>9325</v>
      </c>
      <c r="J54" s="10">
        <f t="shared" si="6"/>
        <v>50235964608.204353</v>
      </c>
      <c r="K54" s="11">
        <f t="shared" si="7"/>
        <v>3.0200000000000227E-2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11"/>
      <c r="H55" s="10"/>
      <c r="I55" s="10">
        <f t="shared" si="8"/>
        <v>9325</v>
      </c>
      <c r="J55" s="10">
        <f t="shared" si="6"/>
        <v>48763312568.631668</v>
      </c>
      <c r="K55" s="11">
        <f t="shared" si="7"/>
        <v>2.849999999999997E-2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11"/>
      <c r="H56" s="10"/>
      <c r="I56" s="10">
        <f t="shared" si="8"/>
        <v>9325</v>
      </c>
      <c r="J56" s="10">
        <f t="shared" si="6"/>
        <v>47412068613.156708</v>
      </c>
      <c r="K56" s="11">
        <f t="shared" si="7"/>
        <v>2.6599999999999957E-2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11"/>
      <c r="H57" s="10"/>
      <c r="I57" s="10">
        <f t="shared" si="8"/>
        <v>9325</v>
      </c>
      <c r="J57" s="10">
        <f t="shared" si="6"/>
        <v>46183585245.623131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11"/>
      <c r="H58" s="10"/>
      <c r="I58" s="10">
        <f t="shared" si="8"/>
        <v>9325</v>
      </c>
      <c r="J58" s="10">
        <f t="shared" si="6"/>
        <v>45043972735.417076</v>
      </c>
      <c r="K58" s="11">
        <f t="shared" si="7"/>
        <v>2.4599999999999955E-2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11"/>
      <c r="H59" s="10"/>
      <c r="I59" s="10">
        <f t="shared" si="8"/>
        <v>9325</v>
      </c>
      <c r="J59" s="10">
        <f t="shared" si="6"/>
        <v>43962495349.811707</v>
      </c>
      <c r="K59" s="11">
        <f t="shared" si="7"/>
        <v>2.4499999999999744E-2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11"/>
      <c r="H60" s="10"/>
      <c r="I60" s="10">
        <f t="shared" si="8"/>
        <v>9325</v>
      </c>
      <c r="J60" s="10">
        <f t="shared" si="6"/>
        <v>42911171644.52095</v>
      </c>
      <c r="K60" s="11">
        <f t="shared" si="7"/>
        <v>2.3900000000000032E-2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11"/>
      <c r="H61" s="10"/>
      <c r="I61" s="10">
        <f t="shared" si="8"/>
        <v>9325</v>
      </c>
      <c r="J61" s="10">
        <f t="shared" si="6"/>
        <v>41909533787.011375</v>
      </c>
      <c r="K61" s="11">
        <f t="shared" si="7"/>
        <v>2.3200000000000331E-2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11"/>
      <c r="H62" s="10"/>
      <c r="I62" s="10">
        <f t="shared" si="8"/>
        <v>9325</v>
      </c>
      <c r="J62" s="10">
        <f t="shared" si="6"/>
        <v>40959278525.22612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11"/>
      <c r="H63" s="10"/>
      <c r="I63" s="10">
        <f t="shared" si="8"/>
        <v>9325</v>
      </c>
      <c r="J63" s="10">
        <f t="shared" si="6"/>
        <v>40061892141.261856</v>
      </c>
      <c r="K63" s="11">
        <f t="shared" si="7"/>
        <v>2.1900000000000031E-2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11"/>
      <c r="H64" s="10"/>
      <c r="I64" s="10">
        <f t="shared" si="8"/>
        <v>9325</v>
      </c>
      <c r="J64" s="10">
        <f t="shared" si="6"/>
        <v>39203339016.794067</v>
      </c>
      <c r="K64" s="11">
        <f t="shared" si="7"/>
        <v>2.1500000000000075E-2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11"/>
      <c r="H65" s="10"/>
      <c r="I65" s="10">
        <f t="shared" si="8"/>
        <v>9325</v>
      </c>
      <c r="J65" s="10">
        <f t="shared" si="6"/>
        <v>38378207554.375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11"/>
      <c r="H66" s="10"/>
      <c r="I66" s="10">
        <f t="shared" si="8"/>
        <v>9325</v>
      </c>
      <c r="J66" s="10">
        <f t="shared" ref="J66:J97" si="9">IF(I66="","",I66*C66)</f>
        <v>37588841875</v>
      </c>
      <c r="K66" s="11">
        <f t="shared" ref="K66:K97" si="10">IFERROR(J66/J67-1,"")</f>
        <v>2.0499999999999963E-2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11"/>
      <c r="H67" s="10"/>
      <c r="I67" s="10">
        <f t="shared" ref="I67:I98" si="11">IF(H67&lt;&gt;"",H67,I66/(1+IF(G66="",0,G66)))</f>
        <v>9325</v>
      </c>
      <c r="J67" s="10">
        <f t="shared" si="9"/>
        <v>36833750000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5"/>
      <c r="G2" s="11"/>
      <c r="H2" s="10"/>
      <c r="I2" s="10">
        <f>IF(H2&lt;&gt;"",H2,4722)</f>
        <v>4722</v>
      </c>
      <c r="J2" s="10">
        <f t="shared" ref="J2:J33" si="3">IF(I2="","",I2*C2)</f>
        <v>97304498479.820023</v>
      </c>
      <c r="K2" s="11">
        <f t="shared" ref="K2:K33" si="4">IFERROR(J2/J3-1,"")</f>
        <v>1.0199999999999987E-2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11"/>
      <c r="H3" s="10"/>
      <c r="I3" s="10">
        <f t="shared" ref="I3:I34" si="5">IF(H3&lt;&gt;"",H3,I2/(1+IF(G2="",0,G2)))</f>
        <v>4722</v>
      </c>
      <c r="J3" s="10">
        <f t="shared" si="3"/>
        <v>96322013937.65593</v>
      </c>
      <c r="K3" s="11">
        <f t="shared" si="4"/>
        <v>1.089999999999991E-2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11"/>
      <c r="H4" s="10"/>
      <c r="I4" s="10">
        <f t="shared" si="5"/>
        <v>4722</v>
      </c>
      <c r="J4" s="10">
        <f t="shared" si="3"/>
        <v>95283424609.41333</v>
      </c>
      <c r="K4" s="11">
        <f t="shared" si="4"/>
        <v>1.1500000000000066E-2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11"/>
      <c r="H5" s="10"/>
      <c r="I5" s="10">
        <f t="shared" si="5"/>
        <v>4722</v>
      </c>
      <c r="J5" s="10">
        <f t="shared" si="3"/>
        <v>94200123192.697296</v>
      </c>
      <c r="K5" s="11">
        <f t="shared" si="4"/>
        <v>1.2299999999999978E-2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11"/>
      <c r="H6" s="10"/>
      <c r="I6" s="10">
        <f t="shared" si="5"/>
        <v>4722</v>
      </c>
      <c r="J6" s="10">
        <f t="shared" si="3"/>
        <v>93055540050.081299</v>
      </c>
      <c r="K6" s="11">
        <f t="shared" si="4"/>
        <v>1.4699999999999713E-2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11"/>
      <c r="H7" s="10"/>
      <c r="I7" s="10">
        <f t="shared" si="5"/>
        <v>4722</v>
      </c>
      <c r="J7" s="10">
        <f t="shared" si="3"/>
        <v>91707440672.199982</v>
      </c>
      <c r="K7" s="11">
        <f t="shared" si="4"/>
        <v>1.8199999999999994E-2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11"/>
      <c r="H8" s="10"/>
      <c r="I8" s="10">
        <f t="shared" si="5"/>
        <v>4722</v>
      </c>
      <c r="J8" s="10">
        <f t="shared" si="3"/>
        <v>90068199442.349228</v>
      </c>
      <c r="K8" s="11">
        <f t="shared" si="4"/>
        <v>1.8299999999999983E-2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11"/>
      <c r="H9" s="10"/>
      <c r="I9" s="10">
        <f t="shared" si="5"/>
        <v>4722</v>
      </c>
      <c r="J9" s="10">
        <f t="shared" si="3"/>
        <v>88449572269.811676</v>
      </c>
      <c r="K9" s="11">
        <f t="shared" si="4"/>
        <v>1.8199999999999772E-2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11"/>
      <c r="H10" s="10"/>
      <c r="I10" s="10">
        <f t="shared" si="5"/>
        <v>4722</v>
      </c>
      <c r="J10" s="10">
        <f t="shared" si="3"/>
        <v>86868564397.772232</v>
      </c>
      <c r="K10" s="11">
        <f t="shared" si="4"/>
        <v>1.7900000000000027E-2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11"/>
      <c r="H11" s="10"/>
      <c r="I11" s="10">
        <f t="shared" si="5"/>
        <v>4722</v>
      </c>
      <c r="J11" s="10">
        <f t="shared" si="3"/>
        <v>85340961192.427765</v>
      </c>
      <c r="K11" s="11">
        <f t="shared" si="4"/>
        <v>1.7500000000000071E-2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11"/>
      <c r="H12" s="10"/>
      <c r="I12" s="10">
        <f t="shared" si="5"/>
        <v>4722</v>
      </c>
      <c r="J12" s="10">
        <f t="shared" si="3"/>
        <v>83873180533.098541</v>
      </c>
      <c r="K12" s="11">
        <f t="shared" si="4"/>
        <v>1.6199999999999992E-2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11"/>
      <c r="H13" s="10"/>
      <c r="I13" s="10">
        <f t="shared" si="5"/>
        <v>4722</v>
      </c>
      <c r="J13" s="10">
        <f t="shared" si="3"/>
        <v>82536095781.439224</v>
      </c>
      <c r="K13" s="11">
        <f t="shared" si="4"/>
        <v>1.4899999999999913E-2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11"/>
      <c r="H14" s="10"/>
      <c r="I14" s="10">
        <f t="shared" si="5"/>
        <v>4722</v>
      </c>
      <c r="J14" s="10">
        <f t="shared" si="3"/>
        <v>81324362776.075699</v>
      </c>
      <c r="K14" s="11">
        <f t="shared" si="4"/>
        <v>1.4100000000000001E-2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11"/>
      <c r="H15" s="10"/>
      <c r="I15" s="10">
        <f t="shared" si="5"/>
        <v>4722</v>
      </c>
      <c r="J15" s="10">
        <f t="shared" si="3"/>
        <v>80193632557.021698</v>
      </c>
      <c r="K15" s="11">
        <f t="shared" si="4"/>
        <v>1.3599999999999834E-2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11"/>
      <c r="H16" s="10"/>
      <c r="I16" s="10">
        <f t="shared" si="5"/>
        <v>4722</v>
      </c>
      <c r="J16" s="10">
        <f t="shared" si="3"/>
        <v>79117632751.599945</v>
      </c>
      <c r="K16" s="11">
        <f t="shared" si="4"/>
        <v>1.4499999999999957E-2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11"/>
      <c r="H17" s="10"/>
      <c r="I17" s="10">
        <f t="shared" si="5"/>
        <v>4722</v>
      </c>
      <c r="J17" s="10">
        <f t="shared" si="3"/>
        <v>77986823806.407043</v>
      </c>
      <c r="K17" s="11">
        <f t="shared" si="4"/>
        <v>1.5499999999999847E-2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11"/>
      <c r="H18" s="10"/>
      <c r="I18" s="10">
        <f t="shared" si="5"/>
        <v>4722</v>
      </c>
      <c r="J18" s="10">
        <f t="shared" si="3"/>
        <v>76796478391.341263</v>
      </c>
      <c r="K18" s="11">
        <f t="shared" si="4"/>
        <v>1.6100000000000225E-2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11"/>
      <c r="H19" s="10"/>
      <c r="I19" s="10">
        <f t="shared" si="5"/>
        <v>4722</v>
      </c>
      <c r="J19" s="10">
        <f t="shared" si="3"/>
        <v>75579646089.303467</v>
      </c>
      <c r="K19" s="11">
        <f t="shared" si="4"/>
        <v>1.760000000000006E-2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11"/>
      <c r="H20" s="10"/>
      <c r="I20" s="10">
        <f t="shared" si="5"/>
        <v>4722</v>
      </c>
      <c r="J20" s="10">
        <f t="shared" si="3"/>
        <v>74272450952.538788</v>
      </c>
      <c r="K20" s="11">
        <f t="shared" si="4"/>
        <v>1.9099999999999895E-2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11"/>
      <c r="H21" s="10"/>
      <c r="I21" s="10">
        <f t="shared" si="5"/>
        <v>4722</v>
      </c>
      <c r="J21" s="10">
        <f t="shared" si="3"/>
        <v>72880434650.710236</v>
      </c>
      <c r="K21" s="11">
        <f t="shared" si="4"/>
        <v>2.0600000000000174E-2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11"/>
      <c r="H22" s="10"/>
      <c r="I22" s="10">
        <f t="shared" si="5"/>
        <v>4722</v>
      </c>
      <c r="J22" s="10">
        <f t="shared" si="3"/>
        <v>71409400990.309845</v>
      </c>
      <c r="K22" s="11">
        <f t="shared" si="4"/>
        <v>2.2100000000000009E-2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11"/>
      <c r="H23" s="10"/>
      <c r="I23" s="10">
        <f t="shared" si="5"/>
        <v>4722</v>
      </c>
      <c r="J23" s="10">
        <f t="shared" si="3"/>
        <v>69865376176.802505</v>
      </c>
      <c r="K23" s="11">
        <f t="shared" si="4"/>
        <v>2.289999999999992E-2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11"/>
      <c r="H24" s="10"/>
      <c r="I24" s="10">
        <f t="shared" si="5"/>
        <v>4722</v>
      </c>
      <c r="J24" s="10">
        <f t="shared" si="3"/>
        <v>68301276934.991219</v>
      </c>
      <c r="K24" s="11">
        <f t="shared" si="4"/>
        <v>2.289999999999992E-2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11"/>
      <c r="H25" s="10"/>
      <c r="I25" s="10">
        <f t="shared" si="5"/>
        <v>4722</v>
      </c>
      <c r="J25" s="10">
        <f t="shared" si="3"/>
        <v>66772193699.277763</v>
      </c>
      <c r="K25" s="11">
        <f t="shared" si="4"/>
        <v>2.1700000000000053E-2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11"/>
      <c r="H26" s="10"/>
      <c r="I26" s="10">
        <f t="shared" si="5"/>
        <v>4722</v>
      </c>
      <c r="J26" s="10">
        <f t="shared" si="3"/>
        <v>65354011646.547676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11"/>
      <c r="H27" s="10"/>
      <c r="I27" s="10">
        <f t="shared" si="5"/>
        <v>4722</v>
      </c>
      <c r="J27" s="10">
        <f t="shared" si="3"/>
        <v>64041167708.522957</v>
      </c>
      <c r="K27" s="11">
        <f t="shared" si="4"/>
        <v>2.0399999999999974E-2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11"/>
      <c r="H28" s="10"/>
      <c r="I28" s="10">
        <f t="shared" si="5"/>
        <v>4722</v>
      </c>
      <c r="J28" s="10">
        <f t="shared" si="3"/>
        <v>62760846441.124023</v>
      </c>
      <c r="K28" s="11">
        <f t="shared" si="4"/>
        <v>2.0299999999999985E-2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11"/>
      <c r="H29" s="10"/>
      <c r="I29" s="10">
        <f t="shared" si="5"/>
        <v>4722</v>
      </c>
      <c r="J29" s="10">
        <f t="shared" si="3"/>
        <v>61512149800.180367</v>
      </c>
      <c r="K29" s="11">
        <f t="shared" si="4"/>
        <v>2.0299999999999985E-2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11"/>
      <c r="H30" s="10"/>
      <c r="I30" s="10">
        <f t="shared" si="5"/>
        <v>4722</v>
      </c>
      <c r="J30" s="10">
        <f t="shared" si="3"/>
        <v>60288297363.697311</v>
      </c>
      <c r="K30" s="11">
        <f t="shared" si="4"/>
        <v>2.0499999999999963E-2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11"/>
      <c r="H31" s="10"/>
      <c r="I31" s="10">
        <f t="shared" si="5"/>
        <v>4722</v>
      </c>
      <c r="J31" s="10">
        <f t="shared" si="3"/>
        <v>59077214467.121323</v>
      </c>
      <c r="K31" s="11">
        <f t="shared" si="4"/>
        <v>2.079999999999993E-2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11"/>
      <c r="H32" s="10"/>
      <c r="I32" s="10">
        <f t="shared" si="5"/>
        <v>4722</v>
      </c>
      <c r="J32" s="10">
        <f t="shared" si="3"/>
        <v>57873446774.217598</v>
      </c>
      <c r="K32" s="11">
        <f t="shared" si="4"/>
        <v>2.1099999999999897E-2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11"/>
      <c r="H33" s="10"/>
      <c r="I33" s="10">
        <f t="shared" si="5"/>
        <v>4722</v>
      </c>
      <c r="J33" s="10">
        <f t="shared" si="3"/>
        <v>56677550459.521698</v>
      </c>
      <c r="K33" s="11">
        <f t="shared" si="4"/>
        <v>2.1400000000000086E-2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11"/>
      <c r="H34" s="10"/>
      <c r="I34" s="10">
        <f t="shared" si="5"/>
        <v>4722</v>
      </c>
      <c r="J34" s="10">
        <f t="shared" ref="J34:J65" si="6">IF(I34="","",I34*C34)</f>
        <v>55490063108.989319</v>
      </c>
      <c r="K34" s="11">
        <f t="shared" ref="K34:K65" si="7">IFERROR(J34/J35-1,"")</f>
        <v>2.1500000000000075E-2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11"/>
      <c r="H35" s="10"/>
      <c r="I35" s="10">
        <f t="shared" ref="I35:I66" si="8">IF(H35&lt;&gt;"",H35,I34/(1+IF(G34="",0,G34)))</f>
        <v>4722</v>
      </c>
      <c r="J35" s="10">
        <f t="shared" si="6"/>
        <v>54322137160.048271</v>
      </c>
      <c r="K35" s="11">
        <f t="shared" si="7"/>
        <v>2.1400000000000086E-2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11"/>
      <c r="H36" s="10"/>
      <c r="I36" s="10">
        <f t="shared" si="8"/>
        <v>4722</v>
      </c>
      <c r="J36" s="10">
        <f t="shared" si="6"/>
        <v>53183999569.265976</v>
      </c>
      <c r="K36" s="11">
        <f t="shared" si="7"/>
        <v>2.0599999999999952E-2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11"/>
      <c r="H37" s="10"/>
      <c r="I37" s="10">
        <f t="shared" si="8"/>
        <v>4722</v>
      </c>
      <c r="J37" s="10">
        <f t="shared" si="6"/>
        <v>52110522799.594337</v>
      </c>
      <c r="K37" s="11">
        <f t="shared" si="7"/>
        <v>1.9600000000000062E-2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11"/>
      <c r="H38" s="10"/>
      <c r="I38" s="10">
        <f t="shared" si="8"/>
        <v>4722</v>
      </c>
      <c r="J38" s="10">
        <f t="shared" si="6"/>
        <v>51108790505.682945</v>
      </c>
      <c r="K38" s="11">
        <f t="shared" si="7"/>
        <v>1.8100000000000005E-2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11"/>
      <c r="H39" s="10"/>
      <c r="I39" s="10">
        <f t="shared" si="8"/>
        <v>4722</v>
      </c>
      <c r="J39" s="10">
        <f t="shared" si="6"/>
        <v>50200167474.39637</v>
      </c>
      <c r="K39" s="11">
        <f t="shared" si="7"/>
        <v>1.6299999999999981E-2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11"/>
      <c r="H40" s="10"/>
      <c r="I40" s="10">
        <f t="shared" si="8"/>
        <v>4722</v>
      </c>
      <c r="J40" s="10">
        <f t="shared" si="6"/>
        <v>49395028509.688446</v>
      </c>
      <c r="K40" s="11">
        <f t="shared" si="7"/>
        <v>1.4799999999999702E-2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11"/>
      <c r="H41" s="10"/>
      <c r="I41" s="10">
        <f t="shared" si="8"/>
        <v>4722</v>
      </c>
      <c r="J41" s="10">
        <f t="shared" si="6"/>
        <v>48674643781.719017</v>
      </c>
      <c r="K41" s="11">
        <f t="shared" si="7"/>
        <v>1.3900000000000245E-2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11"/>
      <c r="H42" s="10"/>
      <c r="I42" s="10">
        <f t="shared" si="8"/>
        <v>4722</v>
      </c>
      <c r="J42" s="10">
        <f t="shared" si="6"/>
        <v>48007341731.649086</v>
      </c>
      <c r="K42" s="11">
        <f t="shared" si="7"/>
        <v>1.3200000000000101E-2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11"/>
      <c r="H43" s="10"/>
      <c r="I43" s="10">
        <f t="shared" si="8"/>
        <v>4722</v>
      </c>
      <c r="J43" s="10">
        <f t="shared" si="6"/>
        <v>47381900643.159378</v>
      </c>
      <c r="K43" s="11">
        <f t="shared" si="7"/>
        <v>1.1200000000000099E-2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11"/>
      <c r="H44" s="10"/>
      <c r="I44" s="10">
        <f t="shared" si="8"/>
        <v>4722</v>
      </c>
      <c r="J44" s="10">
        <f t="shared" si="6"/>
        <v>46857101110.719322</v>
      </c>
      <c r="K44" s="11">
        <f t="shared" si="7"/>
        <v>1.0499999999999954E-2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11"/>
      <c r="H45" s="10"/>
      <c r="I45" s="10">
        <f t="shared" si="8"/>
        <v>4722</v>
      </c>
      <c r="J45" s="10">
        <f t="shared" si="6"/>
        <v>46370213865.135399</v>
      </c>
      <c r="K45" s="11">
        <f t="shared" si="7"/>
        <v>1.4299999999999979E-2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11"/>
      <c r="H46" s="10"/>
      <c r="I46" s="10">
        <f t="shared" si="8"/>
        <v>4722</v>
      </c>
      <c r="J46" s="10">
        <f t="shared" si="6"/>
        <v>45716468367.480431</v>
      </c>
      <c r="K46" s="11">
        <f t="shared" si="7"/>
        <v>2.3300000000000098E-2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11"/>
      <c r="H47" s="10"/>
      <c r="I47" s="10">
        <f t="shared" si="8"/>
        <v>4722</v>
      </c>
      <c r="J47" s="10">
        <f t="shared" si="6"/>
        <v>44675528552.213844</v>
      </c>
      <c r="K47" s="11">
        <f t="shared" si="7"/>
        <v>3.499999999999992E-2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11"/>
      <c r="H48" s="10"/>
      <c r="I48" s="10">
        <f t="shared" si="8"/>
        <v>4722</v>
      </c>
      <c r="J48" s="10">
        <f t="shared" si="6"/>
        <v>43164761886.196953</v>
      </c>
      <c r="K48" s="11">
        <f t="shared" si="7"/>
        <v>4.6200000000000241E-2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11"/>
      <c r="H49" s="10"/>
      <c r="I49" s="10">
        <f t="shared" si="8"/>
        <v>4722</v>
      </c>
      <c r="J49" s="10">
        <f t="shared" si="6"/>
        <v>41258613922.95636</v>
      </c>
      <c r="K49" s="11">
        <f t="shared" si="7"/>
        <v>4.9999999999999822E-2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11"/>
      <c r="H50" s="10"/>
      <c r="I50" s="10">
        <f t="shared" si="8"/>
        <v>4722</v>
      </c>
      <c r="J50" s="10">
        <f t="shared" si="6"/>
        <v>39293918021.863205</v>
      </c>
      <c r="K50" s="11">
        <f t="shared" si="7"/>
        <v>4.5500000000000096E-2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11"/>
      <c r="H51" s="10"/>
      <c r="I51" s="10">
        <f t="shared" si="8"/>
        <v>4722</v>
      </c>
      <c r="J51" s="10">
        <f t="shared" si="6"/>
        <v>37583852722.968147</v>
      </c>
      <c r="K51" s="11">
        <f t="shared" si="7"/>
        <v>3.8499999999999757E-2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11"/>
      <c r="H52" s="10"/>
      <c r="I52" s="10">
        <f t="shared" si="8"/>
        <v>4722</v>
      </c>
      <c r="J52" s="10">
        <f t="shared" si="6"/>
        <v>36190517788.125328</v>
      </c>
      <c r="K52" s="11">
        <f t="shared" si="7"/>
        <v>3.3400000000000096E-2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11"/>
      <c r="H53" s="10"/>
      <c r="I53" s="10">
        <f t="shared" si="8"/>
        <v>4722</v>
      </c>
      <c r="J53" s="10">
        <f t="shared" si="6"/>
        <v>35020822322.552086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11"/>
      <c r="H54" s="10"/>
      <c r="I54" s="10">
        <f t="shared" si="8"/>
        <v>4722</v>
      </c>
      <c r="J54" s="10">
        <f t="shared" si="6"/>
        <v>33990898109.824406</v>
      </c>
      <c r="K54" s="11">
        <f t="shared" si="7"/>
        <v>2.8100000000000014E-2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11"/>
      <c r="H55" s="10"/>
      <c r="I55" s="10">
        <f t="shared" si="8"/>
        <v>4722</v>
      </c>
      <c r="J55" s="10">
        <f t="shared" si="6"/>
        <v>33061859848.092991</v>
      </c>
      <c r="K55" s="11">
        <f t="shared" si="7"/>
        <v>2.6799999999999935E-2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11"/>
      <c r="H56" s="10"/>
      <c r="I56" s="10">
        <f t="shared" si="8"/>
        <v>4722</v>
      </c>
      <c r="J56" s="10">
        <f t="shared" si="6"/>
        <v>32198928562.614914</v>
      </c>
      <c r="K56" s="11">
        <f t="shared" si="7"/>
        <v>2.6000000000000023E-2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11"/>
      <c r="H57" s="10"/>
      <c r="I57" s="10">
        <f t="shared" si="8"/>
        <v>4722</v>
      </c>
      <c r="J57" s="10">
        <f t="shared" si="6"/>
        <v>31382971308.591534</v>
      </c>
      <c r="K57" s="11">
        <f t="shared" si="7"/>
        <v>2.4699999999999944E-2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11"/>
      <c r="H58" s="10"/>
      <c r="I58" s="10">
        <f t="shared" si="8"/>
        <v>4722</v>
      </c>
      <c r="J58" s="10">
        <f t="shared" si="6"/>
        <v>30626496836.724442</v>
      </c>
      <c r="K58" s="11">
        <f t="shared" si="7"/>
        <v>2.2799999999999931E-2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11"/>
      <c r="H59" s="10"/>
      <c r="I59" s="10">
        <f t="shared" si="8"/>
        <v>4722</v>
      </c>
      <c r="J59" s="10">
        <f t="shared" si="6"/>
        <v>29943778682.757572</v>
      </c>
      <c r="K59" s="11">
        <f t="shared" si="7"/>
        <v>2.1500000000000075E-2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11"/>
      <c r="H60" s="10"/>
      <c r="I60" s="10">
        <f t="shared" si="8"/>
        <v>4722</v>
      </c>
      <c r="J60" s="10">
        <f t="shared" si="6"/>
        <v>29313537623.844902</v>
      </c>
      <c r="K60" s="11">
        <f t="shared" si="7"/>
        <v>2.1400000000000086E-2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11"/>
      <c r="H61" s="10"/>
      <c r="I61" s="10">
        <f t="shared" si="8"/>
        <v>4722</v>
      </c>
      <c r="J61" s="10">
        <f t="shared" si="6"/>
        <v>28699371082.67564</v>
      </c>
      <c r="K61" s="11">
        <f t="shared" si="7"/>
        <v>2.2599999999999953E-2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11"/>
      <c r="H62" s="10"/>
      <c r="I62" s="10">
        <f t="shared" si="8"/>
        <v>4722</v>
      </c>
      <c r="J62" s="10">
        <f t="shared" si="6"/>
        <v>28065099826.594601</v>
      </c>
      <c r="K62" s="11">
        <f t="shared" si="7"/>
        <v>2.4399999999999977E-2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11"/>
      <c r="H63" s="10"/>
      <c r="I63" s="10">
        <f t="shared" si="8"/>
        <v>4722</v>
      </c>
      <c r="J63" s="10">
        <f t="shared" si="6"/>
        <v>27396622243.844791</v>
      </c>
      <c r="K63" s="11">
        <f t="shared" si="7"/>
        <v>2.6699999999999946E-2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11"/>
      <c r="H64" s="10"/>
      <c r="I64" s="10">
        <f t="shared" si="8"/>
        <v>4722</v>
      </c>
      <c r="J64" s="10">
        <f t="shared" si="6"/>
        <v>26684155297.404102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11"/>
      <c r="H65" s="10"/>
      <c r="I65" s="10">
        <f t="shared" si="8"/>
        <v>4722</v>
      </c>
      <c r="J65" s="10">
        <f t="shared" si="6"/>
        <v>25927084431.989998</v>
      </c>
      <c r="K65" s="11">
        <f t="shared" si="7"/>
        <v>3.0499999999999972E-2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11"/>
      <c r="H66" s="10"/>
      <c r="I66" s="10">
        <f t="shared" si="8"/>
        <v>4722</v>
      </c>
      <c r="J66" s="10">
        <f t="shared" ref="J66:J97" si="9">IF(I66="","",I66*C66)</f>
        <v>25159713180</v>
      </c>
      <c r="K66" s="11">
        <f t="shared" ref="K66:K97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11"/>
      <c r="H67" s="10"/>
      <c r="I67" s="10">
        <f t="shared" ref="I67:I98" si="11">IF(H67&lt;&gt;"",H67,I66/(1+IF(G66="",0,G66)))</f>
        <v>4722</v>
      </c>
      <c r="J67" s="10">
        <f t="shared" si="9"/>
        <v>24426906000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5"/>
      <c r="G2" s="11"/>
      <c r="H2" s="10"/>
      <c r="I2" s="10">
        <f>IF(H2&lt;&gt;"",H2,3127)</f>
        <v>3127</v>
      </c>
      <c r="J2" s="10">
        <f t="shared" ref="J2:J33" si="3">IF(I2="","",I2*C2)</f>
        <v>747343010.04464674</v>
      </c>
      <c r="K2" s="11">
        <f t="shared" ref="K2:K33" si="4">IFERROR(J2/J3-1,"")</f>
        <v>1.3100000000000112E-2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11"/>
      <c r="H3" s="10"/>
      <c r="I3" s="10">
        <f t="shared" ref="I3:I34" si="5">IF(H3&lt;&gt;"",H3,I2/(1+IF(G2="",0,G2)))</f>
        <v>3127</v>
      </c>
      <c r="J3" s="10">
        <f t="shared" si="3"/>
        <v>737679409.77657354</v>
      </c>
      <c r="K3" s="11">
        <f t="shared" si="4"/>
        <v>1.2550000000000061E-2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11"/>
      <c r="H4" s="10"/>
      <c r="I4" s="10">
        <f t="shared" si="5"/>
        <v>3127</v>
      </c>
      <c r="J4" s="10">
        <f t="shared" si="3"/>
        <v>728536279.46923459</v>
      </c>
      <c r="K4" s="11">
        <f t="shared" si="4"/>
        <v>1.3430000000000053E-2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11"/>
      <c r="H5" s="10"/>
      <c r="I5" s="10">
        <f t="shared" si="5"/>
        <v>3127</v>
      </c>
      <c r="J5" s="10">
        <f t="shared" si="3"/>
        <v>718881698.26158154</v>
      </c>
      <c r="K5" s="11">
        <f t="shared" si="4"/>
        <v>1.4070000000000027E-2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11"/>
      <c r="H6" s="10"/>
      <c r="I6" s="10">
        <f t="shared" si="5"/>
        <v>3127</v>
      </c>
      <c r="J6" s="10">
        <f t="shared" si="3"/>
        <v>708907371.54395807</v>
      </c>
      <c r="K6" s="11">
        <f t="shared" si="4"/>
        <v>1.5300000000000091E-2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11"/>
      <c r="H7" s="10"/>
      <c r="I7" s="10">
        <f t="shared" si="5"/>
        <v>3127</v>
      </c>
      <c r="J7" s="10">
        <f t="shared" si="3"/>
        <v>698224536.14100075</v>
      </c>
      <c r="K7" s="11">
        <f t="shared" si="4"/>
        <v>2.0180000000000309E-2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11"/>
      <c r="H8" s="10"/>
      <c r="I8" s="10">
        <f t="shared" si="5"/>
        <v>3127</v>
      </c>
      <c r="J8" s="10">
        <f t="shared" si="3"/>
        <v>684413080.18290949</v>
      </c>
      <c r="K8" s="11">
        <f t="shared" si="4"/>
        <v>2.1419999999999995E-2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11"/>
      <c r="H9" s="10"/>
      <c r="I9" s="10">
        <f t="shared" si="5"/>
        <v>3127</v>
      </c>
      <c r="J9" s="10">
        <f t="shared" si="3"/>
        <v>670060386.69979978</v>
      </c>
      <c r="K9" s="11">
        <f t="shared" si="4"/>
        <v>2.1199999999999886E-2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11"/>
      <c r="H10" s="10"/>
      <c r="I10" s="10">
        <f t="shared" si="5"/>
        <v>3127</v>
      </c>
      <c r="J10" s="10">
        <f t="shared" si="3"/>
        <v>656150006.5607127</v>
      </c>
      <c r="K10" s="11">
        <f t="shared" si="4"/>
        <v>2.0580000000000265E-2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11"/>
      <c r="H11" s="10"/>
      <c r="I11" s="10">
        <f t="shared" si="5"/>
        <v>3127</v>
      </c>
      <c r="J11" s="10">
        <f t="shared" si="3"/>
        <v>642918738.91386521</v>
      </c>
      <c r="K11" s="11">
        <f t="shared" si="4"/>
        <v>2.0009999999999861E-2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11"/>
      <c r="H12" s="10"/>
      <c r="I12" s="10">
        <f t="shared" si="5"/>
        <v>3127</v>
      </c>
      <c r="J12" s="10">
        <f t="shared" si="3"/>
        <v>630306309.65761638</v>
      </c>
      <c r="K12" s="11">
        <f t="shared" si="4"/>
        <v>2.0019999999999927E-2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11"/>
      <c r="H13" s="10"/>
      <c r="I13" s="10">
        <f t="shared" si="5"/>
        <v>3127</v>
      </c>
      <c r="J13" s="10">
        <f t="shared" si="3"/>
        <v>617935246.03205466</v>
      </c>
      <c r="K13" s="11">
        <f t="shared" si="4"/>
        <v>2.0180000000000087E-2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11"/>
      <c r="H14" s="10"/>
      <c r="I14" s="10">
        <f t="shared" si="5"/>
        <v>3127</v>
      </c>
      <c r="J14" s="10">
        <f t="shared" si="3"/>
        <v>605711978.30976355</v>
      </c>
      <c r="K14" s="11">
        <f t="shared" si="4"/>
        <v>1.9959999999999978E-2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11"/>
      <c r="H15" s="10"/>
      <c r="I15" s="10">
        <f t="shared" si="5"/>
        <v>3127</v>
      </c>
      <c r="J15" s="10">
        <f t="shared" si="3"/>
        <v>593858561.42374563</v>
      </c>
      <c r="K15" s="11">
        <f t="shared" si="4"/>
        <v>2.1050000000000013E-2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11"/>
      <c r="H16" s="10"/>
      <c r="I16" s="10">
        <f t="shared" si="5"/>
        <v>3127</v>
      </c>
      <c r="J16" s="10">
        <f t="shared" si="3"/>
        <v>581615554.01179731</v>
      </c>
      <c r="K16" s="11">
        <f t="shared" si="4"/>
        <v>2.1220000000000017E-2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11"/>
      <c r="H17" s="10"/>
      <c r="I17" s="10">
        <f t="shared" si="5"/>
        <v>3127</v>
      </c>
      <c r="J17" s="10">
        <f t="shared" si="3"/>
        <v>569530124.76429892</v>
      </c>
      <c r="K17" s="11">
        <f t="shared" si="4"/>
        <v>1.7220000000000013E-2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11"/>
      <c r="H18" s="10"/>
      <c r="I18" s="10">
        <f t="shared" si="5"/>
        <v>3127</v>
      </c>
      <c r="J18" s="10">
        <f t="shared" si="3"/>
        <v>559888838.95745158</v>
      </c>
      <c r="K18" s="11">
        <f t="shared" si="4"/>
        <v>1.6620000000000079E-2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11"/>
      <c r="H19" s="10"/>
      <c r="I19" s="10">
        <f t="shared" si="5"/>
        <v>3127</v>
      </c>
      <c r="J19" s="10">
        <f t="shared" si="3"/>
        <v>550735613.06825709</v>
      </c>
      <c r="K19" s="11">
        <f t="shared" si="4"/>
        <v>1.7379999999999951E-2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11"/>
      <c r="H20" s="10"/>
      <c r="I20" s="10">
        <f t="shared" si="5"/>
        <v>3127</v>
      </c>
      <c r="J20" s="10">
        <f t="shared" si="3"/>
        <v>541327343.8324492</v>
      </c>
      <c r="K20" s="11">
        <f t="shared" si="4"/>
        <v>1.819000000000015E-2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11"/>
      <c r="H21" s="10"/>
      <c r="I21" s="10">
        <f t="shared" si="5"/>
        <v>3127</v>
      </c>
      <c r="J21" s="10">
        <f t="shared" si="3"/>
        <v>531656511.88132781</v>
      </c>
      <c r="K21" s="11">
        <f t="shared" si="4"/>
        <v>1.8389999999999906E-2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11"/>
      <c r="H22" s="10"/>
      <c r="I22" s="10">
        <f t="shared" si="5"/>
        <v>3127</v>
      </c>
      <c r="J22" s="10">
        <f t="shared" si="3"/>
        <v>522055903.8102572</v>
      </c>
      <c r="K22" s="11">
        <f t="shared" si="4"/>
        <v>1.5470000000000095E-2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11"/>
      <c r="H23" s="10"/>
      <c r="I23" s="10">
        <f t="shared" si="5"/>
        <v>3127</v>
      </c>
      <c r="J23" s="10">
        <f t="shared" si="3"/>
        <v>514102734.50742728</v>
      </c>
      <c r="K23" s="11">
        <f t="shared" si="4"/>
        <v>1.4620000000000077E-2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11"/>
      <c r="H24" s="10"/>
      <c r="I24" s="10">
        <f t="shared" si="5"/>
        <v>3127</v>
      </c>
      <c r="J24" s="10">
        <f t="shared" si="3"/>
        <v>506694855.71684688</v>
      </c>
      <c r="K24" s="11">
        <f t="shared" si="4"/>
        <v>1.5090000000000048E-2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11"/>
      <c r="H25" s="10"/>
      <c r="I25" s="10">
        <f t="shared" si="5"/>
        <v>3127</v>
      </c>
      <c r="J25" s="10">
        <f t="shared" si="3"/>
        <v>499162493.6871084</v>
      </c>
      <c r="K25" s="11">
        <f t="shared" si="4"/>
        <v>1.5570000000000306E-2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11"/>
      <c r="H26" s="10"/>
      <c r="I26" s="10">
        <f t="shared" si="5"/>
        <v>3127</v>
      </c>
      <c r="J26" s="10">
        <f t="shared" si="3"/>
        <v>491509687.84732544</v>
      </c>
      <c r="K26" s="11">
        <f t="shared" si="4"/>
        <v>1.756000000000002E-2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11"/>
      <c r="H27" s="10"/>
      <c r="I27" s="10">
        <f t="shared" si="5"/>
        <v>3127</v>
      </c>
      <c r="J27" s="10">
        <f t="shared" si="3"/>
        <v>483027721.06541669</v>
      </c>
      <c r="K27" s="11">
        <f t="shared" si="4"/>
        <v>2.2480000000000055E-2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11"/>
      <c r="H28" s="10"/>
      <c r="I28" s="10">
        <f t="shared" si="5"/>
        <v>3127</v>
      </c>
      <c r="J28" s="10">
        <f t="shared" si="3"/>
        <v>472407989.46230406</v>
      </c>
      <c r="K28" s="11">
        <f t="shared" si="4"/>
        <v>2.367000000000008E-2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11"/>
      <c r="H29" s="10"/>
      <c r="I29" s="10">
        <f t="shared" si="5"/>
        <v>3127</v>
      </c>
      <c r="J29" s="10">
        <f t="shared" si="3"/>
        <v>461484647.84774786</v>
      </c>
      <c r="K29" s="11">
        <f t="shared" si="4"/>
        <v>2.3959999999999981E-2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11"/>
      <c r="H30" s="10"/>
      <c r="I30" s="10">
        <f t="shared" si="5"/>
        <v>3127</v>
      </c>
      <c r="J30" s="10">
        <f t="shared" si="3"/>
        <v>450686206.34375161</v>
      </c>
      <c r="K30" s="11">
        <f t="shared" si="4"/>
        <v>2.4049999999999905E-2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11"/>
      <c r="H31" s="10"/>
      <c r="I31" s="10">
        <f t="shared" si="5"/>
        <v>3127</v>
      </c>
      <c r="J31" s="10">
        <f t="shared" si="3"/>
        <v>440101759.03886688</v>
      </c>
      <c r="K31" s="11">
        <f t="shared" si="4"/>
        <v>2.4520000000000097E-2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11"/>
      <c r="H32" s="10"/>
      <c r="I32" s="10">
        <f t="shared" si="5"/>
        <v>3127</v>
      </c>
      <c r="J32" s="10">
        <f t="shared" si="3"/>
        <v>429568733.68881702</v>
      </c>
      <c r="K32" s="11">
        <f t="shared" si="4"/>
        <v>2.1910000000000096E-2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11"/>
      <c r="H33" s="10"/>
      <c r="I33" s="10">
        <f t="shared" si="5"/>
        <v>3127</v>
      </c>
      <c r="J33" s="10">
        <f t="shared" si="3"/>
        <v>420358675.11700344</v>
      </c>
      <c r="K33" s="11">
        <f t="shared" si="4"/>
        <v>1.6569999999999974E-2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11"/>
      <c r="H34" s="10"/>
      <c r="I34" s="10">
        <f t="shared" si="5"/>
        <v>3127</v>
      </c>
      <c r="J34" s="10">
        <f t="shared" ref="J34:J65" si="6">IF(I34="","",I34*C34)</f>
        <v>413506866.34172112</v>
      </c>
      <c r="K34" s="11">
        <f t="shared" ref="K34:K65" si="7">IFERROR(J34/J35-1,"")</f>
        <v>1.6150000000000109E-2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11"/>
      <c r="H35" s="10"/>
      <c r="I35" s="10">
        <f t="shared" ref="I35:I66" si="8">IF(H35&lt;&gt;"",H35,I34/(1+IF(G34="",0,G34)))</f>
        <v>3127</v>
      </c>
      <c r="J35" s="10">
        <f t="shared" si="6"/>
        <v>406934868.21996862</v>
      </c>
      <c r="K35" s="11">
        <f t="shared" si="7"/>
        <v>1.6380000000000061E-2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11"/>
      <c r="H36" s="10"/>
      <c r="I36" s="10">
        <f t="shared" si="8"/>
        <v>3127</v>
      </c>
      <c r="J36" s="10">
        <f t="shared" si="6"/>
        <v>400376697.90823179</v>
      </c>
      <c r="K36" s="11">
        <f t="shared" si="7"/>
        <v>1.5950000000000131E-2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11"/>
      <c r="H37" s="10"/>
      <c r="I37" s="10">
        <f t="shared" si="8"/>
        <v>3127</v>
      </c>
      <c r="J37" s="10">
        <f t="shared" si="6"/>
        <v>394090947.29881567</v>
      </c>
      <c r="K37" s="11">
        <f t="shared" si="7"/>
        <v>1.564999999999972E-2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11"/>
      <c r="H38" s="10"/>
      <c r="I38" s="10">
        <f t="shared" si="8"/>
        <v>3127</v>
      </c>
      <c r="J38" s="10">
        <f t="shared" si="6"/>
        <v>388018458.42447275</v>
      </c>
      <c r="K38" s="11">
        <f t="shared" si="7"/>
        <v>1.6539999999999999E-2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11"/>
      <c r="H39" s="10"/>
      <c r="I39" s="10">
        <f t="shared" si="8"/>
        <v>3127</v>
      </c>
      <c r="J39" s="10">
        <f t="shared" si="6"/>
        <v>381705056.78524476</v>
      </c>
      <c r="K39" s="11">
        <f t="shared" si="7"/>
        <v>-6.3600000000001433E-3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11"/>
      <c r="H40" s="10"/>
      <c r="I40" s="10">
        <f t="shared" si="8"/>
        <v>3127</v>
      </c>
      <c r="J40" s="10">
        <f t="shared" si="6"/>
        <v>384148239.58903104</v>
      </c>
      <c r="K40" s="11">
        <f t="shared" si="7"/>
        <v>-7.0399999999999352E-3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11"/>
      <c r="H41" s="10"/>
      <c r="I41" s="10">
        <f t="shared" si="8"/>
        <v>3127</v>
      </c>
      <c r="J41" s="10">
        <f t="shared" si="6"/>
        <v>386871817.18199223</v>
      </c>
      <c r="K41" s="11">
        <f t="shared" si="7"/>
        <v>-6.0200000000000253E-3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11"/>
      <c r="H42" s="10"/>
      <c r="I42" s="10">
        <f t="shared" si="8"/>
        <v>3127</v>
      </c>
      <c r="J42" s="10">
        <f t="shared" si="6"/>
        <v>389214890.82475728</v>
      </c>
      <c r="K42" s="11">
        <f t="shared" si="7"/>
        <v>-4.689999999999972E-3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11"/>
      <c r="H43" s="10"/>
      <c r="I43" s="10">
        <f t="shared" si="8"/>
        <v>3127</v>
      </c>
      <c r="J43" s="10">
        <f t="shared" si="6"/>
        <v>391048910.21365935</v>
      </c>
      <c r="K43" s="11">
        <f t="shared" si="7"/>
        <v>-2.9200000000000337E-3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11"/>
      <c r="H44" s="10"/>
      <c r="I44" s="10">
        <f t="shared" si="8"/>
        <v>3127</v>
      </c>
      <c r="J44" s="10">
        <f t="shared" si="6"/>
        <v>392194117.03540272</v>
      </c>
      <c r="K44" s="11">
        <f t="shared" si="7"/>
        <v>1.5959999999999974E-2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11"/>
      <c r="H45" s="10"/>
      <c r="I45" s="10">
        <f t="shared" si="8"/>
        <v>3127</v>
      </c>
      <c r="J45" s="10">
        <f t="shared" si="6"/>
        <v>386033029.87854123</v>
      </c>
      <c r="K45" s="11">
        <f t="shared" si="7"/>
        <v>1.8739999999999979E-2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11"/>
      <c r="H46" s="10"/>
      <c r="I46" s="10">
        <f t="shared" si="8"/>
        <v>3127</v>
      </c>
      <c r="J46" s="10">
        <f t="shared" si="6"/>
        <v>378931847.06455153</v>
      </c>
      <c r="K46" s="11">
        <f t="shared" si="7"/>
        <v>1.9300000000000095E-2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11"/>
      <c r="H47" s="10"/>
      <c r="I47" s="10">
        <f t="shared" si="8"/>
        <v>3127</v>
      </c>
      <c r="J47" s="10">
        <f t="shared" si="6"/>
        <v>371756938.15810019</v>
      </c>
      <c r="K47" s="11">
        <f t="shared" si="7"/>
        <v>2.0029999999999992E-2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11"/>
      <c r="H48" s="10"/>
      <c r="I48" s="10">
        <f t="shared" si="8"/>
        <v>3127</v>
      </c>
      <c r="J48" s="10">
        <f t="shared" si="6"/>
        <v>364456867.10988909</v>
      </c>
      <c r="K48" s="11">
        <f t="shared" si="7"/>
        <v>2.0369999999999999E-2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11"/>
      <c r="H49" s="10"/>
      <c r="I49" s="10">
        <f t="shared" si="8"/>
        <v>3127</v>
      </c>
      <c r="J49" s="10">
        <f t="shared" si="6"/>
        <v>357181088.34039521</v>
      </c>
      <c r="K49" s="11">
        <f t="shared" si="7"/>
        <v>9.260000000000046E-3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11"/>
      <c r="H50" s="10"/>
      <c r="I50" s="10">
        <f t="shared" si="8"/>
        <v>3127</v>
      </c>
      <c r="J50" s="10">
        <f t="shared" si="6"/>
        <v>353903937.87566656</v>
      </c>
      <c r="K50" s="11">
        <f t="shared" si="7"/>
        <v>1.0040000000000049E-2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11"/>
      <c r="H51" s="10"/>
      <c r="I51" s="10">
        <f t="shared" si="8"/>
        <v>3127</v>
      </c>
      <c r="J51" s="10">
        <f t="shared" si="6"/>
        <v>350386061.81504351</v>
      </c>
      <c r="K51" s="11">
        <f t="shared" si="7"/>
        <v>1.0839999999999961E-2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11"/>
      <c r="H52" s="10"/>
      <c r="I52" s="10">
        <f t="shared" si="8"/>
        <v>3127</v>
      </c>
      <c r="J52" s="10">
        <f t="shared" si="6"/>
        <v>346628607.70749426</v>
      </c>
      <c r="K52" s="11">
        <f t="shared" si="7"/>
        <v>2.5859999999999994E-2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11"/>
      <c r="H53" s="10"/>
      <c r="I53" s="10">
        <f t="shared" si="8"/>
        <v>3127</v>
      </c>
      <c r="J53" s="10">
        <f t="shared" si="6"/>
        <v>337890752.83907574</v>
      </c>
      <c r="K53" s="11">
        <f t="shared" si="7"/>
        <v>2.5339999999999918E-2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11"/>
      <c r="H54" s="10"/>
      <c r="I54" s="10">
        <f t="shared" si="8"/>
        <v>3127</v>
      </c>
      <c r="J54" s="10">
        <f t="shared" si="6"/>
        <v>329540204.06799287</v>
      </c>
      <c r="K54" s="11">
        <f t="shared" si="7"/>
        <v>2.5060000000000082E-2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11"/>
      <c r="H55" s="10"/>
      <c r="I55" s="10">
        <f t="shared" si="8"/>
        <v>3127</v>
      </c>
      <c r="J55" s="10">
        <f t="shared" si="6"/>
        <v>321483819.55006814</v>
      </c>
      <c r="K55" s="11">
        <f t="shared" si="7"/>
        <v>2.4890000000000301E-2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11"/>
      <c r="H56" s="10"/>
      <c r="I56" s="10">
        <f t="shared" si="8"/>
        <v>3127</v>
      </c>
      <c r="J56" s="10">
        <f t="shared" si="6"/>
        <v>313676413.6151861</v>
      </c>
      <c r="K56" s="11">
        <f t="shared" si="7"/>
        <v>2.4789999999999868E-2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11"/>
      <c r="H57" s="10"/>
      <c r="I57" s="10">
        <f t="shared" si="8"/>
        <v>3127</v>
      </c>
      <c r="J57" s="10">
        <f t="shared" si="6"/>
        <v>306088480.19124514</v>
      </c>
      <c r="K57" s="11">
        <f t="shared" si="7"/>
        <v>2.4069999999999814E-2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11"/>
      <c r="H58" s="10"/>
      <c r="I58" s="10">
        <f t="shared" si="8"/>
        <v>3127</v>
      </c>
      <c r="J58" s="10">
        <f t="shared" si="6"/>
        <v>298894099.22294879</v>
      </c>
      <c r="K58" s="11">
        <f t="shared" si="7"/>
        <v>2.3700000000000276E-2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11"/>
      <c r="H59" s="10"/>
      <c r="I59" s="10">
        <f t="shared" si="8"/>
        <v>3127</v>
      </c>
      <c r="J59" s="10">
        <f t="shared" si="6"/>
        <v>291974308.12049305</v>
      </c>
      <c r="K59" s="11">
        <f t="shared" si="7"/>
        <v>2.2740000000000204E-2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11"/>
      <c r="H60" s="10"/>
      <c r="I60" s="10">
        <f t="shared" si="8"/>
        <v>3127</v>
      </c>
      <c r="J60" s="10">
        <f t="shared" si="6"/>
        <v>285482437.49192661</v>
      </c>
      <c r="K60" s="11">
        <f t="shared" si="7"/>
        <v>2.2759999999999669E-2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11"/>
      <c r="H61" s="10"/>
      <c r="I61" s="10">
        <f t="shared" si="8"/>
        <v>3127</v>
      </c>
      <c r="J61" s="10">
        <f t="shared" si="6"/>
        <v>279129451.18300158</v>
      </c>
      <c r="K61" s="11">
        <f t="shared" si="7"/>
        <v>2.246999999999999E-2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11"/>
      <c r="H62" s="10"/>
      <c r="I62" s="10">
        <f t="shared" si="8"/>
        <v>3127</v>
      </c>
      <c r="J62" s="10">
        <f t="shared" si="6"/>
        <v>272995247.96131092</v>
      </c>
      <c r="K62" s="11">
        <f t="shared" si="7"/>
        <v>2.2240000000000038E-2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11"/>
      <c r="H63" s="10"/>
      <c r="I63" s="10">
        <f t="shared" si="8"/>
        <v>3127</v>
      </c>
      <c r="J63" s="10">
        <f t="shared" si="6"/>
        <v>267055924.2069484</v>
      </c>
      <c r="K63" s="11">
        <f t="shared" si="7"/>
        <v>2.1439999999999904E-2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11"/>
      <c r="H64" s="10"/>
      <c r="I64" s="10">
        <f t="shared" si="8"/>
        <v>3127</v>
      </c>
      <c r="J64" s="10">
        <f t="shared" si="6"/>
        <v>261450427.05097553</v>
      </c>
      <c r="K64" s="11">
        <f t="shared" si="7"/>
        <v>2.1239999999999926E-2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11"/>
      <c r="H65" s="10"/>
      <c r="I65" s="10">
        <f t="shared" si="8"/>
        <v>3127</v>
      </c>
      <c r="J65" s="10">
        <f t="shared" si="6"/>
        <v>256012716.943104</v>
      </c>
      <c r="K65" s="11">
        <f t="shared" si="7"/>
        <v>2.079999999999993E-2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11"/>
      <c r="H66" s="10"/>
      <c r="I66" s="10">
        <f t="shared" si="8"/>
        <v>3127</v>
      </c>
      <c r="J66" s="10">
        <f t="shared" ref="J66:J97" si="9">IF(I66="","",I66*C66)</f>
        <v>250796156.88</v>
      </c>
      <c r="K66" s="11">
        <f t="shared" ref="K66:K97" si="10">IFERROR(J66/J67-1,"")</f>
        <v>2.0399999999999974E-2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11"/>
      <c r="H67" s="10"/>
      <c r="I67" s="10">
        <f t="shared" ref="I67:I98" si="11">IF(H67&lt;&gt;"",H67,I66/(1+IF(G66="",0,G66)))</f>
        <v>3127</v>
      </c>
      <c r="J67" s="10">
        <f t="shared" si="9"/>
        <v>245782200</v>
      </c>
      <c r="K67" s="11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5">
        <v>22833760</v>
      </c>
      <c r="G2" s="11"/>
      <c r="H2" s="10"/>
      <c r="I2" s="10">
        <f>IF(H2&lt;&gt;"",H2,2937)</f>
        <v>2937</v>
      </c>
      <c r="J2" s="10">
        <f t="shared" ref="J2:J33" si="3">IF(I2="","",I2*C2)</f>
        <v>67058463396.994064</v>
      </c>
      <c r="K2" s="11">
        <f t="shared" ref="K2:K33" si="4">IFERROR(J2/J3-1,"")</f>
        <v>8.2500000000000906E-3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11"/>
      <c r="H3" s="10"/>
      <c r="I3" s="10">
        <f t="shared" ref="I3:I34" si="5">IF(H3&lt;&gt;"",H3,I2/(1+IF(G2="",0,G2)))</f>
        <v>2937</v>
      </c>
      <c r="J3" s="10">
        <f t="shared" si="3"/>
        <v>66509757894.365547</v>
      </c>
      <c r="K3" s="11">
        <f t="shared" si="4"/>
        <v>8.620000000000072E-3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11"/>
      <c r="H4" s="10"/>
      <c r="I4" s="10">
        <f t="shared" si="5"/>
        <v>2937</v>
      </c>
      <c r="J4" s="10">
        <f t="shared" si="3"/>
        <v>65941343513.281059</v>
      </c>
      <c r="K4" s="11">
        <f t="shared" si="4"/>
        <v>8.9699999999999225E-3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11"/>
      <c r="H5" s="10"/>
      <c r="I5" s="10">
        <f t="shared" si="5"/>
        <v>2937</v>
      </c>
      <c r="J5" s="10">
        <f t="shared" si="3"/>
        <v>65355108192.791718</v>
      </c>
      <c r="K5" s="11">
        <f t="shared" si="4"/>
        <v>8.839999999999959E-3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11"/>
      <c r="H6" s="10"/>
      <c r="I6" s="10">
        <f t="shared" si="5"/>
        <v>2937</v>
      </c>
      <c r="J6" s="10">
        <f t="shared" si="3"/>
        <v>64782431498.346336</v>
      </c>
      <c r="K6" s="11">
        <f t="shared" si="4"/>
        <v>6.3599999999999213E-3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11"/>
      <c r="H7" s="10"/>
      <c r="I7" s="10">
        <f t="shared" si="5"/>
        <v>2937</v>
      </c>
      <c r="J7" s="10">
        <f t="shared" si="3"/>
        <v>64373019096.890121</v>
      </c>
      <c r="K7" s="11">
        <f t="shared" si="4"/>
        <v>6.0500000000001108E-3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11"/>
      <c r="H8" s="10"/>
      <c r="I8" s="10">
        <f t="shared" si="5"/>
        <v>2937</v>
      </c>
      <c r="J8" s="10">
        <f t="shared" si="3"/>
        <v>63985904375.418831</v>
      </c>
      <c r="K8" s="11">
        <f t="shared" si="4"/>
        <v>5.7300000000000129E-3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11"/>
      <c r="H9" s="10"/>
      <c r="I9" s="10">
        <f t="shared" si="5"/>
        <v>2937</v>
      </c>
      <c r="J9" s="10">
        <f t="shared" si="3"/>
        <v>63621354016.901985</v>
      </c>
      <c r="K9" s="11">
        <f t="shared" si="4"/>
        <v>6.5500000000000558E-3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11"/>
      <c r="H10" s="10"/>
      <c r="I10" s="10">
        <f t="shared" si="5"/>
        <v>2937</v>
      </c>
      <c r="J10" s="10">
        <f t="shared" si="3"/>
        <v>63207345901.248802</v>
      </c>
      <c r="K10" s="11">
        <f t="shared" si="4"/>
        <v>6.7600000000000993E-3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11"/>
      <c r="H11" s="10"/>
      <c r="I11" s="10">
        <f t="shared" si="5"/>
        <v>2937</v>
      </c>
      <c r="J11" s="10">
        <f t="shared" si="3"/>
        <v>62782933272.327858</v>
      </c>
      <c r="K11" s="11">
        <f t="shared" si="4"/>
        <v>6.9600000000000772E-3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11"/>
      <c r="H12" s="10"/>
      <c r="I12" s="10">
        <f t="shared" si="5"/>
        <v>2937</v>
      </c>
      <c r="J12" s="10">
        <f t="shared" si="3"/>
        <v>62348984341.312325</v>
      </c>
      <c r="K12" s="11">
        <f t="shared" si="4"/>
        <v>6.4299999999999358E-3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11"/>
      <c r="H13" s="10"/>
      <c r="I13" s="10">
        <f t="shared" si="5"/>
        <v>2937</v>
      </c>
      <c r="J13" s="10">
        <f t="shared" si="3"/>
        <v>61950641715.084335</v>
      </c>
      <c r="K13" s="11">
        <f t="shared" si="4"/>
        <v>6.3600000000001433E-3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11"/>
      <c r="H14" s="10"/>
      <c r="I14" s="10">
        <f t="shared" si="5"/>
        <v>2937</v>
      </c>
      <c r="J14" s="10">
        <f t="shared" si="3"/>
        <v>61559125675.786331</v>
      </c>
      <c r="K14" s="11">
        <f t="shared" si="4"/>
        <v>7.2399999999999132E-3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11"/>
      <c r="H15" s="10"/>
      <c r="I15" s="10">
        <f t="shared" si="5"/>
        <v>2937</v>
      </c>
      <c r="J15" s="10">
        <f t="shared" si="3"/>
        <v>61116641193.545074</v>
      </c>
      <c r="K15" s="11">
        <f t="shared" si="4"/>
        <v>7.4300000000000477E-3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11"/>
      <c r="H16" s="10"/>
      <c r="I16" s="10">
        <f t="shared" si="5"/>
        <v>2937</v>
      </c>
      <c r="J16" s="10">
        <f t="shared" si="3"/>
        <v>60665893604.066856</v>
      </c>
      <c r="K16" s="11">
        <f t="shared" si="4"/>
        <v>1.3449999999999962E-2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11"/>
      <c r="H17" s="10"/>
      <c r="I17" s="10">
        <f t="shared" si="5"/>
        <v>2937</v>
      </c>
      <c r="J17" s="10">
        <f t="shared" si="3"/>
        <v>59860766297.367271</v>
      </c>
      <c r="K17" s="11">
        <f t="shared" si="4"/>
        <v>1.8189999999999928E-2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11"/>
      <c r="H18" s="10"/>
      <c r="I18" s="10">
        <f t="shared" si="5"/>
        <v>2937</v>
      </c>
      <c r="J18" s="10">
        <f t="shared" si="3"/>
        <v>58791351611.553123</v>
      </c>
      <c r="K18" s="11">
        <f t="shared" si="4"/>
        <v>1.8249999999999877E-2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11"/>
      <c r="H19" s="10"/>
      <c r="I19" s="10">
        <f t="shared" si="5"/>
        <v>2937</v>
      </c>
      <c r="J19" s="10">
        <f t="shared" si="3"/>
        <v>57737639687.26062</v>
      </c>
      <c r="K19" s="11">
        <f t="shared" si="4"/>
        <v>1.8920000000000048E-2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11"/>
      <c r="H20" s="10"/>
      <c r="I20" s="10">
        <f t="shared" si="5"/>
        <v>2937</v>
      </c>
      <c r="J20" s="10">
        <f t="shared" si="3"/>
        <v>56665527899.403893</v>
      </c>
      <c r="K20" s="11">
        <f t="shared" si="4"/>
        <v>1.8839999999999968E-2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11"/>
      <c r="H21" s="10"/>
      <c r="I21" s="10">
        <f t="shared" si="5"/>
        <v>2937</v>
      </c>
      <c r="J21" s="10">
        <f t="shared" si="3"/>
        <v>55617690608.34272</v>
      </c>
      <c r="K21" s="11">
        <f t="shared" si="4"/>
        <v>1.9130000000000313E-2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11"/>
      <c r="H22" s="10"/>
      <c r="I22" s="10">
        <f t="shared" si="5"/>
        <v>2937</v>
      </c>
      <c r="J22" s="10">
        <f t="shared" si="3"/>
        <v>54573695807.54438</v>
      </c>
      <c r="K22" s="11">
        <f t="shared" si="4"/>
        <v>1.9320000000000004E-2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11"/>
      <c r="H23" s="10"/>
      <c r="I23" s="10">
        <f t="shared" si="5"/>
        <v>2937</v>
      </c>
      <c r="J23" s="10">
        <f t="shared" si="3"/>
        <v>53539316218.208595</v>
      </c>
      <c r="K23" s="11">
        <f t="shared" si="4"/>
        <v>1.373000000000002E-2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11"/>
      <c r="H24" s="10"/>
      <c r="I24" s="10">
        <f t="shared" si="5"/>
        <v>2937</v>
      </c>
      <c r="J24" s="10">
        <f t="shared" si="3"/>
        <v>52814177560.305595</v>
      </c>
      <c r="K24" s="11">
        <f t="shared" si="4"/>
        <v>1.5419999999999989E-2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11"/>
      <c r="H25" s="10"/>
      <c r="I25" s="10">
        <f t="shared" si="5"/>
        <v>2937</v>
      </c>
      <c r="J25" s="10">
        <f t="shared" si="3"/>
        <v>52012150204.157486</v>
      </c>
      <c r="K25" s="11">
        <f t="shared" si="4"/>
        <v>1.8569999999999975E-2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11"/>
      <c r="H26" s="10"/>
      <c r="I26" s="10">
        <f t="shared" si="5"/>
        <v>2937</v>
      </c>
      <c r="J26" s="10">
        <f t="shared" si="3"/>
        <v>51063893698.182243</v>
      </c>
      <c r="K26" s="11">
        <f t="shared" si="4"/>
        <v>1.317999999999997E-2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11"/>
      <c r="H27" s="10"/>
      <c r="I27" s="10">
        <f t="shared" si="5"/>
        <v>2937</v>
      </c>
      <c r="J27" s="10">
        <f t="shared" si="3"/>
        <v>50399626619.339355</v>
      </c>
      <c r="K27" s="11">
        <f t="shared" si="4"/>
        <v>1.7599999999999838E-3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11"/>
      <c r="H28" s="10"/>
      <c r="I28" s="10">
        <f t="shared" si="5"/>
        <v>2937</v>
      </c>
      <c r="J28" s="10">
        <f t="shared" si="3"/>
        <v>50311079120.088005</v>
      </c>
      <c r="K28" s="11">
        <f t="shared" si="4"/>
        <v>1.102000000000003E-2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11"/>
      <c r="H29" s="10"/>
      <c r="I29" s="10">
        <f t="shared" si="5"/>
        <v>2937</v>
      </c>
      <c r="J29" s="10">
        <f t="shared" si="3"/>
        <v>49762694229.676964</v>
      </c>
      <c r="K29" s="11">
        <f t="shared" si="4"/>
        <v>1.0000000000000231E-2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11"/>
      <c r="H30" s="10"/>
      <c r="I30" s="10">
        <f t="shared" si="5"/>
        <v>2937</v>
      </c>
      <c r="J30" s="10">
        <f t="shared" si="3"/>
        <v>49269994286.808868</v>
      </c>
      <c r="K30" s="11">
        <f t="shared" si="4"/>
        <v>1.0259999999999936E-2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11"/>
      <c r="H31" s="10"/>
      <c r="I31" s="10">
        <f t="shared" si="5"/>
        <v>2937</v>
      </c>
      <c r="J31" s="10">
        <f t="shared" si="3"/>
        <v>48769618006.066628</v>
      </c>
      <c r="K31" s="11">
        <f t="shared" si="4"/>
        <v>1.317999999999997E-2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11"/>
      <c r="H32" s="10"/>
      <c r="I32" s="10">
        <f t="shared" si="5"/>
        <v>2937</v>
      </c>
      <c r="J32" s="10">
        <f t="shared" si="3"/>
        <v>48135196121.189354</v>
      </c>
      <c r="K32" s="11">
        <f t="shared" si="4"/>
        <v>1.0739999999999972E-2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11"/>
      <c r="H33" s="10"/>
      <c r="I33" s="10">
        <f t="shared" si="5"/>
        <v>2937</v>
      </c>
      <c r="J33" s="10">
        <f t="shared" si="3"/>
        <v>47623717396.352531</v>
      </c>
      <c r="K33" s="11">
        <f t="shared" si="4"/>
        <v>2.4399999999999977E-3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11"/>
      <c r="H34" s="10"/>
      <c r="I34" s="10">
        <f t="shared" si="5"/>
        <v>2937</v>
      </c>
      <c r="J34" s="10">
        <f t="shared" ref="J34:J65" si="6">IF(I34="","",I34*C34)</f>
        <v>47507798368.333794</v>
      </c>
      <c r="K34" s="11">
        <f t="shared" ref="K34:K65" si="7">IFERROR(J34/J35-1,"")</f>
        <v>4.450000000000065E-3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11"/>
      <c r="H35" s="10"/>
      <c r="I35" s="10">
        <f t="shared" ref="I35:I66" si="8">IF(H35&lt;&gt;"",H35,I34/(1+IF(G34="",0,G34)))</f>
        <v>2937</v>
      </c>
      <c r="J35" s="10">
        <f t="shared" si="6"/>
        <v>47297325270.87838</v>
      </c>
      <c r="K35" s="11">
        <f t="shared" si="7"/>
        <v>8.8999999999996859E-3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11"/>
      <c r="H36" s="10"/>
      <c r="I36" s="10">
        <f t="shared" si="8"/>
        <v>2937</v>
      </c>
      <c r="J36" s="10">
        <f t="shared" si="6"/>
        <v>46880092448.090385</v>
      </c>
      <c r="K36" s="11">
        <f t="shared" si="7"/>
        <v>1.5779999999999905E-2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11"/>
      <c r="H37" s="10"/>
      <c r="I37" s="10">
        <f t="shared" si="8"/>
        <v>2937</v>
      </c>
      <c r="J37" s="10">
        <f t="shared" si="6"/>
        <v>46151816779.312836</v>
      </c>
      <c r="K37" s="11">
        <f t="shared" si="7"/>
        <v>1.7820000000000169E-2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11"/>
      <c r="H38" s="10"/>
      <c r="I38" s="10">
        <f t="shared" si="8"/>
        <v>2937</v>
      </c>
      <c r="J38" s="10">
        <f t="shared" si="6"/>
        <v>45343790433.782822</v>
      </c>
      <c r="K38" s="11">
        <f t="shared" si="7"/>
        <v>1.8659999999999899E-2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11"/>
      <c r="H39" s="10"/>
      <c r="I39" s="10">
        <f t="shared" si="8"/>
        <v>2937</v>
      </c>
      <c r="J39" s="10">
        <f t="shared" si="6"/>
        <v>44513174595.824738</v>
      </c>
      <c r="K39" s="11">
        <f t="shared" si="7"/>
        <v>1.8650000000000055E-2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11"/>
      <c r="H40" s="10"/>
      <c r="I40" s="10">
        <f t="shared" si="8"/>
        <v>2937</v>
      </c>
      <c r="J40" s="10">
        <f t="shared" si="6"/>
        <v>43698203107.863091</v>
      </c>
      <c r="K40" s="11">
        <f t="shared" si="7"/>
        <v>1.8129999999999979E-2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11"/>
      <c r="H41" s="10"/>
      <c r="I41" s="10">
        <f t="shared" si="8"/>
        <v>2937</v>
      </c>
      <c r="J41" s="10">
        <f t="shared" si="6"/>
        <v>42920062376.968651</v>
      </c>
      <c r="K41" s="11">
        <f t="shared" si="7"/>
        <v>1.8159999999999954E-2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11"/>
      <c r="H42" s="10"/>
      <c r="I42" s="10">
        <f t="shared" si="8"/>
        <v>2937</v>
      </c>
      <c r="J42" s="10">
        <f t="shared" si="6"/>
        <v>42154536003.151421</v>
      </c>
      <c r="K42" s="11">
        <f t="shared" si="7"/>
        <v>1.8080000000000096E-2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11"/>
      <c r="H43" s="10"/>
      <c r="I43" s="10">
        <f t="shared" si="8"/>
        <v>2937</v>
      </c>
      <c r="J43" s="10">
        <f t="shared" si="6"/>
        <v>41405917023.368904</v>
      </c>
      <c r="K43" s="11">
        <f t="shared" si="7"/>
        <v>1.8159999999999954E-2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11"/>
      <c r="H44" s="10"/>
      <c r="I44" s="10">
        <f t="shared" si="8"/>
        <v>2937</v>
      </c>
      <c r="J44" s="10">
        <f t="shared" si="6"/>
        <v>40667397092.175011</v>
      </c>
      <c r="K44" s="11">
        <f t="shared" si="7"/>
        <v>1.8990000000000284E-2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11"/>
      <c r="H45" s="10"/>
      <c r="I45" s="10">
        <f t="shared" si="8"/>
        <v>2937</v>
      </c>
      <c r="J45" s="10">
        <f t="shared" si="6"/>
        <v>39909515394.827232</v>
      </c>
      <c r="K45" s="11">
        <f t="shared" si="7"/>
        <v>1.9940000000000069E-2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11"/>
      <c r="H46" s="10"/>
      <c r="I46" s="10">
        <f t="shared" si="8"/>
        <v>2937</v>
      </c>
      <c r="J46" s="10">
        <f t="shared" si="6"/>
        <v>39129277599.493332</v>
      </c>
      <c r="K46" s="11">
        <f t="shared" si="7"/>
        <v>2.0650000000000057E-2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11"/>
      <c r="H47" s="10"/>
      <c r="I47" s="10">
        <f t="shared" si="8"/>
        <v>2937</v>
      </c>
      <c r="J47" s="10">
        <f t="shared" si="6"/>
        <v>38337606034.873199</v>
      </c>
      <c r="K47" s="11">
        <f t="shared" si="7"/>
        <v>2.2010000000000085E-2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11"/>
      <c r="H48" s="10"/>
      <c r="I48" s="10">
        <f t="shared" si="8"/>
        <v>2937</v>
      </c>
      <c r="J48" s="10">
        <f t="shared" si="6"/>
        <v>37511967627.394249</v>
      </c>
      <c r="K48" s="11">
        <f t="shared" si="7"/>
        <v>2.298E-2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11"/>
      <c r="H49" s="10"/>
      <c r="I49" s="10">
        <f t="shared" si="8"/>
        <v>2937</v>
      </c>
      <c r="J49" s="10">
        <f t="shared" si="6"/>
        <v>36669306953.60051</v>
      </c>
      <c r="K49" s="11">
        <f t="shared" si="7"/>
        <v>2.3810000000000109E-2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11"/>
      <c r="H50" s="10"/>
      <c r="I50" s="10">
        <f t="shared" si="8"/>
        <v>2937</v>
      </c>
      <c r="J50" s="10">
        <f t="shared" si="6"/>
        <v>35816515714.439697</v>
      </c>
      <c r="K50" s="11">
        <f t="shared" si="7"/>
        <v>2.4270000000000014E-2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11"/>
      <c r="H51" s="10"/>
      <c r="I51" s="10">
        <f t="shared" si="8"/>
        <v>2937</v>
      </c>
      <c r="J51" s="10">
        <f t="shared" si="6"/>
        <v>34967846089.839294</v>
      </c>
      <c r="K51" s="11">
        <f t="shared" si="7"/>
        <v>2.4029999999999996E-2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11"/>
      <c r="H52" s="10"/>
      <c r="I52" s="10">
        <f t="shared" si="8"/>
        <v>2937</v>
      </c>
      <c r="J52" s="10">
        <f t="shared" si="6"/>
        <v>34147286788.316059</v>
      </c>
      <c r="K52" s="11">
        <f t="shared" si="7"/>
        <v>2.4289999999999923E-2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11"/>
      <c r="H53" s="10"/>
      <c r="I53" s="10">
        <f t="shared" si="8"/>
        <v>2937</v>
      </c>
      <c r="J53" s="10">
        <f t="shared" si="6"/>
        <v>33337518464.805923</v>
      </c>
      <c r="K53" s="11">
        <f t="shared" si="7"/>
        <v>2.458999999999989E-2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11"/>
      <c r="H54" s="10"/>
      <c r="I54" s="10">
        <f t="shared" si="8"/>
        <v>2937</v>
      </c>
      <c r="J54" s="10">
        <f t="shared" si="6"/>
        <v>32537423227.638302</v>
      </c>
      <c r="K54" s="11">
        <f t="shared" si="7"/>
        <v>2.4510000000000032E-2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11"/>
      <c r="H55" s="10"/>
      <c r="I55" s="10">
        <f t="shared" si="8"/>
        <v>2937</v>
      </c>
      <c r="J55" s="10">
        <f t="shared" si="6"/>
        <v>31759009895.109173</v>
      </c>
      <c r="K55" s="11">
        <f t="shared" si="7"/>
        <v>2.4429999999999952E-2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11"/>
      <c r="H56" s="10"/>
      <c r="I56" s="10">
        <f t="shared" si="8"/>
        <v>2937</v>
      </c>
      <c r="J56" s="10">
        <f t="shared" si="6"/>
        <v>31001639833.965401</v>
      </c>
      <c r="K56" s="11">
        <f t="shared" si="7"/>
        <v>2.4340000000000028E-2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11"/>
      <c r="H57" s="10"/>
      <c r="I57" s="10">
        <f t="shared" si="8"/>
        <v>2937</v>
      </c>
      <c r="J57" s="10">
        <f t="shared" si="6"/>
        <v>30264989977.903233</v>
      </c>
      <c r="K57" s="11">
        <f t="shared" si="7"/>
        <v>2.4329999999999741E-2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11"/>
      <c r="H58" s="10"/>
      <c r="I58" s="10">
        <f t="shared" si="8"/>
        <v>2937</v>
      </c>
      <c r="J58" s="10">
        <f t="shared" si="6"/>
        <v>29546132572.416348</v>
      </c>
      <c r="K58" s="11">
        <f t="shared" si="7"/>
        <v>2.4119999999999919E-2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11"/>
      <c r="H59" s="10"/>
      <c r="I59" s="10">
        <f t="shared" si="8"/>
        <v>2937</v>
      </c>
      <c r="J59" s="10">
        <f t="shared" si="6"/>
        <v>28850264199.914413</v>
      </c>
      <c r="K59" s="11">
        <f t="shared" si="7"/>
        <v>2.3369999999999891E-2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11"/>
      <c r="H60" s="10"/>
      <c r="I60" s="10">
        <f t="shared" si="8"/>
        <v>2937</v>
      </c>
      <c r="J60" s="10">
        <f t="shared" si="6"/>
        <v>28191430469.834389</v>
      </c>
      <c r="K60" s="11">
        <f t="shared" si="7"/>
        <v>2.2270000000000012E-2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11"/>
      <c r="H61" s="10"/>
      <c r="I61" s="10">
        <f t="shared" si="8"/>
        <v>2937</v>
      </c>
      <c r="J61" s="10">
        <f t="shared" si="6"/>
        <v>27577284347.417404</v>
      </c>
      <c r="K61" s="11">
        <f t="shared" si="7"/>
        <v>2.1250000000000213E-2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11"/>
      <c r="H62" s="10"/>
      <c r="I62" s="10">
        <f t="shared" si="8"/>
        <v>2937</v>
      </c>
      <c r="J62" s="10">
        <f t="shared" si="6"/>
        <v>27003460805.304676</v>
      </c>
      <c r="K62" s="11">
        <f t="shared" si="7"/>
        <v>2.0949999999999802E-2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11"/>
      <c r="H63" s="10"/>
      <c r="I63" s="10">
        <f t="shared" si="8"/>
        <v>2937</v>
      </c>
      <c r="J63" s="10">
        <f t="shared" si="6"/>
        <v>26449346985.949047</v>
      </c>
      <c r="K63" s="11">
        <f t="shared" si="7"/>
        <v>2.0620000000000083E-2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11"/>
      <c r="H64" s="10"/>
      <c r="I64" s="10">
        <f t="shared" si="8"/>
        <v>2937</v>
      </c>
      <c r="J64" s="10">
        <f t="shared" si="6"/>
        <v>25914980096.362061</v>
      </c>
      <c r="K64" s="11">
        <f t="shared" si="7"/>
        <v>2.022999999999997E-2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11"/>
      <c r="H65" s="10"/>
      <c r="I65" s="10">
        <f t="shared" si="8"/>
        <v>2937</v>
      </c>
      <c r="J65" s="10">
        <f t="shared" si="6"/>
        <v>25401115529.206219</v>
      </c>
      <c r="K65" s="11">
        <f t="shared" si="7"/>
        <v>1.9689999999999985E-2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6">
        <f>SUM(F2)</f>
        <v>22833760</v>
      </c>
      <c r="G66" s="11"/>
      <c r="H66" s="10"/>
      <c r="I66" s="10">
        <f t="shared" si="8"/>
        <v>2937</v>
      </c>
      <c r="J66" s="10">
        <f t="shared" ref="J66:J97" si="9">IF(I66="","",I66*C66)</f>
        <v>24910625316.720001</v>
      </c>
      <c r="K66" s="11">
        <f t="shared" ref="K66:K97" si="10">IFERROR(J66/J67-1,"")</f>
        <v>1.8939999999999957E-2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11"/>
      <c r="H67" s="10"/>
      <c r="I67" s="10">
        <f t="shared" ref="I67:I98" si="11">IF(H67&lt;&gt;"",H67,I66/(1+IF(G66="",0,G66)))</f>
        <v>2937</v>
      </c>
      <c r="J67" s="10">
        <f t="shared" si="9"/>
        <v>24447588000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8" t="s">
        <v>75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5">
        <v>1724423</v>
      </c>
      <c r="G2" s="11"/>
      <c r="H2" s="10"/>
      <c r="I2" s="10">
        <f>IF(H2&lt;&gt;"",H2,2444)</f>
        <v>2444</v>
      </c>
      <c r="J2" s="10">
        <f t="shared" ref="J2:J33" si="2">IF(I2="","",I2*C2)</f>
        <v>4215177011.0897951</v>
      </c>
      <c r="K2" s="11">
        <f t="shared" ref="K2:K33" si="3">IFERROR(J2/J3-1,"")</f>
        <v>1.0000000000000009E-2</v>
      </c>
    </row>
    <row r="3" spans="1:11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11"/>
      <c r="H3" s="10"/>
      <c r="I3" s="10">
        <f t="shared" ref="I3:I34" si="5">IF(H3&lt;&gt;"",H3,I2/(1+IF(G2="",0,G2)))</f>
        <v>2444</v>
      </c>
      <c r="J3" s="10">
        <f t="shared" si="2"/>
        <v>4173442585.2374206</v>
      </c>
      <c r="K3" s="11">
        <f t="shared" si="3"/>
        <v>1.9830000000000014E-2</v>
      </c>
    </row>
    <row r="4" spans="1:11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11"/>
      <c r="H4" s="10"/>
      <c r="I4" s="10">
        <f t="shared" si="5"/>
        <v>2444</v>
      </c>
      <c r="J4" s="10">
        <f t="shared" si="2"/>
        <v>4092292426.4214826</v>
      </c>
      <c r="K4" s="11">
        <f t="shared" si="3"/>
        <v>2.2629999999999928E-2</v>
      </c>
    </row>
    <row r="5" spans="1:11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11"/>
      <c r="H5" s="10"/>
      <c r="I5" s="10">
        <f t="shared" si="5"/>
        <v>2444</v>
      </c>
      <c r="J5" s="10">
        <f t="shared" si="2"/>
        <v>4001733204.0146317</v>
      </c>
      <c r="K5" s="11">
        <f t="shared" si="3"/>
        <v>2.5519999999999987E-2</v>
      </c>
    </row>
    <row r="6" spans="1:11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11"/>
      <c r="H6" s="10"/>
      <c r="I6" s="10">
        <f t="shared" si="5"/>
        <v>2444</v>
      </c>
      <c r="J6" s="10">
        <f t="shared" si="2"/>
        <v>3902150327.6529288</v>
      </c>
      <c r="K6" s="11">
        <f t="shared" si="3"/>
        <v>7.6300000000000257E-3</v>
      </c>
    </row>
    <row r="7" spans="1:11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11"/>
      <c r="H7" s="10"/>
      <c r="I7" s="10">
        <f t="shared" si="5"/>
        <v>2444</v>
      </c>
      <c r="J7" s="10">
        <f t="shared" si="2"/>
        <v>3872602371.5579414</v>
      </c>
      <c r="K7" s="11">
        <f t="shared" si="3"/>
        <v>3.1899999999998041E-3</v>
      </c>
    </row>
    <row r="8" spans="1:11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11"/>
      <c r="H8" s="10"/>
      <c r="I8" s="10">
        <f t="shared" si="5"/>
        <v>2444</v>
      </c>
      <c r="J8" s="10">
        <f t="shared" si="2"/>
        <v>3860288052.6699247</v>
      </c>
      <c r="K8" s="11">
        <f t="shared" si="3"/>
        <v>2.1999999999999797E-3</v>
      </c>
    </row>
    <row r="9" spans="1:11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11"/>
      <c r="H9" s="10"/>
      <c r="I9" s="10">
        <f t="shared" si="5"/>
        <v>2444</v>
      </c>
      <c r="J9" s="10">
        <f t="shared" si="2"/>
        <v>3851814061.7341099</v>
      </c>
      <c r="K9" s="11">
        <f t="shared" si="3"/>
        <v>-9.0000000000012292E-4</v>
      </c>
    </row>
    <row r="10" spans="1:11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11"/>
      <c r="H10" s="10"/>
      <c r="I10" s="10">
        <f t="shared" si="5"/>
        <v>2444</v>
      </c>
      <c r="J10" s="10">
        <f t="shared" si="2"/>
        <v>3855283817.1695628</v>
      </c>
      <c r="K10" s="11">
        <f t="shared" si="3"/>
        <v>-1.1999999999999789E-3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11"/>
      <c r="H11" s="10"/>
      <c r="I11" s="10">
        <f t="shared" si="5"/>
        <v>2444</v>
      </c>
      <c r="J11" s="10">
        <f t="shared" si="2"/>
        <v>3859915716.0287971</v>
      </c>
      <c r="K11" s="11">
        <f t="shared" si="3"/>
        <v>-1.4900000000001024E-3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11"/>
      <c r="H12" s="10"/>
      <c r="I12" s="10">
        <f t="shared" si="5"/>
        <v>2444</v>
      </c>
      <c r="J12" s="10">
        <f t="shared" si="2"/>
        <v>3865675572.632019</v>
      </c>
      <c r="K12" s="11">
        <f t="shared" si="3"/>
        <v>-1.5899999999998693E-3</v>
      </c>
    </row>
    <row r="13" spans="1:11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11"/>
      <c r="H13" s="10"/>
      <c r="I13" s="10">
        <f t="shared" si="5"/>
        <v>2444</v>
      </c>
      <c r="J13" s="10">
        <f t="shared" si="2"/>
        <v>3871831785.1704397</v>
      </c>
      <c r="K13" s="11">
        <f t="shared" si="3"/>
        <v>-6.0000000000015596E-4</v>
      </c>
    </row>
    <row r="14" spans="1:11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11"/>
      <c r="H14" s="10"/>
      <c r="I14" s="10">
        <f t="shared" si="5"/>
        <v>2444</v>
      </c>
      <c r="J14" s="10">
        <f t="shared" si="2"/>
        <v>3874156278.9378028</v>
      </c>
      <c r="K14" s="11">
        <f t="shared" si="3"/>
        <v>7.9999999999991189E-4</v>
      </c>
    </row>
    <row r="15" spans="1:11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11"/>
      <c r="H15" s="10"/>
      <c r="I15" s="10">
        <f t="shared" si="5"/>
        <v>2444</v>
      </c>
      <c r="J15" s="10">
        <f t="shared" si="2"/>
        <v>3871059431.3926888</v>
      </c>
      <c r="K15" s="11">
        <f t="shared" si="3"/>
        <v>-5.2600000000000424E-3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11"/>
      <c r="H16" s="10"/>
      <c r="I16" s="10">
        <f t="shared" si="5"/>
        <v>2444</v>
      </c>
      <c r="J16" s="10">
        <f t="shared" si="2"/>
        <v>3891528873.2660685</v>
      </c>
      <c r="K16" s="11">
        <f t="shared" si="3"/>
        <v>-4.4399999999998885E-3</v>
      </c>
    </row>
    <row r="17" spans="1:11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11"/>
      <c r="H17" s="10"/>
      <c r="I17" s="10">
        <f t="shared" si="5"/>
        <v>2444</v>
      </c>
      <c r="J17" s="10">
        <f t="shared" si="2"/>
        <v>3908884319.6452932</v>
      </c>
      <c r="K17" s="11">
        <f t="shared" si="3"/>
        <v>-2.8500000000001302E-3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11"/>
      <c r="H18" s="10"/>
      <c r="I18" s="10">
        <f t="shared" si="5"/>
        <v>2444</v>
      </c>
      <c r="J18" s="10">
        <f t="shared" si="2"/>
        <v>3920056480.6150465</v>
      </c>
      <c r="K18" s="11">
        <f t="shared" si="3"/>
        <v>-9.8000000000009191E-4</v>
      </c>
    </row>
    <row r="19" spans="1:11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11"/>
      <c r="H19" s="10"/>
      <c r="I19" s="10">
        <f t="shared" si="5"/>
        <v>2444</v>
      </c>
      <c r="J19" s="10">
        <f t="shared" si="2"/>
        <v>3923901904.4814386</v>
      </c>
      <c r="K19" s="11">
        <f t="shared" si="3"/>
        <v>-1.1799999999998478E-3</v>
      </c>
    </row>
    <row r="20" spans="1:11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11"/>
      <c r="H20" s="10"/>
      <c r="I20" s="10">
        <f t="shared" si="5"/>
        <v>2444</v>
      </c>
      <c r="J20" s="10">
        <f t="shared" si="2"/>
        <v>3928537578.824451</v>
      </c>
      <c r="K20" s="11">
        <f t="shared" si="3"/>
        <v>1.3699999999998713E-3</v>
      </c>
    </row>
    <row r="21" spans="1:11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11"/>
      <c r="H21" s="10"/>
      <c r="I21" s="10">
        <f t="shared" si="5"/>
        <v>2444</v>
      </c>
      <c r="J21" s="10">
        <f t="shared" si="2"/>
        <v>3923162845.7258067</v>
      </c>
      <c r="K21" s="11">
        <f t="shared" si="3"/>
        <v>1.3700000000000934E-3</v>
      </c>
    </row>
    <row r="22" spans="1:11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11"/>
      <c r="H22" s="10"/>
      <c r="I22" s="10">
        <f t="shared" si="5"/>
        <v>2444</v>
      </c>
      <c r="J22" s="10">
        <f t="shared" si="2"/>
        <v>3917795465.9374719</v>
      </c>
      <c r="K22" s="11">
        <f t="shared" si="3"/>
        <v>2.2599999999997067E-3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11"/>
      <c r="H23" s="10"/>
      <c r="I23" s="10">
        <f t="shared" si="5"/>
        <v>2444</v>
      </c>
      <c r="J23" s="10">
        <f t="shared" si="2"/>
        <v>3908961213.5947485</v>
      </c>
      <c r="K23" s="11">
        <f t="shared" si="3"/>
        <v>3.0600000000000627E-3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11"/>
      <c r="H24" s="10"/>
      <c r="I24" s="10">
        <f t="shared" si="5"/>
        <v>2444</v>
      </c>
      <c r="J24" s="10">
        <f t="shared" si="2"/>
        <v>3897036282.5700836</v>
      </c>
      <c r="K24" s="11">
        <f t="shared" si="3"/>
        <v>3.9599999999999635E-3</v>
      </c>
    </row>
    <row r="25" spans="1:11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11"/>
      <c r="H25" s="10"/>
      <c r="I25" s="10">
        <f t="shared" si="5"/>
        <v>2444</v>
      </c>
      <c r="J25" s="10">
        <f t="shared" si="2"/>
        <v>3881664889.6072388</v>
      </c>
      <c r="K25" s="11">
        <f t="shared" si="3"/>
        <v>1.2170000000000014E-2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11"/>
      <c r="H26" s="10"/>
      <c r="I26" s="10">
        <f t="shared" si="5"/>
        <v>2444</v>
      </c>
      <c r="J26" s="10">
        <f t="shared" si="2"/>
        <v>3834993024.4990845</v>
      </c>
      <c r="K26" s="11">
        <f t="shared" si="3"/>
        <v>2.2340000000000027E-2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11"/>
      <c r="H27" s="10"/>
      <c r="I27" s="10">
        <f t="shared" si="5"/>
        <v>2444</v>
      </c>
      <c r="J27" s="10">
        <f t="shared" si="2"/>
        <v>3751191408.4346542</v>
      </c>
      <c r="K27" s="11">
        <f t="shared" si="3"/>
        <v>2.4529999999999941E-2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11"/>
      <c r="H28" s="10"/>
      <c r="I28" s="10">
        <f t="shared" si="5"/>
        <v>2444</v>
      </c>
      <c r="J28" s="10">
        <f t="shared" si="2"/>
        <v>3661377810.7372694</v>
      </c>
      <c r="K28" s="11">
        <f t="shared" si="3"/>
        <v>2.4170000000000025E-2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11"/>
      <c r="H29" s="10"/>
      <c r="I29" s="10">
        <f t="shared" si="5"/>
        <v>2444</v>
      </c>
      <c r="J29" s="10">
        <f t="shared" si="2"/>
        <v>3574970767.2918258</v>
      </c>
      <c r="K29" s="11">
        <f t="shared" si="3"/>
        <v>2.4550000000000072E-2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11"/>
      <c r="H30" s="10"/>
      <c r="I30" s="10">
        <f t="shared" si="5"/>
        <v>2444</v>
      </c>
      <c r="J30" s="10">
        <f t="shared" si="2"/>
        <v>3489308249.7602124</v>
      </c>
      <c r="K30" s="11">
        <f t="shared" si="3"/>
        <v>2.3700000000000054E-2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11"/>
      <c r="H31" s="10"/>
      <c r="I31" s="10">
        <f t="shared" si="5"/>
        <v>2444</v>
      </c>
      <c r="J31" s="10">
        <f t="shared" si="2"/>
        <v>3408526179.3105521</v>
      </c>
      <c r="K31" s="11">
        <f t="shared" si="3"/>
        <v>2.2540000000000227E-2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11"/>
      <c r="H32" s="10"/>
      <c r="I32" s="10">
        <f t="shared" si="5"/>
        <v>2444</v>
      </c>
      <c r="J32" s="10">
        <f t="shared" si="2"/>
        <v>3333391534.1312337</v>
      </c>
      <c r="K32" s="11">
        <f t="shared" si="3"/>
        <v>2.1519999999999984E-2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11"/>
      <c r="H33" s="10"/>
      <c r="I33" s="10">
        <f t="shared" si="5"/>
        <v>2444</v>
      </c>
      <c r="J33" s="10">
        <f t="shared" si="2"/>
        <v>3263168155.4264565</v>
      </c>
      <c r="K33" s="11">
        <f t="shared" si="3"/>
        <v>1.9579999999999931E-2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11"/>
      <c r="H34" s="10"/>
      <c r="I34" s="10">
        <f t="shared" si="5"/>
        <v>2444</v>
      </c>
      <c r="J34" s="10">
        <f t="shared" ref="J34:J65" si="6">IF(I34="","",I34*C34)</f>
        <v>3200502320.0008402</v>
      </c>
      <c r="K34" s="11">
        <f t="shared" ref="K34:K65" si="7">IFERROR(J34/J35-1,"")</f>
        <v>1.910999999999996E-2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11"/>
      <c r="H35" s="10"/>
      <c r="I35" s="10">
        <f t="shared" ref="I35:I66" si="8">IF(H35&lt;&gt;"",H35,I34/(1+IF(G34="",0,G34)))</f>
        <v>2444</v>
      </c>
      <c r="J35" s="10">
        <f t="shared" si="6"/>
        <v>3140487601.9279962</v>
      </c>
      <c r="K35" s="11">
        <f t="shared" si="7"/>
        <v>2.4510000000000032E-2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11"/>
      <c r="H36" s="10"/>
      <c r="I36" s="10">
        <f t="shared" si="8"/>
        <v>2444</v>
      </c>
      <c r="J36" s="10">
        <f t="shared" si="6"/>
        <v>3065355732.9142675</v>
      </c>
      <c r="K36" s="11">
        <f t="shared" si="7"/>
        <v>2.6029999999999998E-2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11"/>
      <c r="H37" s="10"/>
      <c r="I37" s="10">
        <f t="shared" si="8"/>
        <v>2444</v>
      </c>
      <c r="J37" s="10">
        <f t="shared" si="6"/>
        <v>2987588796.5403233</v>
      </c>
      <c r="K37" s="11">
        <f t="shared" si="7"/>
        <v>2.3139999999999938E-2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11"/>
      <c r="H38" s="10"/>
      <c r="I38" s="10">
        <f t="shared" si="8"/>
        <v>2444</v>
      </c>
      <c r="J38" s="10">
        <f t="shared" si="6"/>
        <v>2920019544.2855554</v>
      </c>
      <c r="K38" s="11">
        <f t="shared" si="7"/>
        <v>2.4780000000000024E-2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11"/>
      <c r="H39" s="10"/>
      <c r="I39" s="10">
        <f t="shared" si="8"/>
        <v>2444</v>
      </c>
      <c r="J39" s="10">
        <f t="shared" si="6"/>
        <v>2849411136.3273635</v>
      </c>
      <c r="K39" s="11">
        <f t="shared" si="7"/>
        <v>2.1099999999999897E-2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11"/>
      <c r="H40" s="10"/>
      <c r="I40" s="10">
        <f t="shared" si="8"/>
        <v>2444</v>
      </c>
      <c r="J40" s="10">
        <f t="shared" si="6"/>
        <v>2790530933.6278167</v>
      </c>
      <c r="K40" s="11">
        <f t="shared" si="7"/>
        <v>1.6189999999999927E-2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11"/>
      <c r="H41" s="10"/>
      <c r="I41" s="10">
        <f t="shared" si="8"/>
        <v>2444</v>
      </c>
      <c r="J41" s="10">
        <f t="shared" si="6"/>
        <v>2746072027.5025506</v>
      </c>
      <c r="K41" s="11">
        <f t="shared" si="7"/>
        <v>1.1470000000000091E-2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11"/>
      <c r="H42" s="10"/>
      <c r="I42" s="10">
        <f t="shared" si="8"/>
        <v>2444</v>
      </c>
      <c r="J42" s="10">
        <f t="shared" si="6"/>
        <v>2714931760.2129083</v>
      </c>
      <c r="K42" s="11">
        <f t="shared" si="7"/>
        <v>1.045000000000007E-2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11"/>
      <c r="H43" s="10"/>
      <c r="I43" s="10">
        <f t="shared" si="8"/>
        <v>2444</v>
      </c>
      <c r="J43" s="10">
        <f t="shared" si="6"/>
        <v>2686854134.5073066</v>
      </c>
      <c r="K43" s="11">
        <f t="shared" si="7"/>
        <v>7.9399999999998361E-3</v>
      </c>
    </row>
    <row r="44" spans="1:11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11"/>
      <c r="H44" s="10"/>
      <c r="I44" s="10">
        <f t="shared" si="8"/>
        <v>2444</v>
      </c>
      <c r="J44" s="10">
        <f t="shared" si="6"/>
        <v>2665688567.2830791</v>
      </c>
      <c r="K44" s="11">
        <f t="shared" si="7"/>
        <v>8.73999999999997E-3</v>
      </c>
    </row>
    <row r="45" spans="1:11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11"/>
      <c r="H45" s="10"/>
      <c r="I45" s="10">
        <f t="shared" si="8"/>
        <v>2444</v>
      </c>
      <c r="J45" s="10">
        <f t="shared" si="6"/>
        <v>2642592310.4894018</v>
      </c>
      <c r="K45" s="11">
        <f t="shared" si="7"/>
        <v>7.0500000000000007E-3</v>
      </c>
    </row>
    <row r="46" spans="1:11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11"/>
      <c r="H46" s="10"/>
      <c r="I46" s="10">
        <f t="shared" si="8"/>
        <v>2444</v>
      </c>
      <c r="J46" s="10">
        <f t="shared" si="6"/>
        <v>2624092458.6558781</v>
      </c>
      <c r="K46" s="11">
        <f t="shared" si="7"/>
        <v>7.6899999999999746E-3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11"/>
      <c r="H47" s="10"/>
      <c r="I47" s="10">
        <f t="shared" si="8"/>
        <v>2444</v>
      </c>
      <c r="J47" s="10">
        <f t="shared" si="6"/>
        <v>2604067182.0260973</v>
      </c>
      <c r="K47" s="11">
        <f t="shared" si="7"/>
        <v>7.8999999999997961E-3</v>
      </c>
    </row>
    <row r="48" spans="1:11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11"/>
      <c r="H48" s="10"/>
      <c r="I48" s="10">
        <f t="shared" si="8"/>
        <v>2444</v>
      </c>
      <c r="J48" s="10">
        <f t="shared" si="6"/>
        <v>2583656297.2776046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11"/>
      <c r="H49" s="10"/>
      <c r="I49" s="10">
        <f t="shared" si="8"/>
        <v>2444</v>
      </c>
      <c r="J49" s="10">
        <f t="shared" si="6"/>
        <v>2505971190.3759503</v>
      </c>
      <c r="K49" s="11">
        <f t="shared" si="7"/>
        <v>4.773000000000005E-2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11"/>
      <c r="H50" s="10"/>
      <c r="I50" s="10">
        <f t="shared" si="8"/>
        <v>2444</v>
      </c>
      <c r="J50" s="10">
        <f t="shared" si="6"/>
        <v>2391810094.5624828</v>
      </c>
      <c r="K50" s="11">
        <f t="shared" si="7"/>
        <v>1.3860000000000205E-2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11"/>
      <c r="H51" s="10"/>
      <c r="I51" s="10">
        <f t="shared" si="8"/>
        <v>2444</v>
      </c>
      <c r="J51" s="10">
        <f t="shared" si="6"/>
        <v>2359112791.2754054</v>
      </c>
      <c r="K51" s="11">
        <f t="shared" si="7"/>
        <v>1.6049999999999898E-2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11"/>
      <c r="H52" s="10"/>
      <c r="I52" s="10">
        <f t="shared" si="8"/>
        <v>2444</v>
      </c>
      <c r="J52" s="10">
        <f t="shared" si="6"/>
        <v>2321847144.6045032</v>
      </c>
      <c r="K52" s="11">
        <f t="shared" si="7"/>
        <v>5.6089999999999751E-2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11"/>
      <c r="H53" s="10"/>
      <c r="I53" s="10">
        <f t="shared" si="8"/>
        <v>2444</v>
      </c>
      <c r="J53" s="10">
        <f t="shared" si="6"/>
        <v>2198531512.0913024</v>
      </c>
      <c r="K53" s="11">
        <f t="shared" si="7"/>
        <v>5.5690000000000017E-2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11"/>
      <c r="H54" s="10"/>
      <c r="I54" s="10">
        <f t="shared" si="8"/>
        <v>2444</v>
      </c>
      <c r="J54" s="10">
        <f t="shared" si="6"/>
        <v>2082554075.6200233</v>
      </c>
      <c r="K54" s="11">
        <f t="shared" si="7"/>
        <v>5.147999999999997E-2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11"/>
      <c r="H55" s="10"/>
      <c r="I55" s="10">
        <f t="shared" si="8"/>
        <v>2444</v>
      </c>
      <c r="J55" s="10">
        <f t="shared" si="6"/>
        <v>1980593140.7349861</v>
      </c>
      <c r="K55" s="11">
        <f t="shared" si="7"/>
        <v>4.5600000000000085E-2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11"/>
      <c r="H56" s="10"/>
      <c r="I56" s="10">
        <f t="shared" si="8"/>
        <v>2444</v>
      </c>
      <c r="J56" s="10">
        <f t="shared" si="6"/>
        <v>1894216852.2714097</v>
      </c>
      <c r="K56" s="11">
        <f t="shared" si="7"/>
        <v>3.8340000000000041E-2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11"/>
      <c r="H57" s="10"/>
      <c r="I57" s="10">
        <f t="shared" si="8"/>
        <v>2444</v>
      </c>
      <c r="J57" s="10">
        <f t="shared" si="6"/>
        <v>1824274180.2024479</v>
      </c>
      <c r="K57" s="11">
        <f t="shared" si="7"/>
        <v>3.2340000000000257E-2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11"/>
      <c r="H58" s="10"/>
      <c r="I58" s="10">
        <f t="shared" si="8"/>
        <v>2444</v>
      </c>
      <c r="J58" s="10">
        <f t="shared" si="6"/>
        <v>1767125346.496743</v>
      </c>
      <c r="K58" s="11">
        <f t="shared" si="7"/>
        <v>3.5709999999999686E-2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11"/>
      <c r="H59" s="10"/>
      <c r="I59" s="10">
        <f t="shared" si="8"/>
        <v>2444</v>
      </c>
      <c r="J59" s="10">
        <f t="shared" si="6"/>
        <v>1706197049.8467171</v>
      </c>
      <c r="K59" s="11">
        <f t="shared" si="7"/>
        <v>3.5840000000000094E-2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11"/>
      <c r="H60" s="10"/>
      <c r="I60" s="10">
        <f t="shared" si="8"/>
        <v>2444</v>
      </c>
      <c r="J60" s="10">
        <f t="shared" si="6"/>
        <v>1647162737.3404357</v>
      </c>
      <c r="K60" s="11">
        <f t="shared" si="7"/>
        <v>2.9819999999999958E-2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11"/>
      <c r="H61" s="10"/>
      <c r="I61" s="10">
        <f t="shared" si="8"/>
        <v>2444</v>
      </c>
      <c r="J61" s="10">
        <f t="shared" si="6"/>
        <v>1599466642.0737953</v>
      </c>
      <c r="K61" s="11">
        <f t="shared" si="7"/>
        <v>3.7309999999999954E-2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11"/>
      <c r="H62" s="10"/>
      <c r="I62" s="10">
        <f t="shared" si="8"/>
        <v>2444</v>
      </c>
      <c r="J62" s="10">
        <f t="shared" si="6"/>
        <v>1541936973.5891829</v>
      </c>
      <c r="K62" s="11">
        <f t="shared" si="7"/>
        <v>3.1670000000000087E-2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11"/>
      <c r="H63" s="10"/>
      <c r="I63" s="10">
        <f t="shared" si="8"/>
        <v>2444</v>
      </c>
      <c r="J63" s="10">
        <f t="shared" si="6"/>
        <v>1494602899.7539744</v>
      </c>
      <c r="K63" s="11">
        <f t="shared" si="7"/>
        <v>2.302000000000004E-2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11"/>
      <c r="H64" s="10"/>
      <c r="I64" s="10">
        <f t="shared" si="8"/>
        <v>2444</v>
      </c>
      <c r="J64" s="10">
        <f t="shared" si="6"/>
        <v>1460971339.5182641</v>
      </c>
      <c r="K64" s="11">
        <f t="shared" si="7"/>
        <v>2.246999999999999E-2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11"/>
      <c r="H65" s="10"/>
      <c r="I65" s="10">
        <f t="shared" si="8"/>
        <v>2444</v>
      </c>
      <c r="J65" s="10">
        <f t="shared" si="6"/>
        <v>1428864748.6168435</v>
      </c>
      <c r="K65" s="11">
        <f t="shared" si="7"/>
        <v>2.5230000000000308E-2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6">
        <f>SUM(F2)</f>
        <v>1724423</v>
      </c>
      <c r="G66" s="11"/>
      <c r="H66" s="10"/>
      <c r="I66" s="10">
        <f t="shared" si="8"/>
        <v>2444</v>
      </c>
      <c r="J66" s="10">
        <f t="shared" ref="J66:J97" si="9">IF(I66="","",I66*C66)</f>
        <v>1393701655.8399999</v>
      </c>
      <c r="K66" s="11">
        <f t="shared" ref="K66:K97" si="10">IFERROR(J66/J67-1,"")</f>
        <v>2.9339999999999922E-2</v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11"/>
      <c r="H67" s="10"/>
      <c r="I67" s="10">
        <f t="shared" ref="I67:I98" si="11">IF(H67&lt;&gt;"",H67,I66/(1+IF(G66="",0,G66)))</f>
        <v>2444</v>
      </c>
      <c r="J67" s="10">
        <f t="shared" si="9"/>
        <v>1353976000</v>
      </c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5">
        <v>15105090</v>
      </c>
      <c r="G2" s="11"/>
      <c r="H2" s="10"/>
      <c r="I2" s="10">
        <f>IF(H2&lt;&gt;"",H2,3643)</f>
        <v>3643</v>
      </c>
      <c r="J2" s="10">
        <f t="shared" ref="J2:J33" si="3">IF(I2="","",I2*C2)</f>
        <v>55029722715.636749</v>
      </c>
      <c r="K2" s="11">
        <f t="shared" ref="K2:K33" si="4">IFERROR(J2/J3-1,"")</f>
        <v>1.0900000000000132E-2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11"/>
      <c r="H3" s="10"/>
      <c r="I3" s="10">
        <f t="shared" ref="I3:I34" si="5">IF(H3&lt;&gt;"",H3,I2/(1+IF(G2="",0,G2)))</f>
        <v>3643</v>
      </c>
      <c r="J3" s="10">
        <f t="shared" si="3"/>
        <v>54436366322.719109</v>
      </c>
      <c r="K3" s="11">
        <f t="shared" si="4"/>
        <v>1.0999999999999677E-2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11"/>
      <c r="H4" s="10"/>
      <c r="I4" s="10">
        <f t="shared" si="5"/>
        <v>3643</v>
      </c>
      <c r="J4" s="10">
        <f t="shared" si="3"/>
        <v>53844081427.021881</v>
      </c>
      <c r="K4" s="11">
        <f t="shared" si="4"/>
        <v>9.6000000000000529E-3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11"/>
      <c r="H5" s="10"/>
      <c r="I5" s="10">
        <f t="shared" si="5"/>
        <v>3643</v>
      </c>
      <c r="J5" s="10">
        <f t="shared" si="3"/>
        <v>53332093331.043854</v>
      </c>
      <c r="K5" s="11">
        <f t="shared" si="4"/>
        <v>9.6000000000000529E-3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11"/>
      <c r="H6" s="10"/>
      <c r="I6" s="10">
        <f t="shared" si="5"/>
        <v>3643</v>
      </c>
      <c r="J6" s="10">
        <f t="shared" si="3"/>
        <v>52824973584.631386</v>
      </c>
      <c r="K6" s="11">
        <f t="shared" si="4"/>
        <v>1.1900000000000022E-2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11"/>
      <c r="H7" s="10"/>
      <c r="I7" s="10">
        <f t="shared" si="5"/>
        <v>3643</v>
      </c>
      <c r="J7" s="10">
        <f t="shared" si="3"/>
        <v>52203748971.86618</v>
      </c>
      <c r="K7" s="11">
        <f t="shared" si="4"/>
        <v>1.7099999999999893E-2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11"/>
      <c r="H8" s="10"/>
      <c r="I8" s="10">
        <f t="shared" si="5"/>
        <v>3643</v>
      </c>
      <c r="J8" s="10">
        <f t="shared" si="3"/>
        <v>51326073121.488724</v>
      </c>
      <c r="K8" s="11">
        <f t="shared" si="4"/>
        <v>1.8100000000000005E-2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11"/>
      <c r="H9" s="10"/>
      <c r="I9" s="10">
        <f t="shared" si="5"/>
        <v>3643</v>
      </c>
      <c r="J9" s="10">
        <f t="shared" si="3"/>
        <v>50413587193.290176</v>
      </c>
      <c r="K9" s="11">
        <f t="shared" si="4"/>
        <v>1.4699999999999935E-2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11"/>
      <c r="H10" s="10"/>
      <c r="I10" s="10">
        <f t="shared" si="5"/>
        <v>3643</v>
      </c>
      <c r="J10" s="10">
        <f t="shared" si="3"/>
        <v>49683243513.639671</v>
      </c>
      <c r="K10" s="11">
        <f t="shared" si="4"/>
        <v>1.3299999999999867E-2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11"/>
      <c r="H11" s="10"/>
      <c r="I11" s="10">
        <f t="shared" si="5"/>
        <v>3643</v>
      </c>
      <c r="J11" s="10">
        <f t="shared" si="3"/>
        <v>49031129491.403999</v>
      </c>
      <c r="K11" s="11">
        <f t="shared" si="4"/>
        <v>1.1299999999999866E-2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11"/>
      <c r="H12" s="10"/>
      <c r="I12" s="10">
        <f t="shared" si="5"/>
        <v>3643</v>
      </c>
      <c r="J12" s="10">
        <f t="shared" si="3"/>
        <v>48483268556.713142</v>
      </c>
      <c r="K12" s="11">
        <f t="shared" si="4"/>
        <v>9.9000000000002419E-3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11"/>
      <c r="H13" s="10"/>
      <c r="I13" s="10">
        <f t="shared" si="5"/>
        <v>3643</v>
      </c>
      <c r="J13" s="10">
        <f t="shared" si="3"/>
        <v>48007989461.048752</v>
      </c>
      <c r="K13" s="11">
        <f t="shared" si="4"/>
        <v>8.999999999999897E-3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11"/>
      <c r="H14" s="10"/>
      <c r="I14" s="10">
        <f t="shared" si="5"/>
        <v>3643</v>
      </c>
      <c r="J14" s="10">
        <f t="shared" si="3"/>
        <v>47579771517.392227</v>
      </c>
      <c r="K14" s="11">
        <f t="shared" si="4"/>
        <v>8.3999999999999631E-3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11"/>
      <c r="H15" s="10"/>
      <c r="I15" s="10">
        <f t="shared" si="5"/>
        <v>3643</v>
      </c>
      <c r="J15" s="10">
        <f t="shared" si="3"/>
        <v>47183430699.516296</v>
      </c>
      <c r="K15" s="11">
        <f t="shared" si="4"/>
        <v>7.5000000000000622E-3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11"/>
      <c r="H16" s="10"/>
      <c r="I16" s="10">
        <f t="shared" si="5"/>
        <v>3643</v>
      </c>
      <c r="J16" s="10">
        <f t="shared" si="3"/>
        <v>46832189279.916916</v>
      </c>
      <c r="K16" s="11">
        <f t="shared" si="4"/>
        <v>6.4999999999999503E-3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11"/>
      <c r="H17" s="10"/>
      <c r="I17" s="10">
        <f t="shared" si="5"/>
        <v>3643</v>
      </c>
      <c r="J17" s="10">
        <f t="shared" si="3"/>
        <v>46529745931.36306</v>
      </c>
      <c r="K17" s="11">
        <f t="shared" si="4"/>
        <v>6.1999999999999833E-3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11"/>
      <c r="H18" s="10"/>
      <c r="I18" s="10">
        <f t="shared" si="5"/>
        <v>3643</v>
      </c>
      <c r="J18" s="10">
        <f t="shared" si="3"/>
        <v>46243039089.011192</v>
      </c>
      <c r="K18" s="11">
        <f t="shared" si="4"/>
        <v>6.6000000000001613E-3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11"/>
      <c r="H19" s="10"/>
      <c r="I19" s="10">
        <f t="shared" si="5"/>
        <v>3643</v>
      </c>
      <c r="J19" s="10">
        <f t="shared" si="3"/>
        <v>45939836170.287292</v>
      </c>
      <c r="K19" s="11">
        <f t="shared" si="4"/>
        <v>7.3000000000000842E-3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11"/>
      <c r="H20" s="10"/>
      <c r="I20" s="10">
        <f t="shared" si="5"/>
        <v>3643</v>
      </c>
      <c r="J20" s="10">
        <f t="shared" si="3"/>
        <v>45606905758.252052</v>
      </c>
      <c r="K20" s="11">
        <f t="shared" si="4"/>
        <v>7.9000000000000181E-3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11"/>
      <c r="H21" s="10"/>
      <c r="I21" s="10">
        <f t="shared" si="5"/>
        <v>3643</v>
      </c>
      <c r="J21" s="10">
        <f t="shared" si="3"/>
        <v>45249435220.013939</v>
      </c>
      <c r="K21" s="11">
        <f t="shared" si="4"/>
        <v>8.899999999999908E-3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11"/>
      <c r="H22" s="10"/>
      <c r="I22" s="10">
        <f t="shared" si="5"/>
        <v>3643</v>
      </c>
      <c r="J22" s="10">
        <f t="shared" si="3"/>
        <v>44850267836.271126</v>
      </c>
      <c r="K22" s="11">
        <f t="shared" si="4"/>
        <v>9.8000000000000309E-3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11"/>
      <c r="H23" s="10"/>
      <c r="I23" s="10">
        <f t="shared" si="5"/>
        <v>3643</v>
      </c>
      <c r="J23" s="10">
        <f t="shared" si="3"/>
        <v>44415000828.155205</v>
      </c>
      <c r="K23" s="11">
        <f t="shared" si="4"/>
        <v>1.0699999999999932E-2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11"/>
      <c r="H24" s="10"/>
      <c r="I24" s="10">
        <f t="shared" si="5"/>
        <v>3643</v>
      </c>
      <c r="J24" s="10">
        <f t="shared" si="3"/>
        <v>43944791558.479477</v>
      </c>
      <c r="K24" s="11">
        <f t="shared" si="4"/>
        <v>1.1900000000000022E-2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11"/>
      <c r="H25" s="10"/>
      <c r="I25" s="10">
        <f t="shared" si="5"/>
        <v>3643</v>
      </c>
      <c r="J25" s="10">
        <f t="shared" si="3"/>
        <v>43427998377.783852</v>
      </c>
      <c r="K25" s="11">
        <f t="shared" si="4"/>
        <v>1.3699999999999823E-2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11"/>
      <c r="H26" s="10"/>
      <c r="I26" s="10">
        <f t="shared" si="5"/>
        <v>3643</v>
      </c>
      <c r="J26" s="10">
        <f t="shared" si="3"/>
        <v>42841075641.495369</v>
      </c>
      <c r="K26" s="11">
        <f t="shared" si="4"/>
        <v>1.5600000000000058E-2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11"/>
      <c r="H27" s="10"/>
      <c r="I27" s="10">
        <f t="shared" si="5"/>
        <v>3643</v>
      </c>
      <c r="J27" s="10">
        <f t="shared" si="3"/>
        <v>42183020521.362114</v>
      </c>
      <c r="K27" s="11">
        <f t="shared" si="4"/>
        <v>1.7300000000000093E-2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11"/>
      <c r="H28" s="10"/>
      <c r="I28" s="10">
        <f t="shared" si="5"/>
        <v>3643</v>
      </c>
      <c r="J28" s="10">
        <f t="shared" si="3"/>
        <v>41465664525.078255</v>
      </c>
      <c r="K28" s="11">
        <f t="shared" si="4"/>
        <v>1.8199999999999994E-2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11"/>
      <c r="H29" s="10"/>
      <c r="I29" s="10">
        <f t="shared" si="5"/>
        <v>3643</v>
      </c>
      <c r="J29" s="10">
        <f t="shared" si="3"/>
        <v>40724479007.148155</v>
      </c>
      <c r="K29" s="11">
        <f t="shared" si="4"/>
        <v>1.8499999999999739E-2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11"/>
      <c r="H30" s="10"/>
      <c r="I30" s="10">
        <f t="shared" si="5"/>
        <v>3643</v>
      </c>
      <c r="J30" s="10">
        <f t="shared" si="3"/>
        <v>39984760929.944199</v>
      </c>
      <c r="K30" s="11">
        <f t="shared" si="4"/>
        <v>1.880000000000015E-2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11"/>
      <c r="H31" s="10"/>
      <c r="I31" s="10">
        <f t="shared" si="5"/>
        <v>3643</v>
      </c>
      <c r="J31" s="10">
        <f t="shared" si="3"/>
        <v>39246918855.461517</v>
      </c>
      <c r="K31" s="11">
        <f t="shared" si="4"/>
        <v>1.9400000000000084E-2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11"/>
      <c r="H32" s="10"/>
      <c r="I32" s="10">
        <f t="shared" si="5"/>
        <v>3643</v>
      </c>
      <c r="J32" s="10">
        <f t="shared" si="3"/>
        <v>38500018496.626953</v>
      </c>
      <c r="K32" s="11">
        <f t="shared" si="4"/>
        <v>1.980000000000004E-2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11"/>
      <c r="H33" s="10"/>
      <c r="I33" s="10">
        <f t="shared" si="5"/>
        <v>3643</v>
      </c>
      <c r="J33" s="10">
        <f t="shared" si="3"/>
        <v>37752518627.796577</v>
      </c>
      <c r="K33" s="11">
        <f t="shared" si="4"/>
        <v>2.0199999999999996E-2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11"/>
      <c r="H34" s="10"/>
      <c r="I34" s="10">
        <f t="shared" si="5"/>
        <v>3643</v>
      </c>
      <c r="J34" s="10">
        <f t="shared" ref="J34:J65" si="6">IF(I34="","",I34*C34)</f>
        <v>37005017278.765511</v>
      </c>
      <c r="K34" s="11">
        <f t="shared" ref="K34:K65" si="7">IFERROR(J34/J35-1,"")</f>
        <v>2.0399999999999974E-2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11"/>
      <c r="H35" s="10"/>
      <c r="I35" s="10">
        <f t="shared" ref="I35:I66" si="8">IF(H35&lt;&gt;"",H35,I34/(1+IF(G34="",0,G34)))</f>
        <v>3643</v>
      </c>
      <c r="J35" s="10">
        <f t="shared" si="6"/>
        <v>36265207054.846642</v>
      </c>
      <c r="K35" s="11">
        <f t="shared" si="7"/>
        <v>2.1099999999999897E-2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11"/>
      <c r="H36" s="10"/>
      <c r="I36" s="10">
        <f t="shared" si="8"/>
        <v>3643</v>
      </c>
      <c r="J36" s="10">
        <f t="shared" si="6"/>
        <v>35515823185.629852</v>
      </c>
      <c r="K36" s="11">
        <f t="shared" si="7"/>
        <v>2.2099999999999786E-2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11"/>
      <c r="H37" s="10"/>
      <c r="I37" s="10">
        <f t="shared" si="8"/>
        <v>3643</v>
      </c>
      <c r="J37" s="10">
        <f t="shared" si="6"/>
        <v>34747894712.483963</v>
      </c>
      <c r="K37" s="11">
        <f t="shared" si="7"/>
        <v>2.2399999999999975E-2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11"/>
      <c r="H38" s="10"/>
      <c r="I38" s="10">
        <f t="shared" si="8"/>
        <v>3643</v>
      </c>
      <c r="J38" s="10">
        <f t="shared" si="6"/>
        <v>33986594984.823906</v>
      </c>
      <c r="K38" s="11">
        <f t="shared" si="7"/>
        <v>2.2699999999999942E-2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11"/>
      <c r="H39" s="10"/>
      <c r="I39" s="10">
        <f t="shared" si="8"/>
        <v>3643</v>
      </c>
      <c r="J39" s="10">
        <f t="shared" si="6"/>
        <v>33232223511.121449</v>
      </c>
      <c r="K39" s="11">
        <f t="shared" si="7"/>
        <v>2.289999999999992E-2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11"/>
      <c r="H40" s="10"/>
      <c r="I40" s="10">
        <f t="shared" si="8"/>
        <v>3643</v>
      </c>
      <c r="J40" s="10">
        <f t="shared" si="6"/>
        <v>32488242752.0984</v>
      </c>
      <c r="K40" s="11">
        <f t="shared" si="7"/>
        <v>2.3600000000000065E-2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11"/>
      <c r="H41" s="10"/>
      <c r="I41" s="10">
        <f t="shared" si="8"/>
        <v>3643</v>
      </c>
      <c r="J41" s="10">
        <f t="shared" si="6"/>
        <v>31739197686.692455</v>
      </c>
      <c r="K41" s="11">
        <f t="shared" si="7"/>
        <v>2.4399999999999977E-2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11"/>
      <c r="H42" s="10"/>
      <c r="I42" s="10">
        <f t="shared" si="8"/>
        <v>3643</v>
      </c>
      <c r="J42" s="10">
        <f t="shared" si="6"/>
        <v>30983207425.51001</v>
      </c>
      <c r="K42" s="11">
        <f t="shared" si="7"/>
        <v>2.4800000000000155E-2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11"/>
      <c r="H43" s="10"/>
      <c r="I43" s="10">
        <f t="shared" si="8"/>
        <v>3643</v>
      </c>
      <c r="J43" s="10">
        <f t="shared" si="6"/>
        <v>30233418643.159649</v>
      </c>
      <c r="K43" s="11">
        <f t="shared" si="7"/>
        <v>2.4899999999999922E-2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11"/>
      <c r="H44" s="10"/>
      <c r="I44" s="10">
        <f t="shared" si="8"/>
        <v>3643</v>
      </c>
      <c r="J44" s="10">
        <f t="shared" si="6"/>
        <v>29498896129.534248</v>
      </c>
      <c r="K44" s="11">
        <f t="shared" si="7"/>
        <v>2.4799999999999933E-2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11"/>
      <c r="H45" s="10"/>
      <c r="I45" s="10">
        <f t="shared" si="8"/>
        <v>3643</v>
      </c>
      <c r="J45" s="10">
        <f t="shared" si="6"/>
        <v>28785027448.803913</v>
      </c>
      <c r="K45" s="11">
        <f t="shared" si="7"/>
        <v>2.4900000000000144E-2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11"/>
      <c r="H46" s="10"/>
      <c r="I46" s="10">
        <f t="shared" si="8"/>
        <v>3643</v>
      </c>
      <c r="J46" s="10">
        <f t="shared" si="6"/>
        <v>28085693676.264915</v>
      </c>
      <c r="K46" s="11">
        <f t="shared" si="7"/>
        <v>2.4999999999999911E-2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11"/>
      <c r="H47" s="10"/>
      <c r="I47" s="10">
        <f t="shared" si="8"/>
        <v>3643</v>
      </c>
      <c r="J47" s="10">
        <f t="shared" si="6"/>
        <v>27400676757.331627</v>
      </c>
      <c r="K47" s="11">
        <f t="shared" si="7"/>
        <v>2.4899999999999922E-2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11"/>
      <c r="H48" s="10"/>
      <c r="I48" s="10">
        <f t="shared" si="8"/>
        <v>3643</v>
      </c>
      <c r="J48" s="10">
        <f t="shared" si="6"/>
        <v>26734975858.456074</v>
      </c>
      <c r="K48" s="11">
        <f t="shared" si="7"/>
        <v>2.4900000000000144E-2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11"/>
      <c r="H49" s="10"/>
      <c r="I49" s="10">
        <f t="shared" si="8"/>
        <v>3643</v>
      </c>
      <c r="J49" s="10">
        <f t="shared" si="6"/>
        <v>26085448198.317955</v>
      </c>
      <c r="K49" s="11">
        <f t="shared" si="7"/>
        <v>2.4699999999999944E-2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11"/>
      <c r="H50" s="10"/>
      <c r="I50" s="10">
        <f t="shared" si="8"/>
        <v>3643</v>
      </c>
      <c r="J50" s="10">
        <f t="shared" si="6"/>
        <v>25456668486.696552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11"/>
      <c r="H51" s="10"/>
      <c r="I51" s="10">
        <f t="shared" si="8"/>
        <v>3643</v>
      </c>
      <c r="J51" s="10">
        <f t="shared" si="6"/>
        <v>24843045268.563046</v>
      </c>
      <c r="K51" s="11">
        <f t="shared" si="7"/>
        <v>2.4899999999999922E-2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11"/>
      <c r="H52" s="10"/>
      <c r="I52" s="10">
        <f t="shared" si="8"/>
        <v>3643</v>
      </c>
      <c r="J52" s="10">
        <f t="shared" si="6"/>
        <v>24239482162.711533</v>
      </c>
      <c r="K52" s="11">
        <f t="shared" si="7"/>
        <v>2.53000000000001E-2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11"/>
      <c r="H53" s="10"/>
      <c r="I53" s="10">
        <f t="shared" si="8"/>
        <v>3643</v>
      </c>
      <c r="J53" s="10">
        <f t="shared" si="6"/>
        <v>23641355859.467014</v>
      </c>
      <c r="K53" s="11">
        <f t="shared" si="7"/>
        <v>2.5900000000000034E-2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11"/>
      <c r="H54" s="10"/>
      <c r="I54" s="10">
        <f t="shared" si="8"/>
        <v>3643</v>
      </c>
      <c r="J54" s="10">
        <f t="shared" si="6"/>
        <v>23044503225.915794</v>
      </c>
      <c r="K54" s="11">
        <f t="shared" si="7"/>
        <v>2.6499999999999968E-2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11"/>
      <c r="H55" s="10"/>
      <c r="I55" s="10">
        <f t="shared" si="8"/>
        <v>3643</v>
      </c>
      <c r="J55" s="10">
        <f t="shared" si="6"/>
        <v>22449589114.384605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11"/>
      <c r="H56" s="10"/>
      <c r="I56" s="10">
        <f t="shared" si="8"/>
        <v>3643</v>
      </c>
      <c r="J56" s="10">
        <f t="shared" si="6"/>
        <v>21910588633.988487</v>
      </c>
      <c r="K56" s="11">
        <f t="shared" si="7"/>
        <v>2.50999999999999E-2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11"/>
      <c r="H57" s="10"/>
      <c r="I57" s="10">
        <f t="shared" si="8"/>
        <v>3643</v>
      </c>
      <c r="J57" s="10">
        <f t="shared" si="6"/>
        <v>21374098755.232162</v>
      </c>
      <c r="K57" s="11">
        <f t="shared" si="7"/>
        <v>2.7900000000000036E-2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11"/>
      <c r="H58" s="10"/>
      <c r="I58" s="10">
        <f t="shared" si="8"/>
        <v>3643</v>
      </c>
      <c r="J58" s="10">
        <f t="shared" si="6"/>
        <v>20793947616.725521</v>
      </c>
      <c r="K58" s="11">
        <f t="shared" si="7"/>
        <v>2.8100000000000014E-2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11"/>
      <c r="H59" s="10"/>
      <c r="I59" s="10">
        <f t="shared" si="8"/>
        <v>3643</v>
      </c>
      <c r="J59" s="10">
        <f t="shared" si="6"/>
        <v>20225608031.052933</v>
      </c>
      <c r="K59" s="11">
        <f t="shared" si="7"/>
        <v>2.829999999999977E-2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11"/>
      <c r="H60" s="10"/>
      <c r="I60" s="10">
        <f t="shared" si="8"/>
        <v>3643</v>
      </c>
      <c r="J60" s="10">
        <f t="shared" si="6"/>
        <v>19668976009.970764</v>
      </c>
      <c r="K60" s="11">
        <f t="shared" si="7"/>
        <v>2.849999999999997E-2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11"/>
      <c r="H61" s="10"/>
      <c r="I61" s="10">
        <f t="shared" si="8"/>
        <v>3643</v>
      </c>
      <c r="J61" s="10">
        <f t="shared" si="6"/>
        <v>19123943616.889416</v>
      </c>
      <c r="K61" s="11">
        <f t="shared" si="7"/>
        <v>2.870000000000017E-2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11"/>
      <c r="H62" s="10"/>
      <c r="I62" s="10">
        <f t="shared" si="8"/>
        <v>3643</v>
      </c>
      <c r="J62" s="10">
        <f t="shared" si="6"/>
        <v>18590399160.969585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11"/>
      <c r="H63" s="10"/>
      <c r="I63" s="10">
        <f t="shared" si="8"/>
        <v>3643</v>
      </c>
      <c r="J63" s="10">
        <f t="shared" si="6"/>
        <v>18068227389.415482</v>
      </c>
      <c r="K63" s="11">
        <f t="shared" si="7"/>
        <v>2.8999999999999915E-2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11"/>
      <c r="H64" s="10"/>
      <c r="I64" s="10">
        <f t="shared" si="8"/>
        <v>3643</v>
      </c>
      <c r="J64" s="10">
        <f t="shared" si="6"/>
        <v>17559015927.517475</v>
      </c>
      <c r="K64" s="11">
        <f t="shared" si="7"/>
        <v>2.9099999999999904E-2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11"/>
      <c r="H65" s="10"/>
      <c r="I65" s="10">
        <f t="shared" si="8"/>
        <v>3643</v>
      </c>
      <c r="J65" s="10">
        <f t="shared" si="6"/>
        <v>17062497257.329199</v>
      </c>
      <c r="K65" s="11">
        <f t="shared" si="7"/>
        <v>2.9199999999999893E-2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6">
        <f>SUM(F2)</f>
        <v>15105090</v>
      </c>
      <c r="G66" s="11"/>
      <c r="H66" s="10"/>
      <c r="I66" s="10">
        <f t="shared" si="8"/>
        <v>3643</v>
      </c>
      <c r="J66" s="10">
        <f t="shared" ref="J66:J97" si="9">IF(I66="","",I66*C66)</f>
        <v>16578407751</v>
      </c>
      <c r="K66" s="11">
        <f t="shared" ref="K66:K97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11"/>
      <c r="H67" s="10"/>
      <c r="I67" s="10">
        <f t="shared" ref="I67:I98" si="11">IF(H67&lt;&gt;"",H67,I66/(1+IF(G66="",0,G66)))</f>
        <v>3643</v>
      </c>
      <c r="J67" s="10">
        <f t="shared" si="9"/>
        <v>16414265100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5">
        <v>8002152</v>
      </c>
      <c r="G2" s="11"/>
      <c r="H2" s="10"/>
      <c r="I2" s="10">
        <f>IF(H2&lt;&gt;"",H2,20635)</f>
        <v>20635</v>
      </c>
      <c r="J2" s="10">
        <f t="shared" ref="J2:J33" si="3">IF(I2="","",I2*C2)</f>
        <v>165161543618.46582</v>
      </c>
      <c r="K2" s="11">
        <f t="shared" ref="K2:K33" si="4">IFERROR(J2/J3-1,"")</f>
        <v>1.2219999999999898E-2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11"/>
      <c r="H3" s="10"/>
      <c r="I3" s="10">
        <f t="shared" ref="I3:I34" si="5">IF(H3&lt;&gt;"",H3,I2/(1+IF(G2="",0,G2)))</f>
        <v>20635</v>
      </c>
      <c r="J3" s="10">
        <f t="shared" si="3"/>
        <v>163167635117.33203</v>
      </c>
      <c r="K3" s="11">
        <f t="shared" si="4"/>
        <v>1.2350000000000083E-2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11"/>
      <c r="H4" s="10"/>
      <c r="I4" s="10">
        <f t="shared" si="5"/>
        <v>20635</v>
      </c>
      <c r="J4" s="10">
        <f t="shared" si="3"/>
        <v>161177097957.55621</v>
      </c>
      <c r="K4" s="11">
        <f t="shared" si="4"/>
        <v>1.4340000000000019E-2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11"/>
      <c r="H5" s="10"/>
      <c r="I5" s="10">
        <f t="shared" si="5"/>
        <v>20635</v>
      </c>
      <c r="J5" s="10">
        <f t="shared" si="3"/>
        <v>158898493559.90714</v>
      </c>
      <c r="K5" s="11">
        <f t="shared" si="4"/>
        <v>2.0259999999999945E-2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11"/>
      <c r="H6" s="10"/>
      <c r="I6" s="10">
        <f t="shared" si="5"/>
        <v>20635</v>
      </c>
      <c r="J6" s="10">
        <f t="shared" si="3"/>
        <v>155743137592.28741</v>
      </c>
      <c r="K6" s="11">
        <f t="shared" si="4"/>
        <v>2.2180000000000311E-2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11"/>
      <c r="H7" s="10"/>
      <c r="I7" s="10">
        <f t="shared" si="5"/>
        <v>20635</v>
      </c>
      <c r="J7" s="10">
        <f t="shared" si="3"/>
        <v>152363710493.54065</v>
      </c>
      <c r="K7" s="11">
        <f t="shared" si="4"/>
        <v>1.8809999999999993E-2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11"/>
      <c r="H8" s="10"/>
      <c r="I8" s="10">
        <f t="shared" si="5"/>
        <v>20635</v>
      </c>
      <c r="J8" s="10">
        <f t="shared" si="3"/>
        <v>149550662531.32642</v>
      </c>
      <c r="K8" s="11">
        <f t="shared" si="4"/>
        <v>2.4429999999999952E-2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11"/>
      <c r="H9" s="10"/>
      <c r="I9" s="10">
        <f t="shared" si="5"/>
        <v>20635</v>
      </c>
      <c r="J9" s="10">
        <f t="shared" si="3"/>
        <v>145984266891.17502</v>
      </c>
      <c r="K9" s="11">
        <f t="shared" si="4"/>
        <v>4.2089999999999961E-2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11"/>
      <c r="H10" s="10"/>
      <c r="I10" s="10">
        <f t="shared" si="5"/>
        <v>20635</v>
      </c>
      <c r="J10" s="10">
        <f t="shared" si="3"/>
        <v>140087964466.76874</v>
      </c>
      <c r="K10" s="11">
        <f t="shared" si="4"/>
        <v>4.7479999999999967E-2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11"/>
      <c r="H11" s="10"/>
      <c r="I11" s="10">
        <f t="shared" si="5"/>
        <v>20635</v>
      </c>
      <c r="J11" s="10">
        <f t="shared" si="3"/>
        <v>133738080408.95171</v>
      </c>
      <c r="K11" s="11">
        <f t="shared" si="4"/>
        <v>3.6470000000000002E-2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11"/>
      <c r="H12" s="10"/>
      <c r="I12" s="10">
        <f t="shared" si="5"/>
        <v>20635</v>
      </c>
      <c r="J12" s="10">
        <f t="shared" si="3"/>
        <v>129032273398.12219</v>
      </c>
      <c r="K12" s="11">
        <f t="shared" si="4"/>
        <v>2.7329999999999854E-2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11"/>
      <c r="H13" s="10"/>
      <c r="I13" s="10">
        <f t="shared" si="5"/>
        <v>20635</v>
      </c>
      <c r="J13" s="10">
        <f t="shared" si="3"/>
        <v>125599635363.63408</v>
      </c>
      <c r="K13" s="11">
        <f t="shared" si="4"/>
        <v>1.7859999999999987E-2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11"/>
      <c r="H14" s="10"/>
      <c r="I14" s="10">
        <f t="shared" si="5"/>
        <v>20635</v>
      </c>
      <c r="J14" s="10">
        <f t="shared" si="3"/>
        <v>123395786614.69562</v>
      </c>
      <c r="K14" s="11">
        <f t="shared" si="4"/>
        <v>-1.3299999999999423E-3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11"/>
      <c r="H15" s="10"/>
      <c r="I15" s="10">
        <f t="shared" si="5"/>
        <v>20635</v>
      </c>
      <c r="J15" s="10">
        <f t="shared" si="3"/>
        <v>123560121576.39221</v>
      </c>
      <c r="K15" s="11">
        <f t="shared" si="4"/>
        <v>-2.8500000000001302E-3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11"/>
      <c r="H16" s="10"/>
      <c r="I16" s="10">
        <f t="shared" si="5"/>
        <v>20635</v>
      </c>
      <c r="J16" s="10">
        <f t="shared" si="3"/>
        <v>123913274408.45633</v>
      </c>
      <c r="K16" s="11">
        <f t="shared" si="4"/>
        <v>1.780000000000026E-2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11"/>
      <c r="H17" s="10"/>
      <c r="I17" s="10">
        <f t="shared" si="5"/>
        <v>20635</v>
      </c>
      <c r="J17" s="10">
        <f t="shared" si="3"/>
        <v>121746192187.51848</v>
      </c>
      <c r="K17" s="11">
        <f t="shared" si="4"/>
        <v>2.1949999999999914E-2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11"/>
      <c r="H18" s="10"/>
      <c r="I18" s="10">
        <f t="shared" si="5"/>
        <v>20635</v>
      </c>
      <c r="J18" s="10">
        <f t="shared" si="3"/>
        <v>119131261008.38445</v>
      </c>
      <c r="K18" s="11">
        <f t="shared" si="4"/>
        <v>1.2299999999999756E-2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11"/>
      <c r="H19" s="10"/>
      <c r="I19" s="10">
        <f t="shared" si="5"/>
        <v>20635</v>
      </c>
      <c r="J19" s="10">
        <f t="shared" si="3"/>
        <v>117683750872.65086</v>
      </c>
      <c r="K19" s="11">
        <f t="shared" si="4"/>
        <v>2.0890000000000075E-2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11"/>
      <c r="H20" s="10"/>
      <c r="I20" s="10">
        <f t="shared" si="5"/>
        <v>20635</v>
      </c>
      <c r="J20" s="10">
        <f t="shared" si="3"/>
        <v>115275642696.71645</v>
      </c>
      <c r="K20" s="11">
        <f t="shared" si="4"/>
        <v>3.3750000000000169E-2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11"/>
      <c r="H21" s="10"/>
      <c r="I21" s="10">
        <f t="shared" si="5"/>
        <v>20635</v>
      </c>
      <c r="J21" s="10">
        <f t="shared" si="3"/>
        <v>111512109017.37987</v>
      </c>
      <c r="K21" s="11">
        <f t="shared" si="4"/>
        <v>3.711999999999982E-2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11"/>
      <c r="H22" s="10"/>
      <c r="I22" s="10">
        <f t="shared" si="5"/>
        <v>20635</v>
      </c>
      <c r="J22" s="10">
        <f t="shared" si="3"/>
        <v>107520932020.76894</v>
      </c>
      <c r="K22" s="11">
        <f t="shared" si="4"/>
        <v>3.5619999999999985E-2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11"/>
      <c r="H23" s="10"/>
      <c r="I23" s="10">
        <f t="shared" si="5"/>
        <v>20635</v>
      </c>
      <c r="J23" s="10">
        <f t="shared" si="3"/>
        <v>103822765126.94708</v>
      </c>
      <c r="K23" s="11">
        <f t="shared" si="4"/>
        <v>3.0950000000000033E-2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11"/>
      <c r="H24" s="10"/>
      <c r="I24" s="10">
        <f t="shared" si="5"/>
        <v>20635</v>
      </c>
      <c r="J24" s="10">
        <f t="shared" si="3"/>
        <v>100705916995.92325</v>
      </c>
      <c r="K24" s="11">
        <f t="shared" si="4"/>
        <v>2.8359999999999719E-2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11"/>
      <c r="H25" s="10"/>
      <c r="I25" s="10">
        <f t="shared" si="5"/>
        <v>20635</v>
      </c>
      <c r="J25" s="10">
        <f t="shared" si="3"/>
        <v>97928660192.853928</v>
      </c>
      <c r="K25" s="11">
        <f t="shared" si="4"/>
        <v>2.7509999999999923E-2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11"/>
      <c r="H26" s="10"/>
      <c r="I26" s="10">
        <f t="shared" si="5"/>
        <v>20635</v>
      </c>
      <c r="J26" s="10">
        <f t="shared" si="3"/>
        <v>95306770924.715027</v>
      </c>
      <c r="K26" s="11">
        <f t="shared" si="4"/>
        <v>2.9200000000000115E-2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11"/>
      <c r="H27" s="10"/>
      <c r="I27" s="10">
        <f t="shared" si="5"/>
        <v>20635</v>
      </c>
      <c r="J27" s="10">
        <f t="shared" si="3"/>
        <v>92602770039.559875</v>
      </c>
      <c r="K27" s="11">
        <f t="shared" si="4"/>
        <v>3.3500000000000085E-2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11"/>
      <c r="H28" s="10"/>
      <c r="I28" s="10">
        <f t="shared" si="5"/>
        <v>20635</v>
      </c>
      <c r="J28" s="10">
        <f t="shared" si="3"/>
        <v>89601132113.749268</v>
      </c>
      <c r="K28" s="11">
        <f t="shared" si="4"/>
        <v>3.4049999999999914E-2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11"/>
      <c r="H29" s="10"/>
      <c r="I29" s="10">
        <f t="shared" si="5"/>
        <v>20635</v>
      </c>
      <c r="J29" s="10">
        <f t="shared" si="3"/>
        <v>86650676576.325394</v>
      </c>
      <c r="K29" s="11">
        <f t="shared" si="4"/>
        <v>2.7789999999999981E-2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11"/>
      <c r="H30" s="10"/>
      <c r="I30" s="10">
        <f t="shared" si="5"/>
        <v>20635</v>
      </c>
      <c r="J30" s="10">
        <f t="shared" si="3"/>
        <v>84307763819.77388</v>
      </c>
      <c r="K30" s="11">
        <f t="shared" si="4"/>
        <v>2.0019999999999927E-2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11"/>
      <c r="H31" s="10"/>
      <c r="I31" s="10">
        <f t="shared" si="5"/>
        <v>20635</v>
      </c>
      <c r="J31" s="10">
        <f t="shared" si="3"/>
        <v>82653049763.508453</v>
      </c>
      <c r="K31" s="11">
        <f t="shared" si="4"/>
        <v>6.6399999999999793E-3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11"/>
      <c r="H32" s="10"/>
      <c r="I32" s="10">
        <f t="shared" si="5"/>
        <v>20635</v>
      </c>
      <c r="J32" s="10">
        <f t="shared" si="3"/>
        <v>82107853615.501526</v>
      </c>
      <c r="K32" s="11">
        <f t="shared" si="4"/>
        <v>3.6999999999998145E-4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11"/>
      <c r="H33" s="10"/>
      <c r="I33" s="10">
        <f t="shared" si="5"/>
        <v>20635</v>
      </c>
      <c r="J33" s="10">
        <f t="shared" si="3"/>
        <v>82077484946.071472</v>
      </c>
      <c r="K33" s="11">
        <f t="shared" si="4"/>
        <v>1.0000000000000009E-2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11"/>
      <c r="H34" s="10"/>
      <c r="I34" s="10">
        <f t="shared" si="5"/>
        <v>20635</v>
      </c>
      <c r="J34" s="10">
        <f t="shared" ref="J34:J65" si="6">IF(I34="","",I34*C34)</f>
        <v>81264836580.268784</v>
      </c>
      <c r="K34" s="11">
        <f t="shared" ref="K34:K65" si="7">IFERROR(J34/J35-1,"")</f>
        <v>1.5889999999999738E-2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11"/>
      <c r="H35" s="10"/>
      <c r="I35" s="10">
        <f t="shared" ref="I35:I66" si="8">IF(H35&lt;&gt;"",H35,I34/(1+IF(G34="",0,G34)))</f>
        <v>20635</v>
      </c>
      <c r="J35" s="10">
        <f t="shared" si="6"/>
        <v>79993736113.426453</v>
      </c>
      <c r="K35" s="11">
        <f t="shared" si="7"/>
        <v>2.8329999999999966E-2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11"/>
      <c r="H36" s="10"/>
      <c r="I36" s="10">
        <f t="shared" si="8"/>
        <v>20635</v>
      </c>
      <c r="J36" s="10">
        <f t="shared" si="6"/>
        <v>77789946917.260468</v>
      </c>
      <c r="K36" s="11">
        <f t="shared" si="7"/>
        <v>4.6140000000000292E-2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11"/>
      <c r="H37" s="10"/>
      <c r="I37" s="10">
        <f t="shared" si="8"/>
        <v>20635</v>
      </c>
      <c r="J37" s="10">
        <f t="shared" si="6"/>
        <v>74359021657.962082</v>
      </c>
      <c r="K37" s="11">
        <f t="shared" si="7"/>
        <v>2.9470000000000107E-2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11"/>
      <c r="H38" s="10"/>
      <c r="I38" s="10">
        <f t="shared" si="8"/>
        <v>20635</v>
      </c>
      <c r="J38" s="10">
        <f t="shared" si="6"/>
        <v>72230392005.558273</v>
      </c>
      <c r="K38" s="11">
        <f t="shared" si="7"/>
        <v>1.1239999999999917E-2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11"/>
      <c r="H39" s="10"/>
      <c r="I39" s="10">
        <f t="shared" si="8"/>
        <v>20635</v>
      </c>
      <c r="J39" s="10">
        <f t="shared" si="6"/>
        <v>71427546384.199875</v>
      </c>
      <c r="K39" s="11">
        <f t="shared" si="7"/>
        <v>1.1970000000000036E-2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11"/>
      <c r="H40" s="10"/>
      <c r="I40" s="10">
        <f t="shared" si="8"/>
        <v>20635</v>
      </c>
      <c r="J40" s="10">
        <f t="shared" si="6"/>
        <v>70582671802.721298</v>
      </c>
      <c r="K40" s="11">
        <f t="shared" si="7"/>
        <v>1.2799999999999923E-2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11"/>
      <c r="H41" s="10"/>
      <c r="I41" s="10">
        <f t="shared" si="8"/>
        <v>20635</v>
      </c>
      <c r="J41" s="10">
        <f t="shared" si="6"/>
        <v>69690631716.746948</v>
      </c>
      <c r="K41" s="11">
        <f t="shared" si="7"/>
        <v>1.3800000000000034E-2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11"/>
      <c r="H42" s="10"/>
      <c r="I42" s="10">
        <f t="shared" si="8"/>
        <v>20635</v>
      </c>
      <c r="J42" s="10">
        <f t="shared" si="6"/>
        <v>68741992224.054993</v>
      </c>
      <c r="K42" s="11">
        <f t="shared" si="7"/>
        <v>1.4410000000000034E-2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11"/>
      <c r="H43" s="10"/>
      <c r="I43" s="10">
        <f t="shared" si="8"/>
        <v>20635</v>
      </c>
      <c r="J43" s="10">
        <f t="shared" si="6"/>
        <v>67765491491.660164</v>
      </c>
      <c r="K43" s="11">
        <f t="shared" si="7"/>
        <v>1.5309999999999935E-2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11"/>
      <c r="H44" s="10"/>
      <c r="I44" s="10">
        <f t="shared" si="8"/>
        <v>20635</v>
      </c>
      <c r="J44" s="10">
        <f t="shared" si="6"/>
        <v>66743646267.307686</v>
      </c>
      <c r="K44" s="11">
        <f t="shared" si="7"/>
        <v>1.6210000000000058E-2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11"/>
      <c r="H45" s="10"/>
      <c r="I45" s="10">
        <f t="shared" si="8"/>
        <v>20635</v>
      </c>
      <c r="J45" s="10">
        <f t="shared" si="6"/>
        <v>65678989841.96936</v>
      </c>
      <c r="K45" s="11">
        <f t="shared" si="7"/>
        <v>1.6610000000000014E-2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11"/>
      <c r="H46" s="10"/>
      <c r="I46" s="10">
        <f t="shared" si="8"/>
        <v>20635</v>
      </c>
      <c r="J46" s="10">
        <f t="shared" si="6"/>
        <v>64605886074.275642</v>
      </c>
      <c r="K46" s="11">
        <f t="shared" si="7"/>
        <v>1.6850000000000254E-2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11"/>
      <c r="H47" s="10"/>
      <c r="I47" s="10">
        <f t="shared" si="8"/>
        <v>20635</v>
      </c>
      <c r="J47" s="10">
        <f t="shared" si="6"/>
        <v>63535315999.681007</v>
      </c>
      <c r="K47" s="11">
        <f t="shared" si="7"/>
        <v>1.8119999999999692E-2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11"/>
      <c r="H48" s="10"/>
      <c r="I48" s="10">
        <f t="shared" si="8"/>
        <v>20635</v>
      </c>
      <c r="J48" s="10">
        <f t="shared" si="6"/>
        <v>62404545632.814423</v>
      </c>
      <c r="K48" s="11">
        <f t="shared" si="7"/>
        <v>1.9940000000000291E-2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11"/>
      <c r="H49" s="10"/>
      <c r="I49" s="10">
        <f t="shared" si="8"/>
        <v>20635</v>
      </c>
      <c r="J49" s="10">
        <f t="shared" si="6"/>
        <v>61184526180.769859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11"/>
      <c r="H50" s="10"/>
      <c r="I50" s="10">
        <f t="shared" si="8"/>
        <v>20635</v>
      </c>
      <c r="J50" s="10">
        <f t="shared" si="6"/>
        <v>59896746138.785957</v>
      </c>
      <c r="K50" s="11">
        <f t="shared" si="7"/>
        <v>2.3200000000000109E-2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11"/>
      <c r="H51" s="10"/>
      <c r="I51" s="10">
        <f t="shared" si="8"/>
        <v>20635</v>
      </c>
      <c r="J51" s="10">
        <f t="shared" si="6"/>
        <v>58538649471.057419</v>
      </c>
      <c r="K51" s="11">
        <f t="shared" si="7"/>
        <v>2.479000000000009E-2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11"/>
      <c r="H52" s="10"/>
      <c r="I52" s="10">
        <f t="shared" si="8"/>
        <v>20635</v>
      </c>
      <c r="J52" s="10">
        <f t="shared" si="6"/>
        <v>57122580695.613167</v>
      </c>
      <c r="K52" s="11">
        <f t="shared" si="7"/>
        <v>2.6170000000000027E-2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11"/>
      <c r="H53" s="10"/>
      <c r="I53" s="10">
        <f t="shared" si="8"/>
        <v>20635</v>
      </c>
      <c r="J53" s="10">
        <f t="shared" si="6"/>
        <v>55665806538.500603</v>
      </c>
      <c r="K53" s="11">
        <f t="shared" si="7"/>
        <v>2.7320000000000011E-2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11"/>
      <c r="H54" s="10"/>
      <c r="I54" s="10">
        <f t="shared" si="8"/>
        <v>20635</v>
      </c>
      <c r="J54" s="10">
        <f t="shared" si="6"/>
        <v>54185459777.382515</v>
      </c>
      <c r="K54" s="11">
        <f t="shared" si="7"/>
        <v>2.8310000000000057E-2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11"/>
      <c r="H55" s="10"/>
      <c r="I55" s="10">
        <f t="shared" si="8"/>
        <v>20635</v>
      </c>
      <c r="J55" s="10">
        <f t="shared" si="6"/>
        <v>52693701099.26239</v>
      </c>
      <c r="K55" s="11">
        <f t="shared" si="7"/>
        <v>2.9349999999999987E-2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11"/>
      <c r="H56" s="10"/>
      <c r="I56" s="10">
        <f t="shared" si="8"/>
        <v>20635</v>
      </c>
      <c r="J56" s="10">
        <f t="shared" si="6"/>
        <v>51191238256.435989</v>
      </c>
      <c r="K56" s="11">
        <f t="shared" si="7"/>
        <v>3.0480000000000063E-2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11"/>
      <c r="H57" s="10"/>
      <c r="I57" s="10">
        <f t="shared" si="8"/>
        <v>20635</v>
      </c>
      <c r="J57" s="10">
        <f t="shared" si="6"/>
        <v>49677080832.656609</v>
      </c>
      <c r="K57" s="11">
        <f t="shared" si="7"/>
        <v>3.1730000000000036E-2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11"/>
      <c r="H58" s="10"/>
      <c r="I58" s="10">
        <f t="shared" si="8"/>
        <v>20635</v>
      </c>
      <c r="J58" s="10">
        <f t="shared" si="6"/>
        <v>48149303434.674385</v>
      </c>
      <c r="K58" s="11">
        <f t="shared" si="7"/>
        <v>3.3020000000000049E-2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11"/>
      <c r="H59" s="10"/>
      <c r="I59" s="10">
        <f t="shared" si="8"/>
        <v>20635</v>
      </c>
      <c r="J59" s="10">
        <f t="shared" si="6"/>
        <v>46610233523.721115</v>
      </c>
      <c r="K59" s="11">
        <f t="shared" si="7"/>
        <v>3.4499999999999975E-2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11"/>
      <c r="H60" s="10"/>
      <c r="I60" s="10">
        <f t="shared" si="8"/>
        <v>20635</v>
      </c>
      <c r="J60" s="10">
        <f t="shared" si="6"/>
        <v>45055808142.794701</v>
      </c>
      <c r="K60" s="11">
        <f t="shared" si="7"/>
        <v>4.2950000000000044E-2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11"/>
      <c r="H61" s="10"/>
      <c r="I61" s="10">
        <f t="shared" si="8"/>
        <v>20635</v>
      </c>
      <c r="J61" s="10">
        <f t="shared" si="6"/>
        <v>43200352982.208832</v>
      </c>
      <c r="K61" s="11">
        <f t="shared" si="7"/>
        <v>5.1779999999999937E-2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11"/>
      <c r="H62" s="10"/>
      <c r="I62" s="10">
        <f t="shared" si="8"/>
        <v>20635</v>
      </c>
      <c r="J62" s="10">
        <f t="shared" si="6"/>
        <v>41073563846.250008</v>
      </c>
      <c r="K62" s="11">
        <f t="shared" si="7"/>
        <v>5.2610000000000046E-2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11"/>
      <c r="H63" s="10"/>
      <c r="I63" s="10">
        <f t="shared" si="8"/>
        <v>20635</v>
      </c>
      <c r="J63" s="10">
        <f t="shared" si="6"/>
        <v>39020685577.991852</v>
      </c>
      <c r="K63" s="11">
        <f t="shared" si="7"/>
        <v>5.3080000000000238E-2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11"/>
      <c r="H64" s="10"/>
      <c r="I64" s="10">
        <f t="shared" si="8"/>
        <v>20635</v>
      </c>
      <c r="J64" s="10">
        <f t="shared" si="6"/>
        <v>37053866352.026291</v>
      </c>
      <c r="K64" s="11">
        <f t="shared" si="7"/>
        <v>5.3119999999999834E-2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11"/>
      <c r="H65" s="10"/>
      <c r="I65" s="10">
        <f t="shared" si="8"/>
        <v>20635</v>
      </c>
      <c r="J65" s="10">
        <f t="shared" si="6"/>
        <v>35184847265.293884</v>
      </c>
      <c r="K65" s="11">
        <f t="shared" si="7"/>
        <v>5.3109999999999991E-2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6">
        <f>SUM(F2)</f>
        <v>8002152</v>
      </c>
      <c r="G66" s="11"/>
      <c r="H66" s="10"/>
      <c r="I66" s="10">
        <f t="shared" si="8"/>
        <v>20635</v>
      </c>
      <c r="J66" s="10">
        <f t="shared" ref="J66:J97" si="9">IF(I66="","",I66*C66)</f>
        <v>33410419866.200001</v>
      </c>
      <c r="K66" s="11">
        <f t="shared" ref="K66:K97" si="10">IFERROR(J66/J67-1,"")</f>
        <v>5.2740000000000009E-2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11"/>
      <c r="H67" s="10"/>
      <c r="I67" s="10">
        <f t="shared" ref="I67:I98" si="11">IF(H67&lt;&gt;"",H67,I66/(1+IF(G66="",0,G66)))</f>
        <v>20635</v>
      </c>
      <c r="J67" s="10">
        <f t="shared" si="9"/>
        <v>31736630000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6">
        <v>6257140</v>
      </c>
      <c r="G2" s="11"/>
      <c r="H2" s="10"/>
      <c r="I2" s="10">
        <f>IF(H2&lt;&gt;"",H2,3655)</f>
        <v>3655</v>
      </c>
      <c r="J2" s="10">
        <f t="shared" ref="J2:J33" si="3">IF(I2="","",I2*C2)</f>
        <v>22871337047.611996</v>
      </c>
      <c r="K2" s="11">
        <f t="shared" ref="K2:K33" si="4">IFERROR(J2/J3-1,"")</f>
        <v>2.2810000000000219E-2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11"/>
      <c r="H3" s="10"/>
      <c r="I3" s="10">
        <f t="shared" ref="I3:I34" si="5">IF(H3&lt;&gt;"",H3,I2/(1+IF(G2="",0,G2)))</f>
        <v>3655</v>
      </c>
      <c r="J3" s="10">
        <f t="shared" si="3"/>
        <v>22361276334.423786</v>
      </c>
      <c r="K3" s="11">
        <f t="shared" si="4"/>
        <v>2.3339999999999916E-2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11"/>
      <c r="H4" s="10"/>
      <c r="I4" s="10">
        <f t="shared" si="5"/>
        <v>3655</v>
      </c>
      <c r="J4" s="10">
        <f t="shared" si="3"/>
        <v>21851267745.24966</v>
      </c>
      <c r="K4" s="11">
        <f t="shared" si="4"/>
        <v>2.3959999999999981E-2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11"/>
      <c r="H5" s="10"/>
      <c r="I5" s="10">
        <f t="shared" si="5"/>
        <v>3655</v>
      </c>
      <c r="J5" s="10">
        <f t="shared" si="3"/>
        <v>21339962249.74575</v>
      </c>
      <c r="K5" s="11">
        <f t="shared" si="4"/>
        <v>2.4219999999999908E-2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11"/>
      <c r="H6" s="10"/>
      <c r="I6" s="10">
        <f t="shared" si="5"/>
        <v>3655</v>
      </c>
      <c r="J6" s="10">
        <f t="shared" si="3"/>
        <v>20835330543.970779</v>
      </c>
      <c r="K6" s="11">
        <f t="shared" si="4"/>
        <v>2.4169999999999803E-2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11"/>
      <c r="H7" s="10"/>
      <c r="I7" s="10">
        <f t="shared" si="5"/>
        <v>3655</v>
      </c>
      <c r="J7" s="10">
        <f t="shared" si="3"/>
        <v>20343625124.706623</v>
      </c>
      <c r="K7" s="11">
        <f t="shared" si="4"/>
        <v>2.3919999999999941E-2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11"/>
      <c r="H8" s="10"/>
      <c r="I8" s="10">
        <f t="shared" si="5"/>
        <v>3655</v>
      </c>
      <c r="J8" s="10">
        <f t="shared" si="3"/>
        <v>19868373627.535965</v>
      </c>
      <c r="K8" s="11">
        <f t="shared" si="4"/>
        <v>2.4750000000000272E-2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11"/>
      <c r="H9" s="10"/>
      <c r="I9" s="10">
        <f t="shared" si="5"/>
        <v>3655</v>
      </c>
      <c r="J9" s="10">
        <f t="shared" si="3"/>
        <v>19388508053.218796</v>
      </c>
      <c r="K9" s="11">
        <f t="shared" si="4"/>
        <v>2.5160000000000071E-2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11"/>
      <c r="H10" s="10"/>
      <c r="I10" s="10">
        <f t="shared" si="5"/>
        <v>3655</v>
      </c>
      <c r="J10" s="10">
        <f t="shared" si="3"/>
        <v>18912665391.957153</v>
      </c>
      <c r="K10" s="11">
        <f t="shared" si="4"/>
        <v>2.5600000000000067E-2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11"/>
      <c r="H11" s="10"/>
      <c r="I11" s="10">
        <f t="shared" si="5"/>
        <v>3655</v>
      </c>
      <c r="J11" s="10">
        <f t="shared" si="3"/>
        <v>18440586380.613449</v>
      </c>
      <c r="K11" s="11">
        <f t="shared" si="4"/>
        <v>2.5959999999999983E-2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11"/>
      <c r="H12" s="10"/>
      <c r="I12" s="10">
        <f t="shared" si="5"/>
        <v>3655</v>
      </c>
      <c r="J12" s="10">
        <f t="shared" si="3"/>
        <v>17973981812.754345</v>
      </c>
      <c r="K12" s="11">
        <f t="shared" si="4"/>
        <v>2.6040000000000063E-2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11"/>
      <c r="H13" s="10"/>
      <c r="I13" s="10">
        <f t="shared" si="5"/>
        <v>3655</v>
      </c>
      <c r="J13" s="10">
        <f t="shared" si="3"/>
        <v>17517817836.297165</v>
      </c>
      <c r="K13" s="11">
        <f t="shared" si="4"/>
        <v>2.6419999999999888E-2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11"/>
      <c r="H14" s="10"/>
      <c r="I14" s="10">
        <f t="shared" si="5"/>
        <v>3655</v>
      </c>
      <c r="J14" s="10">
        <f t="shared" si="3"/>
        <v>17066910072.189911</v>
      </c>
      <c r="K14" s="11">
        <f t="shared" si="4"/>
        <v>2.6550000000000074E-2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11"/>
      <c r="H15" s="10"/>
      <c r="I15" s="10">
        <f t="shared" si="5"/>
        <v>3655</v>
      </c>
      <c r="J15" s="10">
        <f t="shared" si="3"/>
        <v>16625502968.379436</v>
      </c>
      <c r="K15" s="11">
        <f t="shared" si="4"/>
        <v>2.746000000000004E-2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11"/>
      <c r="H16" s="10"/>
      <c r="I16" s="10">
        <f t="shared" si="5"/>
        <v>3655</v>
      </c>
      <c r="J16" s="10">
        <f t="shared" si="3"/>
        <v>16181168092.557798</v>
      </c>
      <c r="K16" s="11">
        <f t="shared" si="4"/>
        <v>2.7539999999999898E-2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11"/>
      <c r="H17" s="10"/>
      <c r="I17" s="10">
        <f t="shared" si="5"/>
        <v>3655</v>
      </c>
      <c r="J17" s="10">
        <f t="shared" si="3"/>
        <v>15747482426.531132</v>
      </c>
      <c r="K17" s="11">
        <f t="shared" si="4"/>
        <v>2.5689999999999769E-2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11"/>
      <c r="H18" s="10"/>
      <c r="I18" s="10">
        <f t="shared" si="5"/>
        <v>3655</v>
      </c>
      <c r="J18" s="10">
        <f t="shared" si="3"/>
        <v>15353062257.145077</v>
      </c>
      <c r="K18" s="11">
        <f t="shared" si="4"/>
        <v>2.4540000000000228E-2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11"/>
      <c r="H19" s="10"/>
      <c r="I19" s="10">
        <f t="shared" si="5"/>
        <v>3655</v>
      </c>
      <c r="J19" s="10">
        <f t="shared" si="3"/>
        <v>14985322444.360468</v>
      </c>
      <c r="K19" s="11">
        <f t="shared" si="4"/>
        <v>2.4280000000000079E-2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11"/>
      <c r="H20" s="10"/>
      <c r="I20" s="10">
        <f t="shared" si="5"/>
        <v>3655</v>
      </c>
      <c r="J20" s="10">
        <f t="shared" si="3"/>
        <v>14630103530.63661</v>
      </c>
      <c r="K20" s="11">
        <f t="shared" si="4"/>
        <v>2.4370000000000003E-2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11"/>
      <c r="H21" s="10"/>
      <c r="I21" s="10">
        <f t="shared" si="5"/>
        <v>3655</v>
      </c>
      <c r="J21" s="10">
        <f t="shared" si="3"/>
        <v>14282049972.799486</v>
      </c>
      <c r="K21" s="11">
        <f t="shared" si="4"/>
        <v>2.3200000000000109E-2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11"/>
      <c r="H22" s="10"/>
      <c r="I22" s="10">
        <f t="shared" si="5"/>
        <v>3655</v>
      </c>
      <c r="J22" s="10">
        <f t="shared" si="3"/>
        <v>13958219285.3787</v>
      </c>
      <c r="K22" s="11">
        <f t="shared" si="4"/>
        <v>2.3519999999999985E-2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11"/>
      <c r="H23" s="10"/>
      <c r="I23" s="10">
        <f t="shared" si="5"/>
        <v>3655</v>
      </c>
      <c r="J23" s="10">
        <f t="shared" si="3"/>
        <v>13637466083.104092</v>
      </c>
      <c r="K23" s="11">
        <f t="shared" si="4"/>
        <v>2.3679999999999923E-2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11"/>
      <c r="H24" s="10"/>
      <c r="I24" s="10">
        <f t="shared" si="5"/>
        <v>3655</v>
      </c>
      <c r="J24" s="10">
        <f t="shared" si="3"/>
        <v>13322001097.124191</v>
      </c>
      <c r="K24" s="11">
        <f t="shared" si="4"/>
        <v>2.4410000000000043E-2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11"/>
      <c r="H25" s="10"/>
      <c r="I25" s="10">
        <f t="shared" si="5"/>
        <v>3655</v>
      </c>
      <c r="J25" s="10">
        <f t="shared" si="3"/>
        <v>13004559792.587139</v>
      </c>
      <c r="K25" s="11">
        <f t="shared" si="4"/>
        <v>2.4990000000000068E-2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11"/>
      <c r="H26" s="10"/>
      <c r="I26" s="10">
        <f t="shared" si="5"/>
        <v>3655</v>
      </c>
      <c r="J26" s="10">
        <f t="shared" si="3"/>
        <v>12687499187.881968</v>
      </c>
      <c r="K26" s="11">
        <f t="shared" si="4"/>
        <v>2.4720000000000075E-2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11"/>
      <c r="H27" s="10"/>
      <c r="I27" s="10">
        <f t="shared" si="5"/>
        <v>3655</v>
      </c>
      <c r="J27" s="10">
        <f t="shared" si="3"/>
        <v>12381430232.533731</v>
      </c>
      <c r="K27" s="11">
        <f t="shared" si="4"/>
        <v>2.5689999999999991E-2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11"/>
      <c r="H28" s="10"/>
      <c r="I28" s="10">
        <f t="shared" si="5"/>
        <v>3655</v>
      </c>
      <c r="J28" s="10">
        <f t="shared" si="3"/>
        <v>12071318071.282484</v>
      </c>
      <c r="K28" s="11">
        <f t="shared" si="4"/>
        <v>2.5339999999999696E-2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11"/>
      <c r="H29" s="10"/>
      <c r="I29" s="10">
        <f t="shared" si="5"/>
        <v>3655</v>
      </c>
      <c r="J29" s="10">
        <f t="shared" si="3"/>
        <v>11772990492.209888</v>
      </c>
      <c r="K29" s="11">
        <f t="shared" si="4"/>
        <v>2.4610000000000021E-2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11"/>
      <c r="H30" s="10"/>
      <c r="I30" s="10">
        <f t="shared" si="5"/>
        <v>3655</v>
      </c>
      <c r="J30" s="10">
        <f t="shared" si="3"/>
        <v>11490216269.809868</v>
      </c>
      <c r="K30" s="11">
        <f t="shared" si="4"/>
        <v>2.3420000000000218E-2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11"/>
      <c r="H31" s="10"/>
      <c r="I31" s="10">
        <f t="shared" si="5"/>
        <v>3655</v>
      </c>
      <c r="J31" s="10">
        <f t="shared" si="3"/>
        <v>11227273523.880583</v>
      </c>
      <c r="K31" s="11">
        <f t="shared" si="4"/>
        <v>2.2419999999999884E-2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11"/>
      <c r="H32" s="10"/>
      <c r="I32" s="10">
        <f t="shared" si="5"/>
        <v>3655</v>
      </c>
      <c r="J32" s="10">
        <f t="shared" si="3"/>
        <v>10981077760.490389</v>
      </c>
      <c r="K32" s="11">
        <f t="shared" si="4"/>
        <v>2.159000000000022E-2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11"/>
      <c r="H33" s="10"/>
      <c r="I33" s="10">
        <f t="shared" si="5"/>
        <v>3655</v>
      </c>
      <c r="J33" s="10">
        <f t="shared" si="3"/>
        <v>10749006705.714022</v>
      </c>
      <c r="K33" s="11">
        <f t="shared" si="4"/>
        <v>2.1419999999999995E-2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11"/>
      <c r="H34" s="10"/>
      <c r="I34" s="10">
        <f t="shared" si="5"/>
        <v>3655</v>
      </c>
      <c r="J34" s="10">
        <f t="shared" ref="J34:J65" si="6">IF(I34="","",I34*C34)</f>
        <v>10523591378.388931</v>
      </c>
      <c r="K34" s="11">
        <f t="shared" ref="K34:K65" si="7">IFERROR(J34/J35-1,"")</f>
        <v>3.0329999999999968E-2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11"/>
      <c r="H35" s="10"/>
      <c r="I35" s="10">
        <f t="shared" ref="I35:I66" si="8">IF(H35&lt;&gt;"",H35,I34/(1+IF(G34="",0,G34)))</f>
        <v>3655</v>
      </c>
      <c r="J35" s="10">
        <f t="shared" si="6"/>
        <v>10213806623.49823</v>
      </c>
      <c r="K35" s="11">
        <f t="shared" si="7"/>
        <v>2.980999999999967E-2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11"/>
      <c r="H36" s="10"/>
      <c r="I36" s="10">
        <f t="shared" si="8"/>
        <v>3655</v>
      </c>
      <c r="J36" s="10">
        <f t="shared" si="6"/>
        <v>9918146671.228899</v>
      </c>
      <c r="K36" s="11">
        <f t="shared" si="7"/>
        <v>2.8280000000000083E-2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11"/>
      <c r="H37" s="10"/>
      <c r="I37" s="10">
        <f t="shared" si="8"/>
        <v>3655</v>
      </c>
      <c r="J37" s="10">
        <f t="shared" si="6"/>
        <v>9645375453.4065609</v>
      </c>
      <c r="K37" s="11">
        <f t="shared" si="7"/>
        <v>2.7910000000000323E-2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11"/>
      <c r="H38" s="10"/>
      <c r="I38" s="10">
        <f t="shared" si="8"/>
        <v>3655</v>
      </c>
      <c r="J38" s="10">
        <f t="shared" si="6"/>
        <v>9383482458.0036755</v>
      </c>
      <c r="K38" s="11">
        <f t="shared" si="7"/>
        <v>3.0620000000000092E-2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11"/>
      <c r="H39" s="10"/>
      <c r="I39" s="10">
        <f t="shared" si="8"/>
        <v>3655</v>
      </c>
      <c r="J39" s="10">
        <f t="shared" si="6"/>
        <v>9104696646.6822643</v>
      </c>
      <c r="K39" s="11">
        <f t="shared" si="7"/>
        <v>3.045000000000031E-2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11"/>
      <c r="H40" s="10"/>
      <c r="I40" s="10">
        <f t="shared" si="8"/>
        <v>3655</v>
      </c>
      <c r="J40" s="10">
        <f t="shared" si="6"/>
        <v>8835651071.5534592</v>
      </c>
      <c r="K40" s="11">
        <f t="shared" si="7"/>
        <v>3.0310000000000059E-2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11"/>
      <c r="H41" s="10"/>
      <c r="I41" s="10">
        <f t="shared" si="8"/>
        <v>3655</v>
      </c>
      <c r="J41" s="10">
        <f t="shared" si="6"/>
        <v>8575720968.9835672</v>
      </c>
      <c r="K41" s="11">
        <f t="shared" si="7"/>
        <v>2.862000000000009E-2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11"/>
      <c r="H42" s="10"/>
      <c r="I42" s="10">
        <f t="shared" si="8"/>
        <v>3655</v>
      </c>
      <c r="J42" s="10">
        <f t="shared" si="6"/>
        <v>8337112800.629549</v>
      </c>
      <c r="K42" s="11">
        <f t="shared" si="7"/>
        <v>2.8950000000000031E-2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11"/>
      <c r="H43" s="10"/>
      <c r="I43" s="10">
        <f t="shared" si="8"/>
        <v>3655</v>
      </c>
      <c r="J43" s="10">
        <f t="shared" si="6"/>
        <v>8102544147.5577517</v>
      </c>
      <c r="K43" s="11">
        <f t="shared" si="7"/>
        <v>2.8950000000000031E-2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11"/>
      <c r="H44" s="10"/>
      <c r="I44" s="10">
        <f t="shared" si="8"/>
        <v>3655</v>
      </c>
      <c r="J44" s="10">
        <f t="shared" si="6"/>
        <v>7874575195.6438608</v>
      </c>
      <c r="K44" s="11">
        <f t="shared" si="7"/>
        <v>2.8960000000000097E-2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11"/>
      <c r="H45" s="10"/>
      <c r="I45" s="10">
        <f t="shared" si="8"/>
        <v>3655</v>
      </c>
      <c r="J45" s="10">
        <f t="shared" si="6"/>
        <v>7652945882.8757772</v>
      </c>
      <c r="K45" s="11">
        <f t="shared" si="7"/>
        <v>2.905000000000002E-2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11"/>
      <c r="H46" s="10"/>
      <c r="I46" s="10">
        <f t="shared" si="8"/>
        <v>3655</v>
      </c>
      <c r="J46" s="10">
        <f t="shared" si="6"/>
        <v>7436903826.709856</v>
      </c>
      <c r="K46" s="11">
        <f t="shared" si="7"/>
        <v>2.8680000000000039E-2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11"/>
      <c r="H47" s="10"/>
      <c r="I47" s="10">
        <f t="shared" si="8"/>
        <v>3655</v>
      </c>
      <c r="J47" s="10">
        <f t="shared" si="6"/>
        <v>7229560044.6298714</v>
      </c>
      <c r="K47" s="11">
        <f t="shared" si="7"/>
        <v>2.7600000000000291E-2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11"/>
      <c r="H48" s="10"/>
      <c r="I48" s="10">
        <f t="shared" si="8"/>
        <v>3655</v>
      </c>
      <c r="J48" s="10">
        <f t="shared" si="6"/>
        <v>7035383461.1034155</v>
      </c>
      <c r="K48" s="11">
        <f t="shared" si="7"/>
        <v>2.7749999999999941E-2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11"/>
      <c r="H49" s="10"/>
      <c r="I49" s="10">
        <f t="shared" si="8"/>
        <v>3655</v>
      </c>
      <c r="J49" s="10">
        <f t="shared" si="6"/>
        <v>6845422973.5863934</v>
      </c>
      <c r="K49" s="11">
        <f t="shared" si="7"/>
        <v>2.5679999999999925E-2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11"/>
      <c r="H50" s="10"/>
      <c r="I50" s="10">
        <f t="shared" si="8"/>
        <v>3655</v>
      </c>
      <c r="J50" s="10">
        <f t="shared" si="6"/>
        <v>6674033785.9628677</v>
      </c>
      <c r="K50" s="11">
        <f t="shared" si="7"/>
        <v>2.4319999999999897E-2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11"/>
      <c r="H51" s="10"/>
      <c r="I51" s="10">
        <f t="shared" si="8"/>
        <v>3655</v>
      </c>
      <c r="J51" s="10">
        <f t="shared" si="6"/>
        <v>6515575001.9162655</v>
      </c>
      <c r="K51" s="11">
        <f t="shared" si="7"/>
        <v>2.4359999999999937E-2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11"/>
      <c r="H52" s="10"/>
      <c r="I52" s="10">
        <f t="shared" si="8"/>
        <v>3655</v>
      </c>
      <c r="J52" s="10">
        <f t="shared" si="6"/>
        <v>6360630053.805562</v>
      </c>
      <c r="K52" s="11">
        <f t="shared" si="7"/>
        <v>2.3940000000000072E-2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11"/>
      <c r="H53" s="10"/>
      <c r="I53" s="10">
        <f t="shared" si="8"/>
        <v>3655</v>
      </c>
      <c r="J53" s="10">
        <f t="shared" si="6"/>
        <v>6211916766.4175262</v>
      </c>
      <c r="K53" s="11">
        <f t="shared" si="7"/>
        <v>2.4170000000000025E-2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11"/>
      <c r="H54" s="10"/>
      <c r="I54" s="10">
        <f t="shared" si="8"/>
        <v>3655</v>
      </c>
      <c r="J54" s="10">
        <f t="shared" si="6"/>
        <v>6065318029.6411009</v>
      </c>
      <c r="K54" s="11">
        <f t="shared" si="7"/>
        <v>2.3810000000000331E-2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11"/>
      <c r="H55" s="10"/>
      <c r="I55" s="10">
        <f t="shared" si="8"/>
        <v>3655</v>
      </c>
      <c r="J55" s="10">
        <f t="shared" si="6"/>
        <v>5924261366.5046244</v>
      </c>
      <c r="K55" s="11">
        <f t="shared" si="7"/>
        <v>2.3800000000000043E-2</v>
      </c>
      <c r="L55" t="inlineStr">
        <is>
          <t xml:space="preserve">Ihnerian Civil War begins - 12-year economic collapse (to 1724).</t>
        </is>
      </c>
      <c r="M55" t="inlineStr">
        <is>
          <t xml:space="preserve">Ihnerian Civil War (1712-24): a twelve-year internal war that collapsed Ihner's economy.</t>
        </is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11"/>
      <c r="H56" s="10"/>
      <c r="I56" s="10">
        <f t="shared" si="8"/>
        <v>3655</v>
      </c>
      <c r="J56" s="10">
        <f t="shared" si="6"/>
        <v>5786541674.6480017</v>
      </c>
      <c r="K56" s="11">
        <f t="shared" si="7"/>
        <v>2.3959999999999759E-2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11"/>
      <c r="H57" s="10"/>
      <c r="I57" s="10">
        <f t="shared" si="8"/>
        <v>3655</v>
      </c>
      <c r="J57" s="10">
        <f t="shared" si="6"/>
        <v>5651140351.8184328</v>
      </c>
      <c r="K57" s="11">
        <f t="shared" si="7"/>
        <v>2.4240000000000039E-2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11"/>
      <c r="H58" s="10"/>
      <c r="I58" s="10">
        <f t="shared" si="8"/>
        <v>3655</v>
      </c>
      <c r="J58" s="10">
        <f t="shared" si="6"/>
        <v>5517398609.5235806</v>
      </c>
      <c r="K58" s="11">
        <f t="shared" si="7"/>
        <v>3.2939999999999969E-2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11"/>
      <c r="H59" s="10"/>
      <c r="I59" s="10">
        <f t="shared" si="8"/>
        <v>3655</v>
      </c>
      <c r="J59" s="10">
        <f t="shared" si="6"/>
        <v>5341451206.7724953</v>
      </c>
      <c r="K59" s="11">
        <f t="shared" si="7"/>
        <v>3.2969999999999944E-2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11"/>
      <c r="H60" s="10"/>
      <c r="I60" s="10">
        <f t="shared" si="8"/>
        <v>3655</v>
      </c>
      <c r="J60" s="10">
        <f t="shared" si="6"/>
        <v>5170964506.9774494</v>
      </c>
      <c r="K60" s="11">
        <f t="shared" si="7"/>
        <v>3.2019999999999937E-2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11"/>
      <c r="H61" s="10"/>
      <c r="I61" s="10">
        <f t="shared" si="8"/>
        <v>3655</v>
      </c>
      <c r="J61" s="10">
        <f t="shared" si="6"/>
        <v>5010527419.0204163</v>
      </c>
      <c r="K61" s="11">
        <f t="shared" si="7"/>
        <v>3.2729999999999926E-2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11"/>
      <c r="H62" s="10"/>
      <c r="I62" s="10">
        <f t="shared" si="8"/>
        <v>3655</v>
      </c>
      <c r="J62" s="10">
        <f t="shared" si="6"/>
        <v>4851730286.7355614</v>
      </c>
      <c r="K62" s="11">
        <f t="shared" si="7"/>
        <v>3.2610000000000028E-2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11"/>
      <c r="H63" s="10"/>
      <c r="I63" s="10">
        <f t="shared" si="8"/>
        <v>3655</v>
      </c>
      <c r="J63" s="10">
        <f t="shared" si="6"/>
        <v>4698511816.4026699</v>
      </c>
      <c r="K63" s="11">
        <f t="shared" si="7"/>
        <v>3.2149999999999679E-2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11"/>
      <c r="H64" s="10"/>
      <c r="I64" s="10">
        <f t="shared" si="8"/>
        <v>3655</v>
      </c>
      <c r="J64" s="10">
        <f t="shared" si="6"/>
        <v>4552159876.3771458</v>
      </c>
      <c r="K64" s="11">
        <f t="shared" si="7"/>
        <v>3.1560000000000032E-2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11"/>
      <c r="H65" s="10"/>
      <c r="I65" s="10">
        <f t="shared" si="8"/>
        <v>3655</v>
      </c>
      <c r="J65" s="10">
        <f t="shared" si="6"/>
        <v>4412889096.4918623</v>
      </c>
      <c r="K65" s="11">
        <f t="shared" si="7"/>
        <v>3.0629999999999935E-2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6">
        <f>SUM(F2)</f>
        <v>6257140</v>
      </c>
      <c r="G66" s="11"/>
      <c r="H66" s="10"/>
      <c r="I66" s="10">
        <f t="shared" si="8"/>
        <v>3655</v>
      </c>
      <c r="J66" s="10">
        <f t="shared" ref="J66:J97" si="9">IF(I66="","",I66*C66)</f>
        <v>4281739418.1150002</v>
      </c>
      <c r="K66" s="11">
        <f t="shared" ref="K66:K97" si="10">IFERROR(J66/J67-1,"")</f>
        <v>3.0229999999999979E-2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11"/>
      <c r="H67" s="10"/>
      <c r="I67" s="10">
        <f t="shared" ref="I67:I98" si="11">IF(H67&lt;&gt;"",H67,I66/(1+IF(G66="",0,G66)))</f>
        <v>3655</v>
      </c>
      <c r="J67" s="10">
        <f t="shared" si="9"/>
        <v>4156100500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5">
        <v>3103322</v>
      </c>
      <c r="G2" s="11"/>
      <c r="H2" s="10"/>
      <c r="I2" s="10">
        <f>IF(H2&lt;&gt;"",H2,2183)</f>
        <v>2183</v>
      </c>
      <c r="J2" s="10">
        <f t="shared" ref="J2:J33" si="3">IF(I2="","",I2*C2)</f>
        <v>6771781936.7329082</v>
      </c>
      <c r="K2" s="11">
        <f t="shared" ref="K2:K33" si="4">IFERROR(J2/J3-1,"")</f>
        <v>2.583000000000002E-2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11"/>
      <c r="H3" s="10"/>
      <c r="I3" s="10">
        <f t="shared" ref="I3:I34" si="5">IF(H3&lt;&gt;"",H3,I2/(1+IF(G2="",0,G2)))</f>
        <v>2183</v>
      </c>
      <c r="J3" s="10">
        <f t="shared" si="3"/>
        <v>6601271104.1136532</v>
      </c>
      <c r="K3" s="11">
        <f t="shared" si="4"/>
        <v>2.5320000000000231E-2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11"/>
      <c r="H4" s="10"/>
      <c r="I4" s="10">
        <f t="shared" si="5"/>
        <v>2183</v>
      </c>
      <c r="J4" s="10">
        <f t="shared" si="3"/>
        <v>6438254500.169364</v>
      </c>
      <c r="K4" s="11">
        <f t="shared" si="4"/>
        <v>2.4869999999999726E-2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11"/>
      <c r="H5" s="10"/>
      <c r="I5" s="10">
        <f t="shared" si="5"/>
        <v>2183</v>
      </c>
      <c r="J5" s="10">
        <f t="shared" si="3"/>
        <v>6282020646.6862774</v>
      </c>
      <c r="K5" s="11">
        <f t="shared" si="4"/>
        <v>2.5079999999999769E-2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11"/>
      <c r="H6" s="10"/>
      <c r="I6" s="10">
        <f t="shared" si="5"/>
        <v>2183</v>
      </c>
      <c r="J6" s="10">
        <f t="shared" si="3"/>
        <v>6128322322.8297091</v>
      </c>
      <c r="K6" s="11">
        <f t="shared" si="4"/>
        <v>2.2700000000000164E-2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11"/>
      <c r="H7" s="10"/>
      <c r="I7" s="10">
        <f t="shared" si="5"/>
        <v>2183</v>
      </c>
      <c r="J7" s="10">
        <f t="shared" si="3"/>
        <v>5992297176.9137659</v>
      </c>
      <c r="K7" s="11">
        <f t="shared" si="4"/>
        <v>2.1910000000000096E-2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11"/>
      <c r="H8" s="10"/>
      <c r="I8" s="10">
        <f t="shared" si="5"/>
        <v>2183</v>
      </c>
      <c r="J8" s="10">
        <f t="shared" si="3"/>
        <v>5863820861.8310471</v>
      </c>
      <c r="K8" s="11">
        <f t="shared" si="4"/>
        <v>2.0850000000000035E-2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11"/>
      <c r="H9" s="10"/>
      <c r="I9" s="10">
        <f t="shared" si="5"/>
        <v>2183</v>
      </c>
      <c r="J9" s="10">
        <f t="shared" si="3"/>
        <v>5744057267.7974701</v>
      </c>
      <c r="K9" s="11">
        <f t="shared" si="4"/>
        <v>2.0100000000000007E-2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11"/>
      <c r="H10" s="10"/>
      <c r="I10" s="10">
        <f t="shared" si="5"/>
        <v>2183</v>
      </c>
      <c r="J10" s="10">
        <f t="shared" si="3"/>
        <v>5630876647.1889715</v>
      </c>
      <c r="K10" s="11">
        <f t="shared" si="4"/>
        <v>1.9509999999999916E-2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11"/>
      <c r="H11" s="10"/>
      <c r="I11" s="10">
        <f t="shared" si="5"/>
        <v>2183</v>
      </c>
      <c r="J11" s="10">
        <f t="shared" si="3"/>
        <v>5523120564.9664764</v>
      </c>
      <c r="K11" s="11">
        <f t="shared" si="4"/>
        <v>1.8909999999999982E-2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11"/>
      <c r="H12" s="10"/>
      <c r="I12" s="10">
        <f t="shared" si="5"/>
        <v>2183</v>
      </c>
      <c r="J12" s="10">
        <f t="shared" si="3"/>
        <v>5420616703.1106539</v>
      </c>
      <c r="K12" s="11">
        <f t="shared" si="4"/>
        <v>1.9099999999999895E-2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11"/>
      <c r="H13" s="10"/>
      <c r="I13" s="10">
        <f t="shared" si="5"/>
        <v>2183</v>
      </c>
      <c r="J13" s="10">
        <f t="shared" si="3"/>
        <v>5319023356.9921055</v>
      </c>
      <c r="K13" s="11">
        <f t="shared" si="4"/>
        <v>2.0040000000000058E-2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11"/>
      <c r="H14" s="10"/>
      <c r="I14" s="10">
        <f t="shared" si="5"/>
        <v>2183</v>
      </c>
      <c r="J14" s="10">
        <f t="shared" si="3"/>
        <v>5214524290.2161732</v>
      </c>
      <c r="K14" s="11">
        <f t="shared" si="4"/>
        <v>1.9200000000000106E-2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11"/>
      <c r="H15" s="10"/>
      <c r="I15" s="10">
        <f t="shared" si="5"/>
        <v>2183</v>
      </c>
      <c r="J15" s="10">
        <f t="shared" si="3"/>
        <v>5116291493.5402012</v>
      </c>
      <c r="K15" s="11">
        <f t="shared" si="4"/>
        <v>1.9290000000000029E-2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11"/>
      <c r="H16" s="10"/>
      <c r="I16" s="10">
        <f t="shared" si="5"/>
        <v>2183</v>
      </c>
      <c r="J16" s="10">
        <f t="shared" si="3"/>
        <v>5019465994.5061769</v>
      </c>
      <c r="K16" s="11">
        <f t="shared" si="4"/>
        <v>1.9139999999999935E-2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11"/>
      <c r="H17" s="10"/>
      <c r="I17" s="10">
        <f t="shared" si="5"/>
        <v>2183</v>
      </c>
      <c r="J17" s="10">
        <f t="shared" si="3"/>
        <v>4925197710.3304529</v>
      </c>
      <c r="K17" s="11">
        <f t="shared" si="4"/>
        <v>1.9519999999999982E-2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11"/>
      <c r="H18" s="10"/>
      <c r="I18" s="10">
        <f t="shared" si="5"/>
        <v>2183</v>
      </c>
      <c r="J18" s="10">
        <f t="shared" si="3"/>
        <v>4830898570.2393799</v>
      </c>
      <c r="K18" s="11">
        <f t="shared" si="4"/>
        <v>4.8399999999999554E-3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11"/>
      <c r="H19" s="10"/>
      <c r="I19" s="10">
        <f t="shared" si="5"/>
        <v>2183</v>
      </c>
      <c r="J19" s="10">
        <f t="shared" si="3"/>
        <v>4807629642.7683811</v>
      </c>
      <c r="K19" s="11">
        <f t="shared" si="4"/>
        <v>5.4899999999999949E-3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11"/>
      <c r="H20" s="10"/>
      <c r="I20" s="10">
        <f t="shared" si="5"/>
        <v>2183</v>
      </c>
      <c r="J20" s="10">
        <f t="shared" si="3"/>
        <v>4781379867.2969208</v>
      </c>
      <c r="K20" s="11">
        <f t="shared" si="4"/>
        <v>6.3899999999996737E-3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11"/>
      <c r="H21" s="10"/>
      <c r="I21" s="10">
        <f t="shared" si="5"/>
        <v>2183</v>
      </c>
      <c r="J21" s="10">
        <f t="shared" si="3"/>
        <v>4751020844.1031036</v>
      </c>
      <c r="K21" s="11">
        <f t="shared" si="4"/>
        <v>1.7700000000000049E-2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11"/>
      <c r="H22" s="10"/>
      <c r="I22" s="10">
        <f t="shared" si="5"/>
        <v>2183</v>
      </c>
      <c r="J22" s="10">
        <f t="shared" si="3"/>
        <v>4668390335.1705837</v>
      </c>
      <c r="K22" s="11">
        <f t="shared" si="4"/>
        <v>2.1600000000000064E-2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11"/>
      <c r="H23" s="10"/>
      <c r="I23" s="10">
        <f t="shared" si="5"/>
        <v>2183</v>
      </c>
      <c r="J23" s="10">
        <f t="shared" si="3"/>
        <v>4569685136.2280569</v>
      </c>
      <c r="K23" s="11">
        <f t="shared" si="4"/>
        <v>2.0240000000000036E-2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11"/>
      <c r="H24" s="10"/>
      <c r="I24" s="10">
        <f t="shared" si="5"/>
        <v>2183</v>
      </c>
      <c r="J24" s="10">
        <f t="shared" si="3"/>
        <v>4479029577.5778809</v>
      </c>
      <c r="K24" s="11">
        <f t="shared" si="4"/>
        <v>1.4469999999999983E-2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11"/>
      <c r="H25" s="10"/>
      <c r="I25" s="10">
        <f t="shared" si="5"/>
        <v>2183</v>
      </c>
      <c r="J25" s="10">
        <f t="shared" si="3"/>
        <v>4415142466.0935078</v>
      </c>
      <c r="K25" s="11">
        <f t="shared" si="4"/>
        <v>1.2099999999999778E-2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11"/>
      <c r="H26" s="10"/>
      <c r="I26" s="10">
        <f t="shared" si="5"/>
        <v>2183</v>
      </c>
      <c r="J26" s="10">
        <f t="shared" si="3"/>
        <v>4362357935.079052</v>
      </c>
      <c r="K26" s="11">
        <f t="shared" si="4"/>
        <v>2.6720000000000299E-2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11"/>
      <c r="H27" s="10"/>
      <c r="I27" s="10">
        <f t="shared" si="5"/>
        <v>2183</v>
      </c>
      <c r="J27" s="10">
        <f t="shared" si="3"/>
        <v>4248829218.3643556</v>
      </c>
      <c r="K27" s="11">
        <f t="shared" si="4"/>
        <v>2.5349999999999984E-2</v>
      </c>
      <c r="L27" t="inlineStr">
        <is>
          <t xml:space="preserve">Collapse of the Huan - secession &amp; transition shock.</t>
        </is>
      </c>
      <c r="M27" t="inlineStr">
        <is>
          <t xml:space="preserve">Collapse of the Huan (1740): dissolution of the Estijan Huan, hyperinflating its currency and breaking the empire apart.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11"/>
      <c r="H28" s="10"/>
      <c r="I28" s="10">
        <f t="shared" si="5"/>
        <v>2183</v>
      </c>
      <c r="J28" s="10">
        <f t="shared" si="3"/>
        <v>4143784286.6965966</v>
      </c>
      <c r="K28" s="11">
        <f t="shared" si="4"/>
        <v>2.3959999999999981E-2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11"/>
      <c r="H29" s="10"/>
      <c r="I29" s="10">
        <f t="shared" si="5"/>
        <v>2183</v>
      </c>
      <c r="J29" s="10">
        <f t="shared" si="3"/>
        <v>4046822421.4779844</v>
      </c>
      <c r="K29" s="11">
        <f t="shared" si="4"/>
        <v>3.4869999999999957E-2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11"/>
      <c r="H30" s="10"/>
      <c r="I30" s="10">
        <f t="shared" si="5"/>
        <v>2183</v>
      </c>
      <c r="J30" s="10">
        <f t="shared" si="3"/>
        <v>3910464523.5420728</v>
      </c>
      <c r="K30" s="11">
        <f t="shared" si="4"/>
        <v>3.5139999999999949E-2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11"/>
      <c r="H31" s="10"/>
      <c r="I31" s="10">
        <f t="shared" si="5"/>
        <v>2183</v>
      </c>
      <c r="J31" s="10">
        <f t="shared" si="3"/>
        <v>3777715597.4477587</v>
      </c>
      <c r="K31" s="11">
        <f t="shared" si="4"/>
        <v>3.3600000000000074E-2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11"/>
      <c r="H32" s="10"/>
      <c r="I32" s="10">
        <f t="shared" si="5"/>
        <v>2183</v>
      </c>
      <c r="J32" s="10">
        <f t="shared" si="3"/>
        <v>3654910601.2458963</v>
      </c>
      <c r="K32" s="11">
        <f t="shared" si="4"/>
        <v>3.1600000000000072E-2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11"/>
      <c r="H33" s="10"/>
      <c r="I33" s="10">
        <f t="shared" si="5"/>
        <v>2183</v>
      </c>
      <c r="J33" s="10">
        <f t="shared" si="3"/>
        <v>3542953277.6714773</v>
      </c>
      <c r="K33" s="11">
        <f t="shared" si="4"/>
        <v>2.9460000000000042E-2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11"/>
      <c r="H34" s="10"/>
      <c r="I34" s="10">
        <f t="shared" si="5"/>
        <v>2183</v>
      </c>
      <c r="J34" s="10">
        <f t="shared" ref="J34:J65" si="6">IF(I34="","",I34*C34)</f>
        <v>3441564779.2740636</v>
      </c>
      <c r="K34" s="11">
        <f t="shared" ref="K34:K65" si="7">IFERROR(J34/J35-1,"")</f>
        <v>2.9030000000000111E-2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11"/>
      <c r="H35" s="10"/>
      <c r="I35" s="10">
        <f t="shared" ref="I35:I66" si="8">IF(H35&lt;&gt;"",H35,I34/(1+IF(G34="",0,G34)))</f>
        <v>2183</v>
      </c>
      <c r="J35" s="10">
        <f t="shared" si="6"/>
        <v>3344474679.3330255</v>
      </c>
      <c r="K35" s="11">
        <f t="shared" si="7"/>
        <v>2.8650000000000064E-2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11"/>
      <c r="H36" s="10"/>
      <c r="I36" s="10">
        <f t="shared" si="8"/>
        <v>2183</v>
      </c>
      <c r="J36" s="10">
        <f t="shared" si="6"/>
        <v>3251324239.8610072</v>
      </c>
      <c r="K36" s="11">
        <f t="shared" si="7"/>
        <v>2.8039999999999843E-2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11"/>
      <c r="H37" s="10"/>
      <c r="I37" s="10">
        <f t="shared" si="8"/>
        <v>2183</v>
      </c>
      <c r="J37" s="10">
        <f t="shared" si="6"/>
        <v>3162643710.226263</v>
      </c>
      <c r="K37" s="11">
        <f t="shared" si="7"/>
        <v>2.8119999999999923E-2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11"/>
      <c r="H38" s="10"/>
      <c r="I38" s="10">
        <f t="shared" si="8"/>
        <v>2183</v>
      </c>
      <c r="J38" s="10">
        <f t="shared" si="6"/>
        <v>3076142580.8526859</v>
      </c>
      <c r="K38" s="11">
        <f t="shared" si="7"/>
        <v>2.9050000000000242E-2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11"/>
      <c r="H39" s="10"/>
      <c r="I39" s="10">
        <f t="shared" si="8"/>
        <v>2183</v>
      </c>
      <c r="J39" s="10">
        <f t="shared" si="6"/>
        <v>2989303319.4234347</v>
      </c>
      <c r="K39" s="11">
        <f t="shared" si="7"/>
        <v>3.0669999999999975E-2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11"/>
      <c r="H40" s="10"/>
      <c r="I40" s="10">
        <f t="shared" si="8"/>
        <v>2183</v>
      </c>
      <c r="J40" s="10">
        <f t="shared" si="6"/>
        <v>2900349597.2750101</v>
      </c>
      <c r="K40" s="11">
        <f t="shared" si="7"/>
        <v>3.1460000000000043E-2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11"/>
      <c r="H41" s="10"/>
      <c r="I41" s="10">
        <f t="shared" si="8"/>
        <v>2183</v>
      </c>
      <c r="J41" s="10">
        <f t="shared" si="6"/>
        <v>2811887612.9709439</v>
      </c>
      <c r="K41" s="11">
        <f t="shared" si="7"/>
        <v>3.1490000000000018E-2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11"/>
      <c r="H42" s="10"/>
      <c r="I42" s="10">
        <f t="shared" si="8"/>
        <v>2183</v>
      </c>
      <c r="J42" s="10">
        <f t="shared" si="6"/>
        <v>2726044472.5309443</v>
      </c>
      <c r="K42" s="11">
        <f t="shared" si="7"/>
        <v>3.143999999999969E-2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11"/>
      <c r="H43" s="10"/>
      <c r="I43" s="10">
        <f t="shared" si="8"/>
        <v>2183</v>
      </c>
      <c r="J43" s="10">
        <f t="shared" si="6"/>
        <v>2642950120.7350354</v>
      </c>
      <c r="K43" s="11">
        <f t="shared" si="7"/>
        <v>3.1290000000000262E-2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11"/>
      <c r="H44" s="10"/>
      <c r="I44" s="10">
        <f t="shared" si="8"/>
        <v>2183</v>
      </c>
      <c r="J44" s="10">
        <f t="shared" si="6"/>
        <v>2562761319.0615973</v>
      </c>
      <c r="K44" s="11">
        <f t="shared" si="7"/>
        <v>3.1160000000000077E-2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11"/>
      <c r="H45" s="10"/>
      <c r="I45" s="10">
        <f t="shared" si="8"/>
        <v>2183</v>
      </c>
      <c r="J45" s="10">
        <f t="shared" si="6"/>
        <v>2485318785.6992097</v>
      </c>
      <c r="K45" s="11">
        <f t="shared" si="7"/>
        <v>3.0990000000000073E-2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11"/>
      <c r="H46" s="10"/>
      <c r="I46" s="10">
        <f t="shared" si="8"/>
        <v>2183</v>
      </c>
      <c r="J46" s="10">
        <f t="shared" si="6"/>
        <v>2410613862.1123481</v>
      </c>
      <c r="K46" s="11">
        <f t="shared" si="7"/>
        <v>3.0680000000000263E-2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11"/>
      <c r="H47" s="10"/>
      <c r="I47" s="10">
        <f t="shared" si="8"/>
        <v>2183</v>
      </c>
      <c r="J47" s="10">
        <f t="shared" si="6"/>
        <v>2338857707.6418943</v>
      </c>
      <c r="K47" s="11">
        <f t="shared" si="7"/>
        <v>3.1060000000000088E-2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11"/>
      <c r="H48" s="10"/>
      <c r="I48" s="10">
        <f t="shared" si="8"/>
        <v>2183</v>
      </c>
      <c r="J48" s="10">
        <f t="shared" si="6"/>
        <v>2268401167.3829789</v>
      </c>
      <c r="K48" s="11">
        <f t="shared" si="7"/>
        <v>3.2270000000000021E-2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11"/>
      <c r="H49" s="10"/>
      <c r="I49" s="10">
        <f t="shared" si="8"/>
        <v>2183</v>
      </c>
      <c r="J49" s="10">
        <f t="shared" si="6"/>
        <v>2197488222.4446888</v>
      </c>
      <c r="K49" s="11">
        <f t="shared" si="7"/>
        <v>3.3060000000000089E-2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11"/>
      <c r="H50" s="10"/>
      <c r="I50" s="10">
        <f t="shared" si="8"/>
        <v>2183</v>
      </c>
      <c r="J50" s="10">
        <f t="shared" si="6"/>
        <v>2127164174.824975</v>
      </c>
      <c r="K50" s="11">
        <f t="shared" si="7"/>
        <v>3.3179999999999987E-2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11"/>
      <c r="H51" s="10"/>
      <c r="I51" s="10">
        <f t="shared" si="8"/>
        <v>2183</v>
      </c>
      <c r="J51" s="10">
        <f t="shared" si="6"/>
        <v>2058851482.6312695</v>
      </c>
      <c r="K51" s="11">
        <f t="shared" si="7"/>
        <v>3.3179999999999987E-2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11"/>
      <c r="H52" s="10"/>
      <c r="I52" s="10">
        <f t="shared" si="8"/>
        <v>2183</v>
      </c>
      <c r="J52" s="10">
        <f t="shared" si="6"/>
        <v>1992732614.4827323</v>
      </c>
      <c r="K52" s="11">
        <f t="shared" si="7"/>
        <v>3.3250000000000002E-2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11"/>
      <c r="H53" s="10"/>
      <c r="I53" s="10">
        <f t="shared" si="8"/>
        <v>2183</v>
      </c>
      <c r="J53" s="10">
        <f t="shared" si="6"/>
        <v>1928606450.0195813</v>
      </c>
      <c r="K53" s="11">
        <f t="shared" si="7"/>
        <v>3.3430000000000071E-2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11"/>
      <c r="H54" s="10"/>
      <c r="I54" s="10">
        <f t="shared" si="8"/>
        <v>2183</v>
      </c>
      <c r="J54" s="10">
        <f t="shared" si="6"/>
        <v>1866218756.9739423</v>
      </c>
      <c r="K54" s="11">
        <f t="shared" si="7"/>
        <v>3.3649999999999958E-2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11"/>
      <c r="H55" s="10"/>
      <c r="I55" s="10">
        <f t="shared" si="8"/>
        <v>2183</v>
      </c>
      <c r="J55" s="10">
        <f t="shared" si="6"/>
        <v>1805464864.290565</v>
      </c>
      <c r="K55" s="11">
        <f t="shared" si="7"/>
        <v>3.3250000000000002E-2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11"/>
      <c r="H56" s="10"/>
      <c r="I56" s="10">
        <f t="shared" si="8"/>
        <v>2183</v>
      </c>
      <c r="J56" s="10">
        <f t="shared" si="6"/>
        <v>1747364978.7472198</v>
      </c>
      <c r="K56" s="11">
        <f t="shared" si="7"/>
        <v>3.27599999999999E-2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11"/>
      <c r="H57" s="10"/>
      <c r="I57" s="10">
        <f t="shared" si="8"/>
        <v>2183</v>
      </c>
      <c r="J57" s="10">
        <f t="shared" si="6"/>
        <v>1691937118.7373834</v>
      </c>
      <c r="K57" s="11">
        <f t="shared" si="7"/>
        <v>3.2140000000000057E-2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11"/>
      <c r="H58" s="10"/>
      <c r="I58" s="10">
        <f t="shared" si="8"/>
        <v>2183</v>
      </c>
      <c r="J58" s="10">
        <f t="shared" si="6"/>
        <v>1639251573.1755221</v>
      </c>
      <c r="K58" s="11">
        <f t="shared" si="7"/>
        <v>3.2189999999999941E-2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11"/>
      <c r="H59" s="10"/>
      <c r="I59" s="10">
        <f t="shared" si="8"/>
        <v>2183</v>
      </c>
      <c r="J59" s="10">
        <f t="shared" si="6"/>
        <v>1588129678.8144839</v>
      </c>
      <c r="K59" s="11">
        <f t="shared" si="7"/>
        <v>3.0999999999999917E-2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11"/>
      <c r="H60" s="10"/>
      <c r="I60" s="10">
        <f t="shared" si="8"/>
        <v>2183</v>
      </c>
      <c r="J60" s="10">
        <f t="shared" si="6"/>
        <v>1540377961.9927099</v>
      </c>
      <c r="K60" s="11">
        <f t="shared" si="7"/>
        <v>3.0000000000000027E-2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11"/>
      <c r="H61" s="10"/>
      <c r="I61" s="10">
        <f t="shared" si="8"/>
        <v>2183</v>
      </c>
      <c r="J61" s="10">
        <f t="shared" si="6"/>
        <v>1495512584.4589417</v>
      </c>
      <c r="K61" s="11">
        <f t="shared" si="7"/>
        <v>2.9859999999999776E-2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11"/>
      <c r="H62" s="10"/>
      <c r="I62" s="10">
        <f t="shared" si="8"/>
        <v>2183</v>
      </c>
      <c r="J62" s="10">
        <f t="shared" si="6"/>
        <v>1452151345.2886236</v>
      </c>
      <c r="K62" s="11">
        <f t="shared" si="7"/>
        <v>3.0219999999999914E-2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11"/>
      <c r="H63" s="10"/>
      <c r="I63" s="10">
        <f t="shared" si="8"/>
        <v>2183</v>
      </c>
      <c r="J63" s="10">
        <f t="shared" si="6"/>
        <v>1409554605.1218417</v>
      </c>
      <c r="K63" s="11">
        <f t="shared" si="7"/>
        <v>3.0990000000000073E-2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11"/>
      <c r="H64" s="10"/>
      <c r="I64" s="10">
        <f t="shared" si="8"/>
        <v>2183</v>
      </c>
      <c r="J64" s="10">
        <f t="shared" si="6"/>
        <v>1367185525.6809878</v>
      </c>
      <c r="K64" s="11">
        <f t="shared" si="7"/>
        <v>3.2270000000000021E-2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11"/>
      <c r="H65" s="10"/>
      <c r="I65" s="10">
        <f t="shared" si="8"/>
        <v>2183</v>
      </c>
      <c r="J65" s="10">
        <f t="shared" si="6"/>
        <v>1324445664.1004658</v>
      </c>
      <c r="K65" s="11">
        <f t="shared" si="7"/>
        <v>3.4049999999999914E-2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6">
        <f>SUM(F2)</f>
        <v>3103322</v>
      </c>
      <c r="G66" s="11"/>
      <c r="H66" s="10"/>
      <c r="I66" s="10">
        <f t="shared" si="8"/>
        <v>2183</v>
      </c>
      <c r="J66" s="10">
        <f t="shared" ref="J66:J97" si="9">IF(I66="","",I66*C66)</f>
        <v>1280833290.5569999</v>
      </c>
      <c r="K66" s="11">
        <f t="shared" ref="K66:K97" si="10">IFERROR(J66/J67-1,"")</f>
        <v>3.6810000000000009E-2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11"/>
      <c r="H67" s="10"/>
      <c r="I67" s="10">
        <f t="shared" ref="I67:I98" si="11">IF(H67&lt;&gt;"",H67,I66/(1+IF(G66="",0,G66)))</f>
        <v>2183</v>
      </c>
      <c r="J67" s="10">
        <f t="shared" si="9"/>
        <v>1235359700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5">
        <v>3254988</v>
      </c>
      <c r="G2" s="11"/>
      <c r="H2" s="10"/>
      <c r="I2" s="10">
        <f>IF(H2&lt;&gt;"",H2,29484)</f>
        <v>29484</v>
      </c>
      <c r="J2" s="10">
        <f t="shared" ref="J2:J33" si="3">IF(I2="","",I2*C2)</f>
        <v>95960625534.835754</v>
      </c>
      <c r="K2" s="11">
        <f t="shared" ref="K2:K33" si="4">IFERROR(J2/J3-1,"")</f>
        <v>6.5500000000000558E-3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11"/>
      <c r="H3" s="10"/>
      <c r="I3" s="10">
        <f t="shared" ref="I3:I34" si="5">IF(H3&lt;&gt;"",H3,I2/(1+IF(G2="",0,G2)))</f>
        <v>29484</v>
      </c>
      <c r="J3" s="10">
        <f t="shared" si="3"/>
        <v>95336173597.770355</v>
      </c>
      <c r="K3" s="11">
        <f t="shared" si="4"/>
        <v>5.0399999999999334E-3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11"/>
      <c r="H4" s="10"/>
      <c r="I4" s="10">
        <f t="shared" si="5"/>
        <v>29484</v>
      </c>
      <c r="J4" s="10">
        <f t="shared" si="3"/>
        <v>94858088830.066833</v>
      </c>
      <c r="K4" s="11">
        <f t="shared" si="4"/>
        <v>3.8700000000000401E-3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11"/>
      <c r="H5" s="10"/>
      <c r="I5" s="10">
        <f t="shared" si="5"/>
        <v>29484</v>
      </c>
      <c r="J5" s="10">
        <f t="shared" si="3"/>
        <v>94492403229.56839</v>
      </c>
      <c r="K5" s="11">
        <f t="shared" si="4"/>
        <v>5.6199999999999584E-3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11"/>
      <c r="H6" s="10"/>
      <c r="I6" s="10">
        <f t="shared" si="5"/>
        <v>29484</v>
      </c>
      <c r="J6" s="10">
        <f t="shared" si="3"/>
        <v>93964323730.204636</v>
      </c>
      <c r="K6" s="11">
        <f t="shared" si="4"/>
        <v>6.8299999999998917E-3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11"/>
      <c r="H7" s="10"/>
      <c r="I7" s="10">
        <f t="shared" si="5"/>
        <v>29484</v>
      </c>
      <c r="J7" s="10">
        <f t="shared" si="3"/>
        <v>93326900996.399246</v>
      </c>
      <c r="K7" s="11">
        <f t="shared" si="4"/>
        <v>1.1759999999999993E-2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11"/>
      <c r="H8" s="10"/>
      <c r="I8" s="10">
        <f t="shared" si="5"/>
        <v>29484</v>
      </c>
      <c r="J8" s="10">
        <f t="shared" si="3"/>
        <v>92242133506.36441</v>
      </c>
      <c r="K8" s="11">
        <f t="shared" si="4"/>
        <v>1.097999999999999E-2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11"/>
      <c r="H9" s="10"/>
      <c r="I9" s="10">
        <f t="shared" si="5"/>
        <v>29484</v>
      </c>
      <c r="J9" s="10">
        <f t="shared" si="3"/>
        <v>91240314849.318893</v>
      </c>
      <c r="K9" s="11">
        <f t="shared" si="4"/>
        <v>8.1899999999999196E-3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11"/>
      <c r="H10" s="10"/>
      <c r="I10" s="10">
        <f t="shared" si="5"/>
        <v>29484</v>
      </c>
      <c r="J10" s="10">
        <f t="shared" si="3"/>
        <v>90499126999.19548</v>
      </c>
      <c r="K10" s="11">
        <f t="shared" si="4"/>
        <v>7.6000000000000512E-3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11"/>
      <c r="H11" s="10"/>
      <c r="I11" s="10">
        <f t="shared" si="5"/>
        <v>29484</v>
      </c>
      <c r="J11" s="10">
        <f t="shared" si="3"/>
        <v>89816521436.279755</v>
      </c>
      <c r="K11" s="11">
        <f t="shared" si="4"/>
        <v>6.9500000000000117E-3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11"/>
      <c r="H12" s="10"/>
      <c r="I12" s="10">
        <f t="shared" si="5"/>
        <v>29484</v>
      </c>
      <c r="J12" s="10">
        <f t="shared" si="3"/>
        <v>89196605031.312134</v>
      </c>
      <c r="K12" s="11">
        <f t="shared" si="4"/>
        <v>6.2699999999999978E-3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11"/>
      <c r="H13" s="10"/>
      <c r="I13" s="10">
        <f t="shared" si="5"/>
        <v>29484</v>
      </c>
      <c r="J13" s="10">
        <f t="shared" si="3"/>
        <v>88640827045.735367</v>
      </c>
      <c r="K13" s="11">
        <f t="shared" si="4"/>
        <v>4.7399999999999665E-3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11"/>
      <c r="H14" s="10"/>
      <c r="I14" s="10">
        <f t="shared" si="5"/>
        <v>29484</v>
      </c>
      <c r="J14" s="10">
        <f t="shared" si="3"/>
        <v>88222651676.787399</v>
      </c>
      <c r="K14" s="11">
        <f t="shared" si="4"/>
        <v>3.9199999999999235E-3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11"/>
      <c r="H15" s="10"/>
      <c r="I15" s="10">
        <f t="shared" si="5"/>
        <v>29484</v>
      </c>
      <c r="J15" s="10">
        <f t="shared" si="3"/>
        <v>87878169253.314407</v>
      </c>
      <c r="K15" s="11">
        <f t="shared" si="4"/>
        <v>4.450000000000065E-3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11"/>
      <c r="H16" s="10"/>
      <c r="I16" s="10">
        <f t="shared" si="5"/>
        <v>29484</v>
      </c>
      <c r="J16" s="10">
        <f t="shared" si="3"/>
        <v>87488843897.968445</v>
      </c>
      <c r="K16" s="11">
        <f t="shared" si="4"/>
        <v>4.469999999999974E-3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11"/>
      <c r="H17" s="10"/>
      <c r="I17" s="10">
        <f t="shared" si="5"/>
        <v>29484</v>
      </c>
      <c r="J17" s="10">
        <f t="shared" si="3"/>
        <v>87099509092.32576</v>
      </c>
      <c r="K17" s="11">
        <f t="shared" si="4"/>
        <v>2.3999999999999577E-3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11"/>
      <c r="H18" s="10"/>
      <c r="I18" s="10">
        <f t="shared" si="5"/>
        <v>29484</v>
      </c>
      <c r="J18" s="10">
        <f t="shared" si="3"/>
        <v>86890970762.495773</v>
      </c>
      <c r="K18" s="11">
        <f t="shared" si="4"/>
        <v>2.4900000000001032E-3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11"/>
      <c r="H19" s="10"/>
      <c r="I19" s="10">
        <f t="shared" si="5"/>
        <v>29484</v>
      </c>
      <c r="J19" s="10">
        <f t="shared" si="3"/>
        <v>86675149639.892426</v>
      </c>
      <c r="K19" s="11">
        <f t="shared" si="4"/>
        <v>2.1100000000000563E-3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11"/>
      <c r="H20" s="10"/>
      <c r="I20" s="10">
        <f t="shared" si="5"/>
        <v>29484</v>
      </c>
      <c r="J20" s="10">
        <f t="shared" si="3"/>
        <v>86492650148.079971</v>
      </c>
      <c r="K20" s="11">
        <f t="shared" si="4"/>
        <v>2.1500000000000963E-3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11"/>
      <c r="H21" s="10"/>
      <c r="I21" s="10">
        <f t="shared" si="5"/>
        <v>29484</v>
      </c>
      <c r="J21" s="10">
        <f t="shared" si="3"/>
        <v>86307089904.784668</v>
      </c>
      <c r="K21" s="11">
        <f t="shared" si="4"/>
        <v>2.6599999999998847E-3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11"/>
      <c r="H22" s="10"/>
      <c r="I22" s="10">
        <f t="shared" si="5"/>
        <v>29484</v>
      </c>
      <c r="J22" s="10">
        <f t="shared" si="3"/>
        <v>86078122099.998672</v>
      </c>
      <c r="K22" s="11">
        <f t="shared" si="4"/>
        <v>1.2199999999999989E-3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11"/>
      <c r="H23" s="10"/>
      <c r="I23" s="10">
        <f t="shared" si="5"/>
        <v>29484</v>
      </c>
      <c r="J23" s="10">
        <f t="shared" si="3"/>
        <v>85973234753.599274</v>
      </c>
      <c r="K23" s="11">
        <f t="shared" si="4"/>
        <v>2.9799999999999827E-3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11"/>
      <c r="H24" s="10"/>
      <c r="I24" s="10">
        <f t="shared" si="5"/>
        <v>29484</v>
      </c>
      <c r="J24" s="10">
        <f t="shared" si="3"/>
        <v>85717795722.34668</v>
      </c>
      <c r="K24" s="11">
        <f t="shared" si="4"/>
        <v>3.1699999999998951E-3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11"/>
      <c r="H25" s="10"/>
      <c r="I25" s="10">
        <f t="shared" si="5"/>
        <v>29484</v>
      </c>
      <c r="J25" s="10">
        <f t="shared" si="3"/>
        <v>85446928957.551254</v>
      </c>
      <c r="K25" s="11">
        <f t="shared" si="4"/>
        <v>4.569999999999963E-3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11"/>
      <c r="H26" s="10"/>
      <c r="I26" s="10">
        <f t="shared" si="5"/>
        <v>29484</v>
      </c>
      <c r="J26" s="10">
        <f t="shared" si="3"/>
        <v>85058212924.486359</v>
      </c>
      <c r="K26" s="11">
        <f t="shared" si="4"/>
        <v>4.810000000000203E-3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11"/>
      <c r="H27" s="10"/>
      <c r="I27" s="10">
        <f t="shared" si="5"/>
        <v>29484</v>
      </c>
      <c r="J27" s="10">
        <f t="shared" si="3"/>
        <v>84651041415.278854</v>
      </c>
      <c r="K27" s="11">
        <f t="shared" si="4"/>
        <v>2.7999999999996916E-3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11"/>
      <c r="H28" s="10"/>
      <c r="I28" s="10">
        <f t="shared" si="5"/>
        <v>29484</v>
      </c>
      <c r="J28" s="10">
        <f t="shared" si="3"/>
        <v>84414680310.409729</v>
      </c>
      <c r="K28" s="11">
        <f t="shared" si="4"/>
        <v>2.1100000000002783E-3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11"/>
      <c r="H29" s="10"/>
      <c r="I29" s="10">
        <f t="shared" si="5"/>
        <v>29484</v>
      </c>
      <c r="J29" s="10">
        <f t="shared" si="3"/>
        <v>84236940366.236954</v>
      </c>
      <c r="K29" s="11">
        <f t="shared" si="4"/>
        <v>1.9199999999996997E-3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11"/>
      <c r="H30" s="10"/>
      <c r="I30" s="10">
        <f t="shared" si="5"/>
        <v>29484</v>
      </c>
      <c r="J30" s="10">
        <f t="shared" si="3"/>
        <v>84075515376.713684</v>
      </c>
      <c r="K30" s="11">
        <f t="shared" si="4"/>
        <v>1.5899999999999803E-3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11"/>
      <c r="H31" s="10"/>
      <c r="I31" s="10">
        <f t="shared" si="5"/>
        <v>29484</v>
      </c>
      <c r="J31" s="10">
        <f t="shared" si="3"/>
        <v>83942047521.155045</v>
      </c>
      <c r="K31" s="11">
        <f t="shared" si="4"/>
        <v>8.6999999999992639E-4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11"/>
      <c r="H32" s="10"/>
      <c r="I32" s="10">
        <f t="shared" si="5"/>
        <v>29484</v>
      </c>
      <c r="J32" s="10">
        <f t="shared" si="3"/>
        <v>83869081420.319382</v>
      </c>
      <c r="K32" s="11">
        <f t="shared" si="4"/>
        <v>4.80000000000258E-4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11"/>
      <c r="H33" s="10"/>
      <c r="I33" s="10">
        <f t="shared" si="5"/>
        <v>29484</v>
      </c>
      <c r="J33" s="10">
        <f t="shared" si="3"/>
        <v>83828843575.403168</v>
      </c>
      <c r="K33" s="11">
        <f t="shared" si="4"/>
        <v>6.8999999999985739E-4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11"/>
      <c r="H34" s="10"/>
      <c r="I34" s="10">
        <f t="shared" si="5"/>
        <v>29484</v>
      </c>
      <c r="J34" s="10">
        <f t="shared" ref="J34:J65" si="6">IF(I34="","",I34*C34)</f>
        <v>83771041556.729034</v>
      </c>
      <c r="K34" s="11">
        <f t="shared" ref="K34:K65" si="7">IFERROR(J34/J35-1,"")</f>
        <v>4.2000000000030902E-4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11"/>
      <c r="H35" s="10"/>
      <c r="I35" s="10">
        <f t="shared" ref="I35:I66" si="8">IF(H35&lt;&gt;"",H35,I34/(1+IF(G34="",0,G34)))</f>
        <v>29484</v>
      </c>
      <c r="J35" s="10">
        <f t="shared" si="6"/>
        <v>83735872490.283096</v>
      </c>
      <c r="K35" s="11">
        <f t="shared" si="7"/>
        <v>9.6000000000007191E-4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11"/>
      <c r="H36" s="10"/>
      <c r="I36" s="10">
        <f t="shared" si="8"/>
        <v>29484</v>
      </c>
      <c r="J36" s="10">
        <f t="shared" si="6"/>
        <v>83655563149.659424</v>
      </c>
      <c r="K36" s="11">
        <f t="shared" si="7"/>
        <v>1.4099999999999113E-3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11"/>
      <c r="H37" s="10"/>
      <c r="I37" s="10">
        <f t="shared" si="8"/>
        <v>29484</v>
      </c>
      <c r="J37" s="10">
        <f t="shared" si="6"/>
        <v>83537774887.068665</v>
      </c>
      <c r="K37" s="11">
        <f t="shared" si="7"/>
        <v>2.1699999999997832E-3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11"/>
      <c r="H38" s="10"/>
      <c r="I38" s="10">
        <f t="shared" si="8"/>
        <v>29484</v>
      </c>
      <c r="J38" s="10">
        <f t="shared" si="6"/>
        <v>83356890434.825104</v>
      </c>
      <c r="K38" s="11">
        <f t="shared" si="7"/>
        <v>2.2599999999999287E-3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11"/>
      <c r="H39" s="10"/>
      <c r="I39" s="10">
        <f t="shared" si="8"/>
        <v>29484</v>
      </c>
      <c r="J39" s="10">
        <f t="shared" si="6"/>
        <v>83168928656.062408</v>
      </c>
      <c r="K39" s="11">
        <f t="shared" si="7"/>
        <v>1.7300000000000093E-3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11"/>
      <c r="H40" s="10"/>
      <c r="I40" s="10">
        <f t="shared" si="8"/>
        <v>29484</v>
      </c>
      <c r="J40" s="10">
        <f t="shared" si="6"/>
        <v>83025294895.892517</v>
      </c>
      <c r="K40" s="11">
        <f t="shared" si="7"/>
        <v>1.9100000000000783E-3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11"/>
      <c r="H41" s="10"/>
      <c r="I41" s="10">
        <f t="shared" si="8"/>
        <v>29484</v>
      </c>
      <c r="J41" s="10">
        <f t="shared" si="6"/>
        <v>82867018889.812973</v>
      </c>
      <c r="K41" s="11">
        <f t="shared" si="7"/>
        <v>1.1900000000000244E-3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11"/>
      <c r="H42" s="10"/>
      <c r="I42" s="10">
        <f t="shared" si="8"/>
        <v>29484</v>
      </c>
      <c r="J42" s="10">
        <f t="shared" si="6"/>
        <v>82768524345.841415</v>
      </c>
      <c r="K42" s="11">
        <f t="shared" si="7"/>
        <v>9.5000000000000639E-4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11"/>
      <c r="H43" s="10"/>
      <c r="I43" s="10">
        <f t="shared" si="8"/>
        <v>29484</v>
      </c>
      <c r="J43" s="10">
        <f t="shared" si="6"/>
        <v>82689968875.409775</v>
      </c>
      <c r="K43" s="11">
        <f t="shared" si="7"/>
        <v>1.6499999999999293E-3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11"/>
      <c r="H44" s="10"/>
      <c r="I44" s="10">
        <f t="shared" si="8"/>
        <v>29484</v>
      </c>
      <c r="J44" s="10">
        <f t="shared" si="6"/>
        <v>82553755179.363831</v>
      </c>
      <c r="K44" s="11">
        <f t="shared" si="7"/>
        <v>2.0000000000000018E-3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11"/>
      <c r="H45" s="10"/>
      <c r="I45" s="10">
        <f t="shared" si="8"/>
        <v>29484</v>
      </c>
      <c r="J45" s="10">
        <f t="shared" si="6"/>
        <v>82388977224.914001</v>
      </c>
      <c r="K45" s="11">
        <f t="shared" si="7"/>
        <v>2.7699999999999392E-3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11"/>
      <c r="H46" s="10"/>
      <c r="I46" s="10">
        <f t="shared" si="8"/>
        <v>29484</v>
      </c>
      <c r="J46" s="10">
        <f t="shared" si="6"/>
        <v>82161390174.131668</v>
      </c>
      <c r="K46" s="11">
        <f t="shared" si="7"/>
        <v>3.0799999999999716E-3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11"/>
      <c r="H47" s="10"/>
      <c r="I47" s="10">
        <f t="shared" si="8"/>
        <v>29484</v>
      </c>
      <c r="J47" s="10">
        <f t="shared" si="6"/>
        <v>81909110114.977539</v>
      </c>
      <c r="K47" s="11">
        <f t="shared" si="7"/>
        <v>4.389999999999894E-3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11"/>
      <c r="H48" s="10"/>
      <c r="I48" s="10">
        <f t="shared" si="8"/>
        <v>29484</v>
      </c>
      <c r="J48" s="10">
        <f t="shared" si="6"/>
        <v>81551100782.542191</v>
      </c>
      <c r="K48" s="11">
        <f t="shared" si="7"/>
        <v>4.2100000000002691E-3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11"/>
      <c r="H49" s="10"/>
      <c r="I49" s="10">
        <f t="shared" si="8"/>
        <v>29484</v>
      </c>
      <c r="J49" s="10">
        <f t="shared" si="6"/>
        <v>81209210008.406784</v>
      </c>
      <c r="K49" s="11">
        <f t="shared" si="7"/>
        <v>4.049999999999887E-3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11"/>
      <c r="H50" s="10"/>
      <c r="I50" s="10">
        <f t="shared" si="8"/>
        <v>29484</v>
      </c>
      <c r="J50" s="10">
        <f t="shared" si="6"/>
        <v>80881639368.962494</v>
      </c>
      <c r="K50" s="11">
        <f t="shared" si="7"/>
        <v>5.1499999999999879E-3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11"/>
      <c r="H51" s="10"/>
      <c r="I51" s="10">
        <f t="shared" si="8"/>
        <v>29484</v>
      </c>
      <c r="J51" s="10">
        <f t="shared" si="6"/>
        <v>80467233118.402725</v>
      </c>
      <c r="K51" s="11">
        <f t="shared" si="7"/>
        <v>5.6000000000000494E-3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11"/>
      <c r="H52" s="10"/>
      <c r="I52" s="10">
        <f t="shared" si="8"/>
        <v>29484</v>
      </c>
      <c r="J52" s="10">
        <f t="shared" si="6"/>
        <v>80019126012.73143</v>
      </c>
      <c r="K52" s="11">
        <f t="shared" si="7"/>
        <v>6.0999999999999943E-3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11"/>
      <c r="H53" s="10"/>
      <c r="I53" s="10">
        <f t="shared" si="8"/>
        <v>29484</v>
      </c>
      <c r="J53" s="10">
        <f t="shared" si="6"/>
        <v>79533968803.032928</v>
      </c>
      <c r="K53" s="11">
        <f t="shared" si="7"/>
        <v>7.1699999999998987E-3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11"/>
      <c r="H54" s="10"/>
      <c r="I54" s="10">
        <f t="shared" si="8"/>
        <v>29484</v>
      </c>
      <c r="J54" s="10">
        <f t="shared" si="6"/>
        <v>78967769892.900833</v>
      </c>
      <c r="K54" s="11">
        <f t="shared" si="7"/>
        <v>6.2500000000003109E-3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11"/>
      <c r="H55" s="10"/>
      <c r="I55" s="10">
        <f t="shared" si="8"/>
        <v>29484</v>
      </c>
      <c r="J55" s="10">
        <f t="shared" si="6"/>
        <v>78477286850.087769</v>
      </c>
      <c r="K55" s="11">
        <f t="shared" si="7"/>
        <v>6.1899999999999178E-3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11"/>
      <c r="H56" s="10"/>
      <c r="I56" s="10">
        <f t="shared" si="8"/>
        <v>29484</v>
      </c>
      <c r="J56" s="10">
        <f t="shared" si="6"/>
        <v>77994500889.581268</v>
      </c>
      <c r="K56" s="11">
        <f t="shared" si="7"/>
        <v>6.7600000000000993E-3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11"/>
      <c r="H57" s="10"/>
      <c r="I57" s="10">
        <f t="shared" si="8"/>
        <v>29484</v>
      </c>
      <c r="J57" s="10">
        <f t="shared" si="6"/>
        <v>77470798293.119766</v>
      </c>
      <c r="K57" s="11">
        <f t="shared" si="7"/>
        <v>5.5199999999997473E-3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11"/>
      <c r="H58" s="10"/>
      <c r="I58" s="10">
        <f t="shared" si="8"/>
        <v>29484</v>
      </c>
      <c r="J58" s="10">
        <f t="shared" si="6"/>
        <v>77045507093.961121</v>
      </c>
      <c r="K58" s="11">
        <f t="shared" si="7"/>
        <v>6.9300000000001027E-3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11"/>
      <c r="H59" s="10"/>
      <c r="I59" s="10">
        <f t="shared" si="8"/>
        <v>29484</v>
      </c>
      <c r="J59" s="10">
        <f t="shared" si="6"/>
        <v>76515256367.33548</v>
      </c>
      <c r="K59" s="11">
        <f t="shared" si="7"/>
        <v>6.3000000000001943E-3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11"/>
      <c r="H60" s="10"/>
      <c r="I60" s="10">
        <f t="shared" si="8"/>
        <v>29484</v>
      </c>
      <c r="J60" s="10">
        <f t="shared" si="6"/>
        <v>76036228130.115738</v>
      </c>
      <c r="K60" s="11">
        <f t="shared" si="7"/>
        <v>5.8199999999999363E-3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11"/>
      <c r="H61" s="10"/>
      <c r="I61" s="10">
        <f t="shared" si="8"/>
        <v>29484</v>
      </c>
      <c r="J61" s="10">
        <f t="shared" si="6"/>
        <v>75596257909.084869</v>
      </c>
      <c r="K61" s="11">
        <f t="shared" si="7"/>
        <v>5.3399999999999004E-3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11"/>
      <c r="H62" s="10"/>
      <c r="I62" s="10">
        <f t="shared" si="8"/>
        <v>29484</v>
      </c>
      <c r="J62" s="10">
        <f t="shared" si="6"/>
        <v>75194718114.354233</v>
      </c>
      <c r="K62" s="11">
        <f t="shared" si="7"/>
        <v>5.1900000000000279E-3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11"/>
      <c r="H63" s="10"/>
      <c r="I63" s="10">
        <f t="shared" si="8"/>
        <v>29484</v>
      </c>
      <c r="J63" s="10">
        <f t="shared" si="6"/>
        <v>74806472521.965225</v>
      </c>
      <c r="K63" s="11">
        <f t="shared" si="7"/>
        <v>5.5000000000000604E-3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11"/>
      <c r="H64" s="10"/>
      <c r="I64" s="10">
        <f t="shared" si="8"/>
        <v>29484</v>
      </c>
      <c r="J64" s="10">
        <f t="shared" si="6"/>
        <v>74397287441.039505</v>
      </c>
      <c r="K64" s="11">
        <f t="shared" si="7"/>
        <v>5.11000000000017E-3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11"/>
      <c r="H65" s="10"/>
      <c r="I65" s="10">
        <f t="shared" si="8"/>
        <v>29484</v>
      </c>
      <c r="J65" s="10">
        <f t="shared" si="6"/>
        <v>74019050095.053772</v>
      </c>
      <c r="K65" s="11">
        <f t="shared" si="7"/>
        <v>5.2600000000000424E-3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6">
        <f>SUM(F2)</f>
        <v>3254988</v>
      </c>
      <c r="G66" s="11"/>
      <c r="H66" s="10"/>
      <c r="I66" s="10">
        <f t="shared" si="8"/>
        <v>29484</v>
      </c>
      <c r="J66" s="10">
        <f t="shared" ref="J66:J97" si="9">IF(I66="","",I66*C66)</f>
        <v>73631747105.279999</v>
      </c>
      <c r="K66" s="11">
        <f t="shared" ref="K66:K97" si="10">IFERROR(J66/J67-1,"")</f>
        <v>4.1599999999999415E-3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11"/>
      <c r="H67" s="10"/>
      <c r="I67" s="10">
        <f t="shared" ref="I67:I98" si="11">IF(H67&lt;&gt;"",H67,I66/(1+IF(G66="",0,G66)))</f>
        <v>29484</v>
      </c>
      <c r="J67" s="10">
        <f t="shared" si="9"/>
        <v>73326708000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5">
        <v>236475569</v>
      </c>
      <c r="G2" s="11"/>
      <c r="H2" s="10"/>
      <c r="I2" s="10">
        <f>IF(H2&lt;&gt;"",H2,3135)</f>
        <v>3135</v>
      </c>
      <c r="J2" s="10">
        <f t="shared" ref="J2:J33" si="3">IF(I2="","",I2*C2)</f>
        <v>1054861938237.5669</v>
      </c>
      <c r="K2" s="11">
        <f t="shared" ref="K2:K33" si="4">IFERROR(J2/J3-1,"")</f>
        <v>7.7799999999998981E-3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11"/>
      <c r="H3" s="10"/>
      <c r="I3" s="10">
        <f t="shared" ref="I3:I34" si="5">IF(H3&lt;&gt;"",H3,I2/(1+IF(G2="",0,G2)))</f>
        <v>3135</v>
      </c>
      <c r="J3" s="10">
        <f t="shared" si="3"/>
        <v>1046718468552.2307</v>
      </c>
      <c r="K3" s="11">
        <f t="shared" si="4"/>
        <v>8.0600000000001781E-3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11"/>
      <c r="H4" s="10"/>
      <c r="I4" s="10">
        <f t="shared" si="5"/>
        <v>3135</v>
      </c>
      <c r="J4" s="10">
        <f t="shared" si="3"/>
        <v>1038349372609.0021</v>
      </c>
      <c r="K4" s="11">
        <f t="shared" si="4"/>
        <v>8.0700000000002436E-3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11"/>
      <c r="H5" s="10"/>
      <c r="I5" s="10">
        <f t="shared" si="5"/>
        <v>3135</v>
      </c>
      <c r="J5" s="10">
        <f t="shared" si="3"/>
        <v>1030036974226.9901</v>
      </c>
      <c r="K5" s="11">
        <f t="shared" si="4"/>
        <v>8.1400000000000361E-3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11"/>
      <c r="H6" s="10"/>
      <c r="I6" s="10">
        <f t="shared" si="5"/>
        <v>3135</v>
      </c>
      <c r="J6" s="10">
        <f t="shared" si="3"/>
        <v>1021720172026.6929</v>
      </c>
      <c r="K6" s="11">
        <f t="shared" si="4"/>
        <v>8.0899999999999306E-3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11"/>
      <c r="H7" s="10"/>
      <c r="I7" s="10">
        <f t="shared" si="5"/>
        <v>3135</v>
      </c>
      <c r="J7" s="10">
        <f t="shared" si="3"/>
        <v>1013520788844.9374</v>
      </c>
      <c r="K7" s="11">
        <f t="shared" si="4"/>
        <v>8.1899999999999196E-3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11"/>
      <c r="H8" s="10"/>
      <c r="I8" s="10">
        <f t="shared" si="5"/>
        <v>3135</v>
      </c>
      <c r="J8" s="10">
        <f t="shared" si="3"/>
        <v>1005287484348.1262</v>
      </c>
      <c r="K8" s="11">
        <f t="shared" si="4"/>
        <v>8.6299999999999155E-3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11"/>
      <c r="H9" s="10"/>
      <c r="I9" s="10">
        <f t="shared" si="5"/>
        <v>3135</v>
      </c>
      <c r="J9" s="10">
        <f t="shared" si="3"/>
        <v>996686083447.97034</v>
      </c>
      <c r="K9" s="11">
        <f t="shared" si="4"/>
        <v>9.279999999999955E-3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11"/>
      <c r="H10" s="10"/>
      <c r="I10" s="10">
        <f t="shared" si="5"/>
        <v>3135</v>
      </c>
      <c r="J10" s="10">
        <f t="shared" si="3"/>
        <v>987521880397.87817</v>
      </c>
      <c r="K10" s="11">
        <f t="shared" si="4"/>
        <v>9.8799999999998889E-3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11"/>
      <c r="H11" s="10"/>
      <c r="I11" s="10">
        <f t="shared" si="5"/>
        <v>3135</v>
      </c>
      <c r="J11" s="10">
        <f t="shared" si="3"/>
        <v>977860617497.00781</v>
      </c>
      <c r="K11" s="11">
        <f t="shared" si="4"/>
        <v>1.036999999999999E-2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11"/>
      <c r="H12" s="10"/>
      <c r="I12" s="10">
        <f t="shared" si="5"/>
        <v>3135</v>
      </c>
      <c r="J12" s="10">
        <f t="shared" si="3"/>
        <v>967824279716.34924</v>
      </c>
      <c r="K12" s="11">
        <f t="shared" si="4"/>
        <v>1.0799999999999921E-2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11"/>
      <c r="H13" s="10"/>
      <c r="I13" s="10">
        <f t="shared" si="5"/>
        <v>3135</v>
      </c>
      <c r="J13" s="10">
        <f t="shared" si="3"/>
        <v>957483458365.99658</v>
      </c>
      <c r="K13" s="11">
        <f t="shared" si="4"/>
        <v>1.1120000000000019E-2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11"/>
      <c r="H14" s="10"/>
      <c r="I14" s="10">
        <f t="shared" si="5"/>
        <v>3135</v>
      </c>
      <c r="J14" s="10">
        <f t="shared" si="3"/>
        <v>946953337255.71313</v>
      </c>
      <c r="K14" s="11">
        <f t="shared" si="4"/>
        <v>1.1479999999999935E-2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11"/>
      <c r="H15" s="10"/>
      <c r="I15" s="10">
        <f t="shared" si="5"/>
        <v>3135</v>
      </c>
      <c r="J15" s="10">
        <f t="shared" si="3"/>
        <v>936205695867.1582</v>
      </c>
      <c r="K15" s="11">
        <f t="shared" si="4"/>
        <v>1.2129999999999974E-2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11"/>
      <c r="H16" s="10"/>
      <c r="I16" s="10">
        <f t="shared" si="5"/>
        <v>3135</v>
      </c>
      <c r="J16" s="10">
        <f t="shared" si="3"/>
        <v>924985620293.00415</v>
      </c>
      <c r="K16" s="11">
        <f t="shared" si="4"/>
        <v>1.2699999999999934E-2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11"/>
      <c r="H17" s="10"/>
      <c r="I17" s="10">
        <f t="shared" si="5"/>
        <v>3135</v>
      </c>
      <c r="J17" s="10">
        <f t="shared" si="3"/>
        <v>913385622882.39783</v>
      </c>
      <c r="K17" s="11">
        <f t="shared" si="4"/>
        <v>1.3370000000000326E-2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11"/>
      <c r="H18" s="10"/>
      <c r="I18" s="10">
        <f t="shared" si="5"/>
        <v>3135</v>
      </c>
      <c r="J18" s="10">
        <f t="shared" si="3"/>
        <v>901334776915.04346</v>
      </c>
      <c r="K18" s="11">
        <f t="shared" si="4"/>
        <v>1.4139999999999819E-2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11"/>
      <c r="H19" s="10"/>
      <c r="I19" s="10">
        <f t="shared" si="5"/>
        <v>3135</v>
      </c>
      <c r="J19" s="10">
        <f t="shared" si="3"/>
        <v>888767603008.5033</v>
      </c>
      <c r="K19" s="11">
        <f t="shared" si="4"/>
        <v>1.5000000000000124E-2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11"/>
      <c r="H20" s="10"/>
      <c r="I20" s="10">
        <f t="shared" si="5"/>
        <v>3135</v>
      </c>
      <c r="J20" s="10">
        <f t="shared" si="3"/>
        <v>875633106412.31848</v>
      </c>
      <c r="K20" s="11">
        <f t="shared" si="4"/>
        <v>1.4760000000000106E-2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11"/>
      <c r="H21" s="10"/>
      <c r="I21" s="10">
        <f t="shared" si="5"/>
        <v>3135</v>
      </c>
      <c r="J21" s="10">
        <f t="shared" si="3"/>
        <v>862896750376.75745</v>
      </c>
      <c r="K21" s="11">
        <f t="shared" si="4"/>
        <v>1.4969999999999928E-2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11"/>
      <c r="H22" s="10"/>
      <c r="I22" s="10">
        <f t="shared" si="5"/>
        <v>3135</v>
      </c>
      <c r="J22" s="10">
        <f t="shared" si="3"/>
        <v>850169709820.74097</v>
      </c>
      <c r="K22" s="11">
        <f t="shared" si="4"/>
        <v>1.5309999999999935E-2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11"/>
      <c r="H23" s="10"/>
      <c r="I23" s="10">
        <f t="shared" si="5"/>
        <v>3135</v>
      </c>
      <c r="J23" s="10">
        <f t="shared" si="3"/>
        <v>837349883110.32202</v>
      </c>
      <c r="K23" s="11">
        <f t="shared" si="4"/>
        <v>1.5470000000000095E-2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11"/>
      <c r="H24" s="10"/>
      <c r="I24" s="10">
        <f t="shared" si="5"/>
        <v>3135</v>
      </c>
      <c r="J24" s="10">
        <f t="shared" si="3"/>
        <v>824593422858.69788</v>
      </c>
      <c r="K24" s="11">
        <f t="shared" si="4"/>
        <v>1.5800000000000036E-2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11"/>
      <c r="H25" s="10"/>
      <c r="I25" s="10">
        <f t="shared" si="5"/>
        <v>3135</v>
      </c>
      <c r="J25" s="10">
        <f t="shared" si="3"/>
        <v>811767496415.33557</v>
      </c>
      <c r="K25" s="11">
        <f t="shared" si="4"/>
        <v>1.6610000000000014E-2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11"/>
      <c r="H26" s="10"/>
      <c r="I26" s="10">
        <f t="shared" si="5"/>
        <v>3135</v>
      </c>
      <c r="J26" s="10">
        <f t="shared" si="3"/>
        <v>798504339338.91614</v>
      </c>
      <c r="K26" s="11">
        <f t="shared" si="4"/>
        <v>1.6739999999999977E-2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11"/>
      <c r="H27" s="10"/>
      <c r="I27" s="10">
        <f t="shared" si="5"/>
        <v>3135</v>
      </c>
      <c r="J27" s="10">
        <f t="shared" si="3"/>
        <v>785357455533.28894</v>
      </c>
      <c r="K27" s="11">
        <f t="shared" si="4"/>
        <v>1.7579999999999929E-2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11"/>
      <c r="H28" s="10"/>
      <c r="I28" s="10">
        <f t="shared" si="5"/>
        <v>3135</v>
      </c>
      <c r="J28" s="10">
        <f t="shared" si="3"/>
        <v>771789397917.89246</v>
      </c>
      <c r="K28" s="11">
        <f t="shared" si="4"/>
        <v>1.8140000000000045E-2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11"/>
      <c r="H29" s="10"/>
      <c r="I29" s="10">
        <f t="shared" si="5"/>
        <v>3135</v>
      </c>
      <c r="J29" s="10">
        <f t="shared" si="3"/>
        <v>758038578110.95959</v>
      </c>
      <c r="K29" s="11">
        <f t="shared" si="4"/>
        <v>1.8739999999999979E-2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11"/>
      <c r="H30" s="10"/>
      <c r="I30" s="10">
        <f t="shared" si="5"/>
        <v>3135</v>
      </c>
      <c r="J30" s="10">
        <f t="shared" si="3"/>
        <v>744094251831.63477</v>
      </c>
      <c r="K30" s="11">
        <f t="shared" si="4"/>
        <v>1.9470000000000098E-2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11"/>
      <c r="H31" s="10"/>
      <c r="I31" s="10">
        <f t="shared" si="5"/>
        <v>3135</v>
      </c>
      <c r="J31" s="10">
        <f t="shared" si="3"/>
        <v>729883421612.83289</v>
      </c>
      <c r="K31" s="11">
        <f t="shared" si="4"/>
        <v>2.0170000000000021E-2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11"/>
      <c r="H32" s="10"/>
      <c r="I32" s="10">
        <f t="shared" si="5"/>
        <v>3135</v>
      </c>
      <c r="J32" s="10">
        <f t="shared" si="3"/>
        <v>715452739850.05725</v>
      </c>
      <c r="K32" s="11">
        <f t="shared" si="4"/>
        <v>2.1050000000000013E-2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11"/>
      <c r="H33" s="10"/>
      <c r="I33" s="10">
        <f t="shared" si="5"/>
        <v>3135</v>
      </c>
      <c r="J33" s="10">
        <f t="shared" si="3"/>
        <v>700702942901.9707</v>
      </c>
      <c r="K33" s="11">
        <f t="shared" si="4"/>
        <v>2.1569999999999867E-2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11"/>
      <c r="H34" s="10"/>
      <c r="I34" s="10">
        <f t="shared" si="5"/>
        <v>3135</v>
      </c>
      <c r="J34" s="10">
        <f t="shared" ref="J34:J65" si="6">IF(I34="","",I34*C34)</f>
        <v>685907909298.40417</v>
      </c>
      <c r="K34" s="11">
        <f t="shared" ref="K34:K65" si="7">IFERROR(J34/J35-1,"")</f>
        <v>2.2159999999999958E-2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11"/>
      <c r="H35" s="10"/>
      <c r="I35" s="10">
        <f t="shared" ref="I35:I66" si="8">IF(H35&lt;&gt;"",H35,I34/(1+IF(G34="",0,G34)))</f>
        <v>3135</v>
      </c>
      <c r="J35" s="10">
        <f t="shared" si="6"/>
        <v>671037713565.78638</v>
      </c>
      <c r="K35" s="11">
        <f t="shared" si="7"/>
        <v>2.2520000000000095E-2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11"/>
      <c r="H36" s="10"/>
      <c r="I36" s="10">
        <f t="shared" si="8"/>
        <v>3135</v>
      </c>
      <c r="J36" s="10">
        <f t="shared" si="6"/>
        <v>656258766152.04236</v>
      </c>
      <c r="K36" s="11">
        <f t="shared" si="7"/>
        <v>2.3069999999999924E-2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11"/>
      <c r="H37" s="10"/>
      <c r="I37" s="10">
        <f t="shared" si="8"/>
        <v>3135</v>
      </c>
      <c r="J37" s="10">
        <f t="shared" si="6"/>
        <v>641460277548.9873</v>
      </c>
      <c r="K37" s="11">
        <f t="shared" si="7"/>
        <v>2.350999999999992E-2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11"/>
      <c r="H38" s="10"/>
      <c r="I38" s="10">
        <f t="shared" si="8"/>
        <v>3135</v>
      </c>
      <c r="J38" s="10">
        <f t="shared" si="6"/>
        <v>626725950453.81812</v>
      </c>
      <c r="K38" s="11">
        <f t="shared" si="7"/>
        <v>2.3689999999999989E-2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11"/>
      <c r="H39" s="10"/>
      <c r="I39" s="10">
        <f t="shared" si="8"/>
        <v>3135</v>
      </c>
      <c r="J39" s="10">
        <f t="shared" si="6"/>
        <v>612222401756.21338</v>
      </c>
      <c r="K39" s="11">
        <f t="shared" si="7"/>
        <v>2.3840000000000083E-2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11"/>
      <c r="H40" s="10"/>
      <c r="I40" s="10">
        <f t="shared" si="8"/>
        <v>3135</v>
      </c>
      <c r="J40" s="10">
        <f t="shared" si="6"/>
        <v>597966871538.72998</v>
      </c>
      <c r="K40" s="11">
        <f t="shared" si="7"/>
        <v>2.3879999999999901E-2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11"/>
      <c r="H41" s="10"/>
      <c r="I41" s="10">
        <f t="shared" si="8"/>
        <v>3135</v>
      </c>
      <c r="J41" s="10">
        <f t="shared" si="6"/>
        <v>584020462885.0354</v>
      </c>
      <c r="K41" s="11">
        <f t="shared" si="7"/>
        <v>2.3849999999999927E-2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11"/>
      <c r="H42" s="10"/>
      <c r="I42" s="10">
        <f t="shared" si="8"/>
        <v>3135</v>
      </c>
      <c r="J42" s="10">
        <f t="shared" si="6"/>
        <v>570416040323.32422</v>
      </c>
      <c r="K42" s="11">
        <f t="shared" si="7"/>
        <v>2.3779999999999912E-2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11"/>
      <c r="H43" s="10"/>
      <c r="I43" s="10">
        <f t="shared" si="8"/>
        <v>3135</v>
      </c>
      <c r="J43" s="10">
        <f t="shared" si="6"/>
        <v>557166618143.86316</v>
      </c>
      <c r="K43" s="11">
        <f t="shared" si="7"/>
        <v>2.3789999999999978E-2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11"/>
      <c r="H44" s="10"/>
      <c r="I44" s="10">
        <f t="shared" si="8"/>
        <v>3135</v>
      </c>
      <c r="J44" s="10">
        <f t="shared" si="6"/>
        <v>544219633073.05518</v>
      </c>
      <c r="K44" s="11">
        <f t="shared" si="7"/>
        <v>2.4149999999999894E-2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11"/>
      <c r="H45" s="10"/>
      <c r="I45" s="10">
        <f t="shared" si="8"/>
        <v>3135</v>
      </c>
      <c r="J45" s="10">
        <f t="shared" si="6"/>
        <v>531386645582.24402</v>
      </c>
      <c r="K45" s="11">
        <f t="shared" si="7"/>
        <v>2.4280000000000079E-2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11"/>
      <c r="H46" s="10"/>
      <c r="I46" s="10">
        <f t="shared" si="8"/>
        <v>3135</v>
      </c>
      <c r="J46" s="10">
        <f t="shared" si="6"/>
        <v>518790414322.49384</v>
      </c>
      <c r="K46" s="11">
        <f t="shared" si="7"/>
        <v>2.4389999999999912E-2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11"/>
      <c r="H47" s="10"/>
      <c r="I47" s="10">
        <f t="shared" si="8"/>
        <v>3135</v>
      </c>
      <c r="J47" s="10">
        <f t="shared" si="6"/>
        <v>506438382181.09692</v>
      </c>
      <c r="K47" s="11">
        <f t="shared" si="7"/>
        <v>2.4569999999999759E-2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11"/>
      <c r="H48" s="10"/>
      <c r="I48" s="10">
        <f t="shared" si="8"/>
        <v>3135</v>
      </c>
      <c r="J48" s="10">
        <f t="shared" si="6"/>
        <v>494293588706.57642</v>
      </c>
      <c r="K48" s="11">
        <f t="shared" si="7"/>
        <v>2.4899999999999922E-2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11"/>
      <c r="H49" s="10"/>
      <c r="I49" s="10">
        <f t="shared" si="8"/>
        <v>3135</v>
      </c>
      <c r="J49" s="10">
        <f t="shared" si="6"/>
        <v>482284699684.43408</v>
      </c>
      <c r="K49" s="11">
        <f t="shared" si="7"/>
        <v>2.5269999999999904E-2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11"/>
      <c r="H50" s="10"/>
      <c r="I50" s="10">
        <f t="shared" si="8"/>
        <v>3135</v>
      </c>
      <c r="J50" s="10">
        <f t="shared" si="6"/>
        <v>470397748577.87134</v>
      </c>
      <c r="K50" s="11">
        <f t="shared" si="7"/>
        <v>2.5979999999999892E-2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11"/>
      <c r="H51" s="10"/>
      <c r="I51" s="10">
        <f t="shared" si="8"/>
        <v>3135</v>
      </c>
      <c r="J51" s="10">
        <f t="shared" si="6"/>
        <v>458486275149.48773</v>
      </c>
      <c r="K51" s="11">
        <f t="shared" si="7"/>
        <v>2.6890000000000081E-2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11"/>
      <c r="H52" s="10"/>
      <c r="I52" s="10">
        <f t="shared" si="8"/>
        <v>3135</v>
      </c>
      <c r="J52" s="10">
        <f t="shared" si="6"/>
        <v>446480416743.26135</v>
      </c>
      <c r="K52" s="11">
        <f t="shared" si="7"/>
        <v>2.7770000000000072E-2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11"/>
      <c r="H53" s="10"/>
      <c r="I53" s="10">
        <f t="shared" si="8"/>
        <v>3135</v>
      </c>
      <c r="J53" s="10">
        <f t="shared" si="6"/>
        <v>434416665930.37482</v>
      </c>
      <c r="K53" s="11">
        <f t="shared" si="7"/>
        <v>2.8599999999999959E-2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11"/>
      <c r="H54" s="10"/>
      <c r="I54" s="10">
        <f t="shared" si="8"/>
        <v>3135</v>
      </c>
      <c r="J54" s="10">
        <f t="shared" si="6"/>
        <v>422337804715.51123</v>
      </c>
      <c r="K54" s="11">
        <f t="shared" si="7"/>
        <v>2.9290000000000038E-2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11"/>
      <c r="H55" s="10"/>
      <c r="I55" s="10">
        <f t="shared" si="8"/>
        <v>3135</v>
      </c>
      <c r="J55" s="10">
        <f t="shared" si="6"/>
        <v>410319545235.56165</v>
      </c>
      <c r="K55" s="11">
        <f t="shared" si="7"/>
        <v>2.966000000000002E-2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11"/>
      <c r="H56" s="10"/>
      <c r="I56" s="10">
        <f t="shared" si="8"/>
        <v>3135</v>
      </c>
      <c r="J56" s="10">
        <f t="shared" si="6"/>
        <v>398500034220.57922</v>
      </c>
      <c r="K56" s="11">
        <f t="shared" si="7"/>
        <v>3.0030000000000001E-2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11"/>
      <c r="H57" s="10"/>
      <c r="I57" s="10">
        <f t="shared" si="8"/>
        <v>3135</v>
      </c>
      <c r="J57" s="10">
        <f t="shared" si="6"/>
        <v>386881968700.50311</v>
      </c>
      <c r="K57" s="11">
        <f t="shared" si="7"/>
        <v>3.0319999999999903E-2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11"/>
      <c r="H58" s="10"/>
      <c r="I58" s="10">
        <f t="shared" si="8"/>
        <v>3135</v>
      </c>
      <c r="J58" s="10">
        <f t="shared" si="6"/>
        <v>375496902613.26886</v>
      </c>
      <c r="K58" s="11">
        <f t="shared" si="7"/>
        <v>3.065999999999991E-2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11"/>
      <c r="H59" s="10"/>
      <c r="I59" s="10">
        <f t="shared" si="8"/>
        <v>3135</v>
      </c>
      <c r="J59" s="10">
        <f t="shared" si="6"/>
        <v>364326647597.91675</v>
      </c>
      <c r="K59" s="11">
        <f t="shared" si="7"/>
        <v>3.0720000000000081E-2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11"/>
      <c r="H60" s="10"/>
      <c r="I60" s="10">
        <f t="shared" si="8"/>
        <v>3135</v>
      </c>
      <c r="J60" s="10">
        <f t="shared" si="6"/>
        <v>353468107340.41907</v>
      </c>
      <c r="K60" s="11">
        <f t="shared" si="7"/>
        <v>3.073999999999999E-2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11"/>
      <c r="H61" s="10"/>
      <c r="I61" s="10">
        <f t="shared" si="8"/>
        <v>3135</v>
      </c>
      <c r="J61" s="10">
        <f t="shared" si="6"/>
        <v>342926545336.76685</v>
      </c>
      <c r="K61" s="11">
        <f t="shared" si="7"/>
        <v>3.069999999999995E-2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11"/>
      <c r="H62" s="10"/>
      <c r="I62" s="10">
        <f t="shared" si="8"/>
        <v>3135</v>
      </c>
      <c r="J62" s="10">
        <f t="shared" si="6"/>
        <v>332712278390.18811</v>
      </c>
      <c r="K62" s="11">
        <f t="shared" si="7"/>
        <v>3.0589999999999895E-2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11"/>
      <c r="H63" s="10"/>
      <c r="I63" s="10">
        <f t="shared" si="8"/>
        <v>3135</v>
      </c>
      <c r="J63" s="10">
        <f t="shared" si="6"/>
        <v>322836703626.2608</v>
      </c>
      <c r="K63" s="11">
        <f t="shared" si="7"/>
        <v>3.0429999999999735E-2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11"/>
      <c r="H64" s="10"/>
      <c r="I64" s="10">
        <f t="shared" si="8"/>
        <v>3135</v>
      </c>
      <c r="J64" s="10">
        <f t="shared" si="6"/>
        <v>313302896486.18622</v>
      </c>
      <c r="K64" s="11">
        <f t="shared" si="7"/>
        <v>3.029000000000015E-2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11"/>
      <c r="H65" s="10"/>
      <c r="I65" s="10">
        <f t="shared" si="8"/>
        <v>3135</v>
      </c>
      <c r="J65" s="10">
        <f t="shared" si="6"/>
        <v>304091951281.8587</v>
      </c>
      <c r="K65" s="11">
        <f t="shared" si="7"/>
        <v>3.0119999999999925E-2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6">
        <f>SUM(F2)</f>
        <v>236475569</v>
      </c>
      <c r="G66" s="11"/>
      <c r="H66" s="10"/>
      <c r="I66" s="10">
        <f t="shared" si="8"/>
        <v>3135</v>
      </c>
      <c r="J66" s="10">
        <f t="shared" ref="J66:J97" si="9">IF(I66="","",I66*C66)</f>
        <v>295200511864.5</v>
      </c>
      <c r="K66" s="11">
        <f t="shared" ref="K66:K97" si="10">IFERROR(J66/J67-1,"")</f>
        <v>2.9889999999999972E-2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11"/>
      <c r="H67" s="10"/>
      <c r="I67" s="10">
        <f t="shared" ref="I67:I98" si="11">IF(H67&lt;&gt;"",H67,I66/(1+IF(G66="",0,G66)))</f>
        <v>3135</v>
      </c>
      <c r="J67" s="10">
        <f t="shared" si="9"/>
        <v>286633050000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5">
        <v>2051970</v>
      </c>
      <c r="G2" s="11"/>
      <c r="H2" s="10"/>
      <c r="I2" s="10">
        <f>IF(H2&lt;&gt;"",H2,13056)</f>
        <v>13056</v>
      </c>
      <c r="J2" s="10">
        <f t="shared" ref="J2:J33" si="3">IF(I2="","",I2*C2)</f>
        <v>26788132443.603695</v>
      </c>
      <c r="K2" s="11">
        <f t="shared" ref="K2:K33" si="4">IFERROR(J2/J3-1,"")</f>
        <v>7.6899999999999746E-3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11"/>
      <c r="H3" s="10"/>
      <c r="I3" s="10">
        <f t="shared" ref="I3:I34" si="5">IF(H3&lt;&gt;"",H3,I2/(1+IF(G2="",0,G2)))</f>
        <v>13056</v>
      </c>
      <c r="J3" s="10">
        <f t="shared" si="3"/>
        <v>26583703761.676407</v>
      </c>
      <c r="K3" s="11">
        <f t="shared" si="4"/>
        <v>7.9599999999999671E-3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11"/>
      <c r="H4" s="10"/>
      <c r="I4" s="10">
        <f t="shared" si="5"/>
        <v>13056</v>
      </c>
      <c r="J4" s="10">
        <f t="shared" si="3"/>
        <v>26373768563.907703</v>
      </c>
      <c r="K4" s="11">
        <f t="shared" si="4"/>
        <v>7.8700000000000436E-3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11"/>
      <c r="H5" s="10"/>
      <c r="I5" s="10">
        <f t="shared" si="5"/>
        <v>13056</v>
      </c>
      <c r="J5" s="10">
        <f t="shared" si="3"/>
        <v>26167827759.440903</v>
      </c>
      <c r="K5" s="11">
        <f t="shared" si="4"/>
        <v>7.6700000000000657E-3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11"/>
      <c r="H6" s="10"/>
      <c r="I6" s="10">
        <f t="shared" si="5"/>
        <v>13056</v>
      </c>
      <c r="J6" s="10">
        <f t="shared" si="3"/>
        <v>25968648227.535702</v>
      </c>
      <c r="K6" s="11">
        <f t="shared" si="4"/>
        <v>7.7599999999999891E-3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11"/>
      <c r="H7" s="10"/>
      <c r="I7" s="10">
        <f t="shared" si="5"/>
        <v>13056</v>
      </c>
      <c r="J7" s="10">
        <f t="shared" si="3"/>
        <v>25768683245.550232</v>
      </c>
      <c r="K7" s="11">
        <f t="shared" si="4"/>
        <v>9.5000000000000639E-3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11"/>
      <c r="H8" s="10"/>
      <c r="I8" s="10">
        <f t="shared" si="5"/>
        <v>13056</v>
      </c>
      <c r="J8" s="10">
        <f t="shared" si="3"/>
        <v>25526184492.867985</v>
      </c>
      <c r="K8" s="11">
        <f t="shared" si="4"/>
        <v>1.2369999999999992E-2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11"/>
      <c r="H9" s="10"/>
      <c r="I9" s="10">
        <f t="shared" si="5"/>
        <v>13056</v>
      </c>
      <c r="J9" s="10">
        <f t="shared" si="3"/>
        <v>25214283802.234344</v>
      </c>
      <c r="K9" s="11">
        <f t="shared" si="4"/>
        <v>1.2440000000000007E-2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11"/>
      <c r="H10" s="10"/>
      <c r="I10" s="10">
        <f t="shared" si="5"/>
        <v>13056</v>
      </c>
      <c r="J10" s="10">
        <f t="shared" si="3"/>
        <v>24904472168.458717</v>
      </c>
      <c r="K10" s="11">
        <f t="shared" si="4"/>
        <v>1.261000000000001E-2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11"/>
      <c r="H11" s="10"/>
      <c r="I11" s="10">
        <f t="shared" si="5"/>
        <v>13056</v>
      </c>
      <c r="J11" s="10">
        <f t="shared" si="3"/>
        <v>24594337571.679836</v>
      </c>
      <c r="K11" s="11">
        <f t="shared" si="4"/>
        <v>1.2280000000000069E-2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11"/>
      <c r="H12" s="10"/>
      <c r="I12" s="10">
        <f t="shared" si="5"/>
        <v>13056</v>
      </c>
      <c r="J12" s="10">
        <f t="shared" si="3"/>
        <v>24295982901.647602</v>
      </c>
      <c r="K12" s="11">
        <f t="shared" si="4"/>
        <v>1.2250000000000094E-2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11"/>
      <c r="H13" s="10"/>
      <c r="I13" s="10">
        <f t="shared" si="5"/>
        <v>13056</v>
      </c>
      <c r="J13" s="10">
        <f t="shared" si="3"/>
        <v>24001958905.060608</v>
      </c>
      <c r="K13" s="11">
        <f t="shared" si="4"/>
        <v>9.4499999999999584E-3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11"/>
      <c r="H14" s="10"/>
      <c r="I14" s="10">
        <f t="shared" si="5"/>
        <v>13056</v>
      </c>
      <c r="J14" s="10">
        <f t="shared" si="3"/>
        <v>23777263762.504936</v>
      </c>
      <c r="K14" s="11">
        <f t="shared" si="4"/>
        <v>1.0009999999999852E-2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11"/>
      <c r="H15" s="10"/>
      <c r="I15" s="10">
        <f t="shared" si="5"/>
        <v>13056</v>
      </c>
      <c r="J15" s="10">
        <f t="shared" si="3"/>
        <v>23541612224.141285</v>
      </c>
      <c r="K15" s="11">
        <f t="shared" si="4"/>
        <v>1.0280000000000067E-2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11"/>
      <c r="H16" s="10"/>
      <c r="I16" s="10">
        <f t="shared" si="5"/>
        <v>13056</v>
      </c>
      <c r="J16" s="10">
        <f t="shared" si="3"/>
        <v>23302066975.631786</v>
      </c>
      <c r="K16" s="11">
        <f t="shared" si="4"/>
        <v>1.3379999999999725E-2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11"/>
      <c r="H17" s="10"/>
      <c r="I17" s="10">
        <f t="shared" si="5"/>
        <v>13056</v>
      </c>
      <c r="J17" s="10">
        <f t="shared" si="3"/>
        <v>22994401878.497494</v>
      </c>
      <c r="K17" s="11">
        <f t="shared" si="4"/>
        <v>2.1169999999999911E-2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11"/>
      <c r="H18" s="10"/>
      <c r="I18" s="10">
        <f t="shared" si="5"/>
        <v>13056</v>
      </c>
      <c r="J18" s="10">
        <f t="shared" si="3"/>
        <v>22517702124.521378</v>
      </c>
      <c r="K18" s="11">
        <f t="shared" si="4"/>
        <v>3.1239999999999934E-2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11"/>
      <c r="H19" s="10"/>
      <c r="I19" s="10">
        <f t="shared" si="5"/>
        <v>13056</v>
      </c>
      <c r="J19" s="10">
        <f t="shared" si="3"/>
        <v>21835559253.443794</v>
      </c>
      <c r="K19" s="11">
        <f t="shared" si="4"/>
        <v>3.2089999999999952E-2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11"/>
      <c r="H20" s="10"/>
      <c r="I20" s="10">
        <f t="shared" si="5"/>
        <v>13056</v>
      </c>
      <c r="J20" s="10">
        <f t="shared" si="3"/>
        <v>21156642592.645794</v>
      </c>
      <c r="K20" s="11">
        <f t="shared" si="4"/>
        <v>3.2710000000000017E-2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11"/>
      <c r="H21" s="10"/>
      <c r="I21" s="10">
        <f t="shared" si="5"/>
        <v>13056</v>
      </c>
      <c r="J21" s="10">
        <f t="shared" si="3"/>
        <v>20486528253.47464</v>
      </c>
      <c r="K21" s="11">
        <f t="shared" si="4"/>
        <v>3.308000000000022E-2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11"/>
      <c r="H22" s="10"/>
      <c r="I22" s="10">
        <f t="shared" si="5"/>
        <v>13056</v>
      </c>
      <c r="J22" s="10">
        <f t="shared" si="3"/>
        <v>19830534182.710571</v>
      </c>
      <c r="K22" s="11">
        <f t="shared" si="4"/>
        <v>3.3349999999999991E-2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11"/>
      <c r="H23" s="10"/>
      <c r="I23" s="10">
        <f t="shared" si="5"/>
        <v>13056</v>
      </c>
      <c r="J23" s="10">
        <f t="shared" si="3"/>
        <v>19190530006.977859</v>
      </c>
      <c r="K23" s="11">
        <f t="shared" si="4"/>
        <v>3.2510000000000039E-2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11"/>
      <c r="H24" s="10"/>
      <c r="I24" s="10">
        <f t="shared" si="5"/>
        <v>13056</v>
      </c>
      <c r="J24" s="10">
        <f t="shared" si="3"/>
        <v>18586289727.92308</v>
      </c>
      <c r="K24" s="11">
        <f t="shared" si="4"/>
        <v>3.3560000000000034E-2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11"/>
      <c r="H25" s="10"/>
      <c r="I25" s="10">
        <f t="shared" si="5"/>
        <v>13056</v>
      </c>
      <c r="J25" s="10">
        <f t="shared" si="3"/>
        <v>17982787383.338249</v>
      </c>
      <c r="K25" s="11">
        <f t="shared" si="4"/>
        <v>2.9199999999999893E-2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11"/>
      <c r="H26" s="10"/>
      <c r="I26" s="10">
        <f t="shared" si="5"/>
        <v>13056</v>
      </c>
      <c r="J26" s="10">
        <f t="shared" si="3"/>
        <v>17472587819.022785</v>
      </c>
      <c r="K26" s="11">
        <f t="shared" si="4"/>
        <v>3.9830000000000032E-2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11"/>
      <c r="H27" s="10"/>
      <c r="I27" s="10">
        <f t="shared" si="5"/>
        <v>13056</v>
      </c>
      <c r="J27" s="10">
        <f t="shared" si="3"/>
        <v>16803311905.814205</v>
      </c>
      <c r="K27" s="11">
        <f t="shared" si="4"/>
        <v>2.4370000000000003E-2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11"/>
      <c r="H28" s="10"/>
      <c r="I28" s="10">
        <f t="shared" si="5"/>
        <v>13056</v>
      </c>
      <c r="J28" s="10">
        <f t="shared" si="3"/>
        <v>16403557216.449333</v>
      </c>
      <c r="K28" s="11">
        <f t="shared" si="4"/>
        <v>8.1400000000000361E-3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11"/>
      <c r="H29" s="10"/>
      <c r="I29" s="10">
        <f t="shared" si="5"/>
        <v>13056</v>
      </c>
      <c r="J29" s="10">
        <f t="shared" si="3"/>
        <v>16271110377.972635</v>
      </c>
      <c r="K29" s="11">
        <f t="shared" si="4"/>
        <v>-2.2599999999999287E-3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11"/>
      <c r="H30" s="10"/>
      <c r="I30" s="10">
        <f t="shared" si="5"/>
        <v>13056</v>
      </c>
      <c r="J30" s="10">
        <f t="shared" si="3"/>
        <v>16307966381.995945</v>
      </c>
      <c r="K30" s="11">
        <f t="shared" si="4"/>
        <v>-4.2000000000000925E-3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11"/>
      <c r="H31" s="10"/>
      <c r="I31" s="10">
        <f t="shared" si="5"/>
        <v>13056</v>
      </c>
      <c r="J31" s="10">
        <f t="shared" si="3"/>
        <v>16376748726.647867</v>
      </c>
      <c r="K31" s="11">
        <f t="shared" si="4"/>
        <v>-2.5300000000000322E-3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11"/>
      <c r="H32" s="10"/>
      <c r="I32" s="10">
        <f t="shared" si="5"/>
        <v>13056</v>
      </c>
      <c r="J32" s="10">
        <f t="shared" si="3"/>
        <v>16418286992.739498</v>
      </c>
      <c r="K32" s="11">
        <f t="shared" si="4"/>
        <v>1.2700000000001044E-3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11"/>
      <c r="H33" s="10"/>
      <c r="I33" s="10">
        <f t="shared" si="5"/>
        <v>13056</v>
      </c>
      <c r="J33" s="10">
        <f t="shared" si="3"/>
        <v>16397462215.725525</v>
      </c>
      <c r="K33" s="11">
        <f t="shared" si="4"/>
        <v>4.769999999999941E-3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11"/>
      <c r="H34" s="10"/>
      <c r="I34" s="10">
        <f t="shared" si="5"/>
        <v>13056</v>
      </c>
      <c r="J34" s="10">
        <f t="shared" ref="J34:J65" si="6">IF(I34="","",I34*C34)</f>
        <v>16319617639.584707</v>
      </c>
      <c r="K34" s="11">
        <f t="shared" ref="K34:K65" si="7">IFERROR(J34/J35-1,"")</f>
        <v>7.0200000000000262E-3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11"/>
      <c r="H35" s="10"/>
      <c r="I35" s="10">
        <f t="shared" ref="I35:I66" si="8">IF(H35&lt;&gt;"",H35,I34/(1+IF(G34="",0,G34)))</f>
        <v>13056</v>
      </c>
      <c r="J35" s="10">
        <f t="shared" si="6"/>
        <v>16205852554.651058</v>
      </c>
      <c r="K35" s="11">
        <f t="shared" si="7"/>
        <v>7.1200000000000152E-3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11"/>
      <c r="H36" s="10"/>
      <c r="I36" s="10">
        <f t="shared" si="8"/>
        <v>13056</v>
      </c>
      <c r="J36" s="10">
        <f t="shared" si="6"/>
        <v>16091282622.379713</v>
      </c>
      <c r="K36" s="11">
        <f t="shared" si="7"/>
        <v>5.2399999999999114E-3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11"/>
      <c r="H37" s="10"/>
      <c r="I37" s="10">
        <f t="shared" si="8"/>
        <v>13056</v>
      </c>
      <c r="J37" s="10">
        <f t="shared" si="6"/>
        <v>16007403826.329748</v>
      </c>
      <c r="K37" s="11">
        <f t="shared" si="7"/>
        <v>2.0599999999999508E-3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11"/>
      <c r="H38" s="10"/>
      <c r="I38" s="10">
        <f t="shared" si="8"/>
        <v>13056</v>
      </c>
      <c r="J38" s="10">
        <f t="shared" si="6"/>
        <v>15974496363.820278</v>
      </c>
      <c r="K38" s="11">
        <f t="shared" si="7"/>
        <v>2.5500000000000522E-3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11"/>
      <c r="H39" s="10"/>
      <c r="I39" s="10">
        <f t="shared" si="8"/>
        <v>13056</v>
      </c>
      <c r="J39" s="10">
        <f t="shared" si="6"/>
        <v>15933865008.049751</v>
      </c>
      <c r="K39" s="11">
        <f t="shared" si="7"/>
        <v>3.1799999999999606E-3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11"/>
      <c r="H40" s="10"/>
      <c r="I40" s="10">
        <f t="shared" si="8"/>
        <v>13056</v>
      </c>
      <c r="J40" s="10">
        <f t="shared" si="6"/>
        <v>15883355936.172722</v>
      </c>
      <c r="K40" s="11">
        <f t="shared" si="7"/>
        <v>3.5799999999999166E-3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11"/>
      <c r="H41" s="10"/>
      <c r="I41" s="10">
        <f t="shared" si="8"/>
        <v>13056</v>
      </c>
      <c r="J41" s="10">
        <f t="shared" si="6"/>
        <v>15826696363.192493</v>
      </c>
      <c r="K41" s="11">
        <f t="shared" si="7"/>
        <v>4.2400000000000215E-3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11"/>
      <c r="H42" s="10"/>
      <c r="I42" s="10">
        <f t="shared" si="8"/>
        <v>13056</v>
      </c>
      <c r="J42" s="10">
        <f t="shared" si="6"/>
        <v>15759874495.332285</v>
      </c>
      <c r="K42" s="11">
        <f t="shared" si="7"/>
        <v>1.0799999999999921E-2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11"/>
      <c r="H43" s="10"/>
      <c r="I43" s="10">
        <f t="shared" si="8"/>
        <v>13056</v>
      </c>
      <c r="J43" s="10">
        <f t="shared" si="6"/>
        <v>15591486441.761265</v>
      </c>
      <c r="K43" s="11">
        <f t="shared" si="7"/>
        <v>1.2040000000000051E-2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11"/>
      <c r="H44" s="10"/>
      <c r="I44" s="10">
        <f t="shared" si="8"/>
        <v>13056</v>
      </c>
      <c r="J44" s="10">
        <f t="shared" si="6"/>
        <v>15405998223.154484</v>
      </c>
      <c r="K44" s="11">
        <f t="shared" si="7"/>
        <v>1.0920000000000041E-2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11"/>
      <c r="H45" s="10"/>
      <c r="I45" s="10">
        <f t="shared" si="8"/>
        <v>13056</v>
      </c>
      <c r="J45" s="10">
        <f t="shared" si="6"/>
        <v>15239581987.847191</v>
      </c>
      <c r="K45" s="11">
        <f t="shared" si="7"/>
        <v>7.3199999999999932E-3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11"/>
      <c r="H46" s="10"/>
      <c r="I46" s="10">
        <f t="shared" si="8"/>
        <v>13056</v>
      </c>
      <c r="J46" s="10">
        <f t="shared" si="6"/>
        <v>15128838887.19294</v>
      </c>
      <c r="K46" s="11">
        <f t="shared" si="7"/>
        <v>-3.4199999999999786E-3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11"/>
      <c r="H47" s="10"/>
      <c r="I47" s="10">
        <f t="shared" si="8"/>
        <v>13056</v>
      </c>
      <c r="J47" s="10">
        <f t="shared" si="6"/>
        <v>15180757076.394207</v>
      </c>
      <c r="K47" s="11">
        <f t="shared" si="7"/>
        <v>-2.3600000000000287E-3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11"/>
      <c r="H48" s="10"/>
      <c r="I48" s="10">
        <f t="shared" si="8"/>
        <v>13056</v>
      </c>
      <c r="J48" s="10">
        <f t="shared" si="6"/>
        <v>15216668413.850895</v>
      </c>
      <c r="K48" s="11">
        <f t="shared" si="7"/>
        <v>-1.0800000000000809E-3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11"/>
      <c r="H49" s="10"/>
      <c r="I49" s="10">
        <f t="shared" si="8"/>
        <v>13056</v>
      </c>
      <c r="J49" s="10">
        <f t="shared" si="6"/>
        <v>15233120183.649237</v>
      </c>
      <c r="K49" s="11">
        <f t="shared" si="7"/>
        <v>4.9000000000010147E-4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11"/>
      <c r="H50" s="10"/>
      <c r="I50" s="10">
        <f t="shared" si="8"/>
        <v>13056</v>
      </c>
      <c r="J50" s="10">
        <f t="shared" si="6"/>
        <v>15225659610.440119</v>
      </c>
      <c r="K50" s="11">
        <f t="shared" si="7"/>
        <v>2.1899999999999142E-3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11"/>
      <c r="H51" s="10"/>
      <c r="I51" s="10">
        <f t="shared" si="8"/>
        <v>13056</v>
      </c>
      <c r="J51" s="10">
        <f t="shared" si="6"/>
        <v>15192388280.106686</v>
      </c>
      <c r="K51" s="11">
        <f t="shared" si="7"/>
        <v>7.8899999999999526E-3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11"/>
      <c r="H52" s="10"/>
      <c r="I52" s="10">
        <f t="shared" si="8"/>
        <v>13056</v>
      </c>
      <c r="J52" s="10">
        <f t="shared" si="6"/>
        <v>15073458691.034424</v>
      </c>
      <c r="K52" s="11">
        <f t="shared" si="7"/>
        <v>9.3799999999999439E-3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11"/>
      <c r="H53" s="10"/>
      <c r="I53" s="10">
        <f t="shared" si="8"/>
        <v>13056</v>
      </c>
      <c r="J53" s="10">
        <f t="shared" si="6"/>
        <v>14933383553.30443</v>
      </c>
      <c r="K53" s="11">
        <f t="shared" si="7"/>
        <v>1.0340000000000016E-2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11"/>
      <c r="H54" s="10"/>
      <c r="I54" s="10">
        <f t="shared" si="8"/>
        <v>13056</v>
      </c>
      <c r="J54" s="10">
        <f t="shared" si="6"/>
        <v>14780552639.016994</v>
      </c>
      <c r="K54" s="11">
        <f t="shared" si="7"/>
        <v>1.1209999999999942E-2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11"/>
      <c r="H55" s="10"/>
      <c r="I55" s="10">
        <f t="shared" si="8"/>
        <v>13056</v>
      </c>
      <c r="J55" s="10">
        <f t="shared" si="6"/>
        <v>14616699438.313499</v>
      </c>
      <c r="K55" s="11">
        <f t="shared" si="7"/>
        <v>1.2860000000000094E-2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11"/>
      <c r="H56" s="10"/>
      <c r="I56" s="10">
        <f t="shared" si="8"/>
        <v>13056</v>
      </c>
      <c r="J56" s="10">
        <f t="shared" si="6"/>
        <v>14431115295.611929</v>
      </c>
      <c r="K56" s="11">
        <f t="shared" si="7"/>
        <v>1.3660000000000228E-2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11"/>
      <c r="H57" s="10"/>
      <c r="I57" s="10">
        <f t="shared" si="8"/>
        <v>13056</v>
      </c>
      <c r="J57" s="10">
        <f t="shared" si="6"/>
        <v>14236642755.570829</v>
      </c>
      <c r="K57" s="11">
        <f t="shared" si="7"/>
        <v>1.0089999999999932E-2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11"/>
      <c r="H58" s="10"/>
      <c r="I58" s="10">
        <f t="shared" si="8"/>
        <v>13056</v>
      </c>
      <c r="J58" s="10">
        <f t="shared" si="6"/>
        <v>14094429957.301657</v>
      </c>
      <c r="K58" s="11">
        <f t="shared" si="7"/>
        <v>2.4580000000000046E-2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11"/>
      <c r="H59" s="10"/>
      <c r="I59" s="10">
        <f t="shared" si="8"/>
        <v>13056</v>
      </c>
      <c r="J59" s="10">
        <f t="shared" si="6"/>
        <v>13756300100.823418</v>
      </c>
      <c r="K59" s="11">
        <f t="shared" si="7"/>
        <v>2.4680000000000257E-2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11"/>
      <c r="H60" s="10"/>
      <c r="I60" s="10">
        <f t="shared" si="8"/>
        <v>13056</v>
      </c>
      <c r="J60" s="10">
        <f t="shared" si="6"/>
        <v>13424971796.876503</v>
      </c>
      <c r="K60" s="11">
        <f t="shared" si="7"/>
        <v>2.5430000000000064E-2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11"/>
      <c r="H61" s="10"/>
      <c r="I61" s="10">
        <f t="shared" si="8"/>
        <v>13056</v>
      </c>
      <c r="J61" s="10">
        <f t="shared" si="6"/>
        <v>13092041189.429316</v>
      </c>
      <c r="K61" s="11">
        <f t="shared" si="7"/>
        <v>2.5910000000000322E-2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11"/>
      <c r="H62" s="10"/>
      <c r="I62" s="10">
        <f t="shared" si="8"/>
        <v>13056</v>
      </c>
      <c r="J62" s="10">
        <f t="shared" si="6"/>
        <v>12761393484.252335</v>
      </c>
      <c r="K62" s="11">
        <f t="shared" si="7"/>
        <v>2.6540000000000008E-2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11"/>
      <c r="H63" s="10"/>
      <c r="I63" s="10">
        <f t="shared" si="8"/>
        <v>13056</v>
      </c>
      <c r="J63" s="10">
        <f t="shared" si="6"/>
        <v>12431462470.290817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11"/>
      <c r="H64" s="10"/>
      <c r="I64" s="10">
        <f t="shared" si="8"/>
        <v>13056</v>
      </c>
      <c r="J64" s="10">
        <f t="shared" si="6"/>
        <v>12111713240.735403</v>
      </c>
      <c r="K64" s="11">
        <f t="shared" si="7"/>
        <v>2.6880000000000015E-2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11"/>
      <c r="H65" s="10"/>
      <c r="I65" s="10">
        <f t="shared" si="8"/>
        <v>13056</v>
      </c>
      <c r="J65" s="10">
        <f t="shared" si="6"/>
        <v>11794672445.402971</v>
      </c>
      <c r="K65" s="11">
        <f t="shared" si="7"/>
        <v>2.6429999999999954E-2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6">
        <f>SUM(F2)</f>
        <v>2051970</v>
      </c>
      <c r="G66" s="11"/>
      <c r="H66" s="10"/>
      <c r="I66" s="10">
        <f t="shared" si="8"/>
        <v>13056</v>
      </c>
      <c r="J66" s="10">
        <f t="shared" ref="J66:J97" si="9">IF(I66="","",I66*C66)</f>
        <v>11490966208.511999</v>
      </c>
      <c r="K66" s="11">
        <f t="shared" ref="K66:K97" si="10">IFERROR(J66/J67-1,"")</f>
        <v>2.6270000000000016E-2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11"/>
      <c r="H67" s="10"/>
      <c r="I67" s="10">
        <f t="shared" ref="I67:I98" si="11">IF(H67&lt;&gt;"",H67,I66/(1+IF(G66="",0,G66)))</f>
        <v>13056</v>
      </c>
      <c r="J67" s="10">
        <f t="shared" si="9"/>
        <v>11196825600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5">
        <v>36356117</v>
      </c>
      <c r="G2" s="11"/>
      <c r="H2" s="10"/>
      <c r="I2" s="10">
        <f>IF(H2&lt;&gt;"",H2,1111)</f>
        <v>1111</v>
      </c>
      <c r="J2" s="10">
        <f t="shared" ref="J2:J33" si="3">IF(I2="","",I2*C2)</f>
        <v>40394531599.127144</v>
      </c>
      <c r="K2" s="11">
        <f t="shared" ref="K2:K33" si="4">IFERROR(J2/J3-1,"")</f>
        <v>2.1730000000000027E-2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11"/>
      <c r="H3" s="10"/>
      <c r="I3" s="10">
        <f t="shared" ref="I3:I34" si="5">IF(H3&lt;&gt;"",H3,I2/(1+IF(G2="",0,G2)))</f>
        <v>1111</v>
      </c>
      <c r="J3" s="10">
        <f t="shared" si="3"/>
        <v>39535426775.299873</v>
      </c>
      <c r="K3" s="11">
        <f t="shared" si="4"/>
        <v>2.2820000000000062E-2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11"/>
      <c r="H4" s="10"/>
      <c r="I4" s="10">
        <f t="shared" si="5"/>
        <v>1111</v>
      </c>
      <c r="J4" s="10">
        <f t="shared" si="3"/>
        <v>38653357164.799156</v>
      </c>
      <c r="K4" s="11">
        <f t="shared" si="4"/>
        <v>2.3970000000000269E-2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11"/>
      <c r="H5" s="10"/>
      <c r="I5" s="10">
        <f t="shared" si="5"/>
        <v>1111</v>
      </c>
      <c r="J5" s="10">
        <f t="shared" si="3"/>
        <v>37748525020.068115</v>
      </c>
      <c r="K5" s="11">
        <f t="shared" si="4"/>
        <v>2.5490000000000013E-2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11"/>
      <c r="H6" s="10"/>
      <c r="I6" s="10">
        <f t="shared" si="5"/>
        <v>1111</v>
      </c>
      <c r="J6" s="10">
        <f t="shared" si="3"/>
        <v>36810232201.258049</v>
      </c>
      <c r="K6" s="11">
        <f t="shared" si="4"/>
        <v>2.6690000000000103E-2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11"/>
      <c r="H7" s="10"/>
      <c r="I7" s="10">
        <f t="shared" si="5"/>
        <v>1111</v>
      </c>
      <c r="J7" s="10">
        <f t="shared" si="3"/>
        <v>35853307426.056595</v>
      </c>
      <c r="K7" s="11">
        <f t="shared" si="4"/>
        <v>2.8340000000000032E-2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11"/>
      <c r="H8" s="10"/>
      <c r="I8" s="10">
        <f t="shared" si="5"/>
        <v>1111</v>
      </c>
      <c r="J8" s="10">
        <f t="shared" si="3"/>
        <v>34865226895.828804</v>
      </c>
      <c r="K8" s="11">
        <f t="shared" si="4"/>
        <v>2.9709999999999903E-2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11"/>
      <c r="H9" s="10"/>
      <c r="I9" s="10">
        <f t="shared" si="5"/>
        <v>1111</v>
      </c>
      <c r="J9" s="10">
        <f t="shared" si="3"/>
        <v>33859268042.292305</v>
      </c>
      <c r="K9" s="11">
        <f t="shared" si="4"/>
        <v>3.0720000000000081E-2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11"/>
      <c r="H10" s="10"/>
      <c r="I10" s="10">
        <f t="shared" si="5"/>
        <v>1111</v>
      </c>
      <c r="J10" s="10">
        <f t="shared" si="3"/>
        <v>32850112583.720413</v>
      </c>
      <c r="K10" s="11">
        <f t="shared" si="4"/>
        <v>2.9859999999999998E-2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11"/>
      <c r="H11" s="10"/>
      <c r="I11" s="10">
        <f t="shared" si="5"/>
        <v>1111</v>
      </c>
      <c r="J11" s="10">
        <f t="shared" si="3"/>
        <v>31897648790.82634</v>
      </c>
      <c r="K11" s="11">
        <f t="shared" si="4"/>
        <v>3.0599999999999961E-2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11"/>
      <c r="H12" s="10"/>
      <c r="I12" s="10">
        <f t="shared" si="5"/>
        <v>1111</v>
      </c>
      <c r="J12" s="10">
        <f t="shared" si="3"/>
        <v>30950561605.692162</v>
      </c>
      <c r="K12" s="11">
        <f t="shared" si="4"/>
        <v>3.0340000000000034E-2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11"/>
      <c r="H13" s="10"/>
      <c r="I13" s="10">
        <f t="shared" si="5"/>
        <v>1111</v>
      </c>
      <c r="J13" s="10">
        <f t="shared" si="3"/>
        <v>30039173094.019604</v>
      </c>
      <c r="K13" s="11">
        <f t="shared" si="4"/>
        <v>3.1120000000000037E-2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11"/>
      <c r="H14" s="10"/>
      <c r="I14" s="10">
        <f t="shared" si="5"/>
        <v>1111</v>
      </c>
      <c r="J14" s="10">
        <f t="shared" si="3"/>
        <v>29132567590.600124</v>
      </c>
      <c r="K14" s="11">
        <f t="shared" si="4"/>
        <v>3.0980000000000008E-2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11"/>
      <c r="H15" s="10"/>
      <c r="I15" s="10">
        <f t="shared" si="5"/>
        <v>1111</v>
      </c>
      <c r="J15" s="10">
        <f t="shared" si="3"/>
        <v>28257160750.548141</v>
      </c>
      <c r="K15" s="11">
        <f t="shared" si="4"/>
        <v>3.0729999999999702E-2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11"/>
      <c r="H16" s="10"/>
      <c r="I16" s="10">
        <f t="shared" si="5"/>
        <v>1111</v>
      </c>
      <c r="J16" s="10">
        <f t="shared" si="3"/>
        <v>27414706810.268593</v>
      </c>
      <c r="K16" s="11">
        <f t="shared" si="4"/>
        <v>3.2219999999999915E-2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11"/>
      <c r="H17" s="10"/>
      <c r="I17" s="10">
        <f t="shared" si="5"/>
        <v>1111</v>
      </c>
      <c r="J17" s="10">
        <f t="shared" si="3"/>
        <v>26558976584.709263</v>
      </c>
      <c r="K17" s="11">
        <f t="shared" si="4"/>
        <v>3.0470000000000219E-2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11"/>
      <c r="H18" s="10"/>
      <c r="I18" s="10">
        <f t="shared" si="5"/>
        <v>1111</v>
      </c>
      <c r="J18" s="10">
        <f t="shared" si="3"/>
        <v>25773653366.628101</v>
      </c>
      <c r="K18" s="11">
        <f t="shared" si="4"/>
        <v>2.9770000000000074E-2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11"/>
      <c r="H19" s="10"/>
      <c r="I19" s="10">
        <f t="shared" si="5"/>
        <v>1111</v>
      </c>
      <c r="J19" s="10">
        <f t="shared" si="3"/>
        <v>25028553333.878536</v>
      </c>
      <c r="K19" s="11">
        <f t="shared" si="4"/>
        <v>2.788999999999997E-2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11"/>
      <c r="H20" s="10"/>
      <c r="I20" s="10">
        <f t="shared" si="5"/>
        <v>1111</v>
      </c>
      <c r="J20" s="10">
        <f t="shared" si="3"/>
        <v>24349447250.073975</v>
      </c>
      <c r="K20" s="11">
        <f t="shared" si="4"/>
        <v>2.729999999999988E-2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11"/>
      <c r="H21" s="10"/>
      <c r="I21" s="10">
        <f t="shared" si="5"/>
        <v>1111</v>
      </c>
      <c r="J21" s="10">
        <f t="shared" si="3"/>
        <v>23702372481.333569</v>
      </c>
      <c r="K21" s="11">
        <f t="shared" si="4"/>
        <v>2.7360000000000051E-2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11"/>
      <c r="H22" s="10"/>
      <c r="I22" s="10">
        <f t="shared" si="5"/>
        <v>1111</v>
      </c>
      <c r="J22" s="10">
        <f t="shared" si="3"/>
        <v>23071145928.723686</v>
      </c>
      <c r="K22" s="11">
        <f t="shared" si="4"/>
        <v>2.7699999999999836E-2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11"/>
      <c r="H23" s="10"/>
      <c r="I23" s="10">
        <f t="shared" si="5"/>
        <v>1111</v>
      </c>
      <c r="J23" s="10">
        <f t="shared" si="3"/>
        <v>22449300310.133003</v>
      </c>
      <c r="K23" s="11">
        <f t="shared" si="4"/>
        <v>2.9100000000000126E-2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11"/>
      <c r="H24" s="10"/>
      <c r="I24" s="10">
        <f t="shared" si="5"/>
        <v>1111</v>
      </c>
      <c r="J24" s="10">
        <f t="shared" si="3"/>
        <v>21814498406.503742</v>
      </c>
      <c r="K24" s="11">
        <f t="shared" si="4"/>
        <v>2.8969999999999718E-2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11"/>
      <c r="H25" s="10"/>
      <c r="I25" s="10">
        <f t="shared" si="5"/>
        <v>1111</v>
      </c>
      <c r="J25" s="10">
        <f t="shared" si="3"/>
        <v>21200324991.499992</v>
      </c>
      <c r="K25" s="11">
        <f t="shared" si="4"/>
        <v>3.0429999999999957E-2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11"/>
      <c r="H26" s="10"/>
      <c r="I26" s="10">
        <f t="shared" si="5"/>
        <v>1111</v>
      </c>
      <c r="J26" s="10">
        <f t="shared" si="3"/>
        <v>20574250547.344307</v>
      </c>
      <c r="K26" s="11">
        <f t="shared" si="4"/>
        <v>3.0869999999999953E-2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11"/>
      <c r="H27" s="10"/>
      <c r="I27" s="10">
        <f t="shared" si="5"/>
        <v>1111</v>
      </c>
      <c r="J27" s="10">
        <f t="shared" si="3"/>
        <v>19958142682.728481</v>
      </c>
      <c r="K27" s="11">
        <f t="shared" si="4"/>
        <v>3.3980000000000121E-2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11"/>
      <c r="H28" s="10"/>
      <c r="I28" s="10">
        <f t="shared" si="5"/>
        <v>1111</v>
      </c>
      <c r="J28" s="10">
        <f t="shared" si="3"/>
        <v>19302252154.51796</v>
      </c>
      <c r="K28" s="11">
        <f t="shared" si="4"/>
        <v>3.4850000000000048E-2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11"/>
      <c r="H29" s="10"/>
      <c r="I29" s="10">
        <f t="shared" si="5"/>
        <v>1111</v>
      </c>
      <c r="J29" s="10">
        <f t="shared" si="3"/>
        <v>18652222210.482639</v>
      </c>
      <c r="K29" s="11">
        <f t="shared" si="4"/>
        <v>3.5299999999999665E-2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11"/>
      <c r="H30" s="10"/>
      <c r="I30" s="10">
        <f t="shared" si="5"/>
        <v>1111</v>
      </c>
      <c r="J30" s="10">
        <f t="shared" si="3"/>
        <v>18016248633.712589</v>
      </c>
      <c r="K30" s="11">
        <f t="shared" si="4"/>
        <v>3.5239999999999938E-2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11"/>
      <c r="H31" s="10"/>
      <c r="I31" s="10">
        <f t="shared" si="5"/>
        <v>1111</v>
      </c>
      <c r="J31" s="10">
        <f t="shared" si="3"/>
        <v>17402968039.98357</v>
      </c>
      <c r="K31" s="11">
        <f t="shared" si="4"/>
        <v>3.5299999999999887E-2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11"/>
      <c r="H32" s="10"/>
      <c r="I32" s="10">
        <f t="shared" si="5"/>
        <v>1111</v>
      </c>
      <c r="J32" s="10">
        <f t="shared" si="3"/>
        <v>16809589529.589079</v>
      </c>
      <c r="K32" s="11">
        <f t="shared" si="4"/>
        <v>3.6319999999999908E-2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11"/>
      <c r="H33" s="10"/>
      <c r="I33" s="10">
        <f t="shared" si="5"/>
        <v>1111</v>
      </c>
      <c r="J33" s="10">
        <f t="shared" si="3"/>
        <v>16220462337.491392</v>
      </c>
      <c r="K33" s="11">
        <f t="shared" si="4"/>
        <v>3.6540000000000017E-2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11"/>
      <c r="H34" s="10"/>
      <c r="I34" s="10">
        <f t="shared" si="5"/>
        <v>1111</v>
      </c>
      <c r="J34" s="10">
        <f t="shared" ref="J34:J65" si="6">IF(I34="","",I34*C34)</f>
        <v>15648660290.47735</v>
      </c>
      <c r="K34" s="11">
        <f t="shared" ref="K34:K65" si="7">IFERROR(J34/J35-1,"")</f>
        <v>3.7020000000000053E-2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11"/>
      <c r="H35" s="10"/>
      <c r="I35" s="10">
        <f t="shared" ref="I35:I66" si="8">IF(H35&lt;&gt;"",H35,I34/(1+IF(G34="",0,G34)))</f>
        <v>1111</v>
      </c>
      <c r="J35" s="10">
        <f t="shared" si="6"/>
        <v>15090027473.41165</v>
      </c>
      <c r="K35" s="11">
        <f t="shared" si="7"/>
        <v>3.6019999999999941E-2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11"/>
      <c r="H36" s="10"/>
      <c r="I36" s="10">
        <f t="shared" si="8"/>
        <v>1111</v>
      </c>
      <c r="J36" s="10">
        <f t="shared" si="6"/>
        <v>14565382399.385775</v>
      </c>
      <c r="K36" s="11">
        <f t="shared" si="7"/>
        <v>3.5519999999999996E-2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11"/>
      <c r="H37" s="10"/>
      <c r="I37" s="10">
        <f t="shared" si="8"/>
        <v>1111</v>
      </c>
      <c r="J37" s="10">
        <f t="shared" si="6"/>
        <v>14065766377.65159</v>
      </c>
      <c r="K37" s="11">
        <f t="shared" si="7"/>
        <v>3.5989999999999966E-2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11"/>
      <c r="H38" s="10"/>
      <c r="I38" s="10">
        <f t="shared" si="8"/>
        <v>1111</v>
      </c>
      <c r="J38" s="10">
        <f t="shared" si="6"/>
        <v>13577125626.358932</v>
      </c>
      <c r="K38" s="11">
        <f t="shared" si="7"/>
        <v>3.4869999999999957E-2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11"/>
      <c r="H39" s="10"/>
      <c r="I39" s="10">
        <f t="shared" si="8"/>
        <v>1111</v>
      </c>
      <c r="J39" s="10">
        <f t="shared" si="6"/>
        <v>13119643652.206493</v>
      </c>
      <c r="K39" s="11">
        <f t="shared" si="7"/>
        <v>3.4419999999999673E-2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11"/>
      <c r="H40" s="10"/>
      <c r="I40" s="10">
        <f t="shared" si="8"/>
        <v>1111</v>
      </c>
      <c r="J40" s="10">
        <f t="shared" si="6"/>
        <v>12683091638.025654</v>
      </c>
      <c r="K40" s="11">
        <f t="shared" si="7"/>
        <v>3.4419999999999895E-2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11"/>
      <c r="H41" s="10"/>
      <c r="I41" s="10">
        <f t="shared" si="8"/>
        <v>1111</v>
      </c>
      <c r="J41" s="10">
        <f t="shared" si="6"/>
        <v>12261065754.747255</v>
      </c>
      <c r="K41" s="11">
        <f t="shared" si="7"/>
        <v>3.1940000000000079E-2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11"/>
      <c r="H42" s="10"/>
      <c r="I42" s="10">
        <f t="shared" si="8"/>
        <v>1111</v>
      </c>
      <c r="J42" s="10">
        <f t="shared" si="6"/>
        <v>11881568458.192583</v>
      </c>
      <c r="K42" s="11">
        <f t="shared" si="7"/>
        <v>3.3020000000000049E-2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11"/>
      <c r="H43" s="10"/>
      <c r="I43" s="10">
        <f t="shared" si="8"/>
        <v>1111</v>
      </c>
      <c r="J43" s="10">
        <f t="shared" si="6"/>
        <v>11501779692.738361</v>
      </c>
      <c r="K43" s="11">
        <f t="shared" si="7"/>
        <v>3.3439999999999692E-2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11"/>
      <c r="H44" s="10"/>
      <c r="I44" s="10">
        <f t="shared" si="8"/>
        <v>1111</v>
      </c>
      <c r="J44" s="10">
        <f t="shared" si="6"/>
        <v>11129605678.83802</v>
      </c>
      <c r="K44" s="11">
        <f t="shared" si="7"/>
        <v>3.4310000000000285E-2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11"/>
      <c r="H45" s="10"/>
      <c r="I45" s="10">
        <f t="shared" si="8"/>
        <v>1111</v>
      </c>
      <c r="J45" s="10">
        <f t="shared" si="6"/>
        <v>10760415812.317408</v>
      </c>
      <c r="K45" s="11">
        <f t="shared" si="7"/>
        <v>3.4750000000000059E-2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11"/>
      <c r="H46" s="10"/>
      <c r="I46" s="10">
        <f t="shared" si="8"/>
        <v>1111</v>
      </c>
      <c r="J46" s="10">
        <f t="shared" si="6"/>
        <v>10399048864.283554</v>
      </c>
      <c r="K46" s="11">
        <f t="shared" si="7"/>
        <v>3.4799999999999942E-2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11"/>
      <c r="H47" s="10"/>
      <c r="I47" s="10">
        <f t="shared" si="8"/>
        <v>1111</v>
      </c>
      <c r="J47" s="10">
        <f t="shared" si="6"/>
        <v>10049332106.961302</v>
      </c>
      <c r="K47" s="11">
        <f t="shared" si="7"/>
        <v>3.783000000000003E-2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11"/>
      <c r="H48" s="10"/>
      <c r="I48" s="10">
        <f t="shared" si="8"/>
        <v>1111</v>
      </c>
      <c r="J48" s="10">
        <f t="shared" si="6"/>
        <v>9683023334.2274761</v>
      </c>
      <c r="K48" s="11">
        <f t="shared" si="7"/>
        <v>3.915000000000024E-2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11"/>
      <c r="H49" s="10"/>
      <c r="I49" s="10">
        <f t="shared" si="8"/>
        <v>1111</v>
      </c>
      <c r="J49" s="10">
        <f t="shared" si="6"/>
        <v>9318215208.8028431</v>
      </c>
      <c r="K49" s="11">
        <f t="shared" si="7"/>
        <v>3.93199999999998E-2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11"/>
      <c r="H50" s="10"/>
      <c r="I50" s="10">
        <f t="shared" si="8"/>
        <v>1111</v>
      </c>
      <c r="J50" s="10">
        <f t="shared" si="6"/>
        <v>8965684494.4798946</v>
      </c>
      <c r="K50" s="11">
        <f t="shared" si="7"/>
        <v>3.9760000000000018E-2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11"/>
      <c r="H51" s="10"/>
      <c r="I51" s="10">
        <f t="shared" si="8"/>
        <v>1111</v>
      </c>
      <c r="J51" s="10">
        <f t="shared" si="6"/>
        <v>8622840361.6987514</v>
      </c>
      <c r="K51" s="11">
        <f t="shared" si="7"/>
        <v>3.9570000000000105E-2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11"/>
      <c r="H52" s="10"/>
      <c r="I52" s="10">
        <f t="shared" si="8"/>
        <v>1111</v>
      </c>
      <c r="J52" s="10">
        <f t="shared" si="6"/>
        <v>8294622162.719923</v>
      </c>
      <c r="K52" s="11">
        <f t="shared" si="7"/>
        <v>4.0159999999999751E-2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11"/>
      <c r="H53" s="10"/>
      <c r="I53" s="10">
        <f t="shared" si="8"/>
        <v>1111</v>
      </c>
      <c r="J53" s="10">
        <f t="shared" si="6"/>
        <v>7974371407.0142326</v>
      </c>
      <c r="K53" s="11">
        <f t="shared" si="7"/>
        <v>3.9469999999999894E-2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11"/>
      <c r="H54" s="10"/>
      <c r="I54" s="10">
        <f t="shared" si="8"/>
        <v>1111</v>
      </c>
      <c r="J54" s="10">
        <f t="shared" si="6"/>
        <v>7671574366.7582836</v>
      </c>
      <c r="K54" s="11">
        <f t="shared" si="7"/>
        <v>3.9069999999999716E-2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11"/>
      <c r="H55" s="10"/>
      <c r="I55" s="10">
        <f t="shared" si="8"/>
        <v>1111</v>
      </c>
      <c r="J55" s="10">
        <f t="shared" si="6"/>
        <v>7383116023.7118626</v>
      </c>
      <c r="K55" s="11">
        <f t="shared" si="7"/>
        <v>3.860000000000019E-2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11"/>
      <c r="H56" s="10"/>
      <c r="I56" s="10">
        <f t="shared" si="8"/>
        <v>1111</v>
      </c>
      <c r="J56" s="10">
        <f t="shared" si="6"/>
        <v>7108719452.8325262</v>
      </c>
      <c r="K56" s="11">
        <f t="shared" si="7"/>
        <v>3.7909999999999888E-2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11"/>
      <c r="H57" s="10"/>
      <c r="I57" s="10">
        <f t="shared" si="8"/>
        <v>1111</v>
      </c>
      <c r="J57" s="10">
        <f t="shared" si="6"/>
        <v>6849071164.9685678</v>
      </c>
      <c r="K57" s="11">
        <f t="shared" si="7"/>
        <v>3.666999999999998E-2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11"/>
      <c r="H58" s="10"/>
      <c r="I58" s="10">
        <f t="shared" si="8"/>
        <v>1111</v>
      </c>
      <c r="J58" s="10">
        <f t="shared" si="6"/>
        <v>6606799815.7258987</v>
      </c>
      <c r="K58" s="11">
        <f t="shared" si="7"/>
        <v>3.5430000000000073E-2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11"/>
      <c r="H59" s="10"/>
      <c r="I59" s="10">
        <f t="shared" si="8"/>
        <v>1111</v>
      </c>
      <c r="J59" s="10">
        <f t="shared" si="6"/>
        <v>6380730532.9437027</v>
      </c>
      <c r="K59" s="11">
        <f t="shared" si="7"/>
        <v>3.2469999999999777E-2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11"/>
      <c r="H60" s="10"/>
      <c r="I60" s="10">
        <f t="shared" si="8"/>
        <v>1111</v>
      </c>
      <c r="J60" s="10">
        <f t="shared" si="6"/>
        <v>6180063859.4280739</v>
      </c>
      <c r="K60" s="11">
        <f t="shared" si="7"/>
        <v>3.2669999999999977E-2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11"/>
      <c r="H61" s="10"/>
      <c r="I61" s="10">
        <f t="shared" si="8"/>
        <v>1111</v>
      </c>
      <c r="J61" s="10">
        <f t="shared" si="6"/>
        <v>5984548654.8733616</v>
      </c>
      <c r="K61" s="11">
        <f t="shared" si="7"/>
        <v>3.0839999999999979E-2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11"/>
      <c r="H62" s="10"/>
      <c r="I62" s="10">
        <f t="shared" si="8"/>
        <v>1111</v>
      </c>
      <c r="J62" s="10">
        <f t="shared" si="6"/>
        <v>5805506824.4085999</v>
      </c>
      <c r="K62" s="11">
        <f t="shared" si="7"/>
        <v>2.8999999999999915E-2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11"/>
      <c r="H63" s="10"/>
      <c r="I63" s="10">
        <f t="shared" si="8"/>
        <v>1111</v>
      </c>
      <c r="J63" s="10">
        <f t="shared" si="6"/>
        <v>5641891957.6371241</v>
      </c>
      <c r="K63" s="11">
        <f t="shared" si="7"/>
        <v>2.7249999999999996E-2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11"/>
      <c r="H64" s="10"/>
      <c r="I64" s="10">
        <f t="shared" si="8"/>
        <v>1111</v>
      </c>
      <c r="J64" s="10">
        <f t="shared" si="6"/>
        <v>5492228724.8840342</v>
      </c>
      <c r="K64" s="11">
        <f t="shared" si="7"/>
        <v>2.5150000000000006E-2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11"/>
      <c r="H65" s="10"/>
      <c r="I65" s="10">
        <f t="shared" si="8"/>
        <v>1111</v>
      </c>
      <c r="J65" s="10">
        <f t="shared" si="6"/>
        <v>5357487904.0960197</v>
      </c>
      <c r="K65" s="11">
        <f t="shared" si="7"/>
        <v>2.4149999999999894E-2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6">
        <f>SUM(F2)</f>
        <v>36356117</v>
      </c>
      <c r="G66" s="11"/>
      <c r="H66" s="10"/>
      <c r="I66" s="10">
        <f t="shared" si="8"/>
        <v>1111</v>
      </c>
      <c r="J66" s="10">
        <f t="shared" ref="J66:J97" si="9">IF(I66="","",I66*C66)</f>
        <v>5231155498.8000002</v>
      </c>
      <c r="K66" s="11">
        <f t="shared" ref="K66:K97" si="10">IFERROR(J66/J67-1,"")</f>
        <v>2.2699999999999942E-2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11"/>
      <c r="H67" s="10"/>
      <c r="I67" s="10">
        <f t="shared" ref="I67:I98" si="11">IF(H67&lt;&gt;"",H67,I66/(1+IF(G66="",0,G66)))</f>
        <v>1111</v>
      </c>
      <c r="J67" s="10">
        <f t="shared" si="9"/>
        <v>5115044000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5">
        <v>12783095</v>
      </c>
      <c r="G2" s="11"/>
      <c r="H2" s="10"/>
      <c r="I2" s="10">
        <f>IF(H2&lt;&gt;"",H2,7222)</f>
        <v>7222</v>
      </c>
      <c r="J2" s="10">
        <f t="shared" ref="J2:J33" si="3">IF(I2="","",I2*C2)</f>
        <v>92319654800.946533</v>
      </c>
      <c r="K2" s="11">
        <f t="shared" ref="K2:K33" si="4">IFERROR(J2/J3-1,"")</f>
        <v>1.4390000000000125E-2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11"/>
      <c r="H3" s="10"/>
      <c r="I3" s="10">
        <f t="shared" ref="I3:I34" si="5">IF(H3&lt;&gt;"",H3,I2/(1+IF(G2="",0,G2)))</f>
        <v>7222</v>
      </c>
      <c r="J3" s="10">
        <f t="shared" si="3"/>
        <v>91010020604.448517</v>
      </c>
      <c r="K3" s="11">
        <f t="shared" si="4"/>
        <v>1.4219999999999899E-2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11"/>
      <c r="H4" s="10"/>
      <c r="I4" s="10">
        <f t="shared" si="5"/>
        <v>7222</v>
      </c>
      <c r="J4" s="10">
        <f t="shared" si="3"/>
        <v>89734003080.6418</v>
      </c>
      <c r="K4" s="11">
        <f t="shared" si="4"/>
        <v>1.4419999999999877E-2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11"/>
      <c r="H5" s="10"/>
      <c r="I5" s="10">
        <f t="shared" si="5"/>
        <v>7222</v>
      </c>
      <c r="J5" s="10">
        <f t="shared" si="3"/>
        <v>88458432484.21936</v>
      </c>
      <c r="K5" s="11">
        <f t="shared" si="4"/>
        <v>1.5540000000000331E-2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11"/>
      <c r="H6" s="10"/>
      <c r="I6" s="10">
        <f t="shared" si="5"/>
        <v>7222</v>
      </c>
      <c r="J6" s="10">
        <f t="shared" si="3"/>
        <v>87104823526.615723</v>
      </c>
      <c r="K6" s="11">
        <f t="shared" si="4"/>
        <v>1.6309999999999825E-2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11"/>
      <c r="H7" s="10"/>
      <c r="I7" s="10">
        <f t="shared" si="5"/>
        <v>7222</v>
      </c>
      <c r="J7" s="10">
        <f t="shared" si="3"/>
        <v>85706943281.691345</v>
      </c>
      <c r="K7" s="11">
        <f t="shared" si="4"/>
        <v>1.652000000000009E-2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11"/>
      <c r="H8" s="10"/>
      <c r="I8" s="10">
        <f t="shared" si="5"/>
        <v>7222</v>
      </c>
      <c r="J8" s="10">
        <f t="shared" si="3"/>
        <v>84314074766.547974</v>
      </c>
      <c r="K8" s="11">
        <f t="shared" si="4"/>
        <v>1.7030000000000101E-2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11"/>
      <c r="H9" s="10"/>
      <c r="I9" s="10">
        <f t="shared" si="5"/>
        <v>7222</v>
      </c>
      <c r="J9" s="10">
        <f t="shared" si="3"/>
        <v>82902249458.27356</v>
      </c>
      <c r="K9" s="11">
        <f t="shared" si="4"/>
        <v>1.709000000000005E-2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11"/>
      <c r="H10" s="10"/>
      <c r="I10" s="10">
        <f t="shared" si="5"/>
        <v>7222</v>
      </c>
      <c r="J10" s="10">
        <f t="shared" si="3"/>
        <v>81509256268.642456</v>
      </c>
      <c r="K10" s="11">
        <f t="shared" si="4"/>
        <v>1.7009999999999748E-2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11"/>
      <c r="H11" s="10"/>
      <c r="I11" s="10">
        <f t="shared" si="5"/>
        <v>7222</v>
      </c>
      <c r="J11" s="10">
        <f t="shared" si="3"/>
        <v>80145973263.431503</v>
      </c>
      <c r="K11" s="11">
        <f t="shared" si="4"/>
        <v>1.7150000000000221E-2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11"/>
      <c r="H12" s="10"/>
      <c r="I12" s="10">
        <f t="shared" si="5"/>
        <v>7222</v>
      </c>
      <c r="J12" s="10">
        <f t="shared" si="3"/>
        <v>78794645099.967056</v>
      </c>
      <c r="K12" s="11">
        <f t="shared" si="4"/>
        <v>1.7219999999999791E-2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11"/>
      <c r="H13" s="10"/>
      <c r="I13" s="10">
        <f t="shared" si="5"/>
        <v>7222</v>
      </c>
      <c r="J13" s="10">
        <f t="shared" si="3"/>
        <v>77460770629.723236</v>
      </c>
      <c r="K13" s="11">
        <f t="shared" si="4"/>
        <v>1.7379999999999951E-2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11"/>
      <c r="H14" s="10"/>
      <c r="I14" s="10">
        <f t="shared" si="5"/>
        <v>7222</v>
      </c>
      <c r="J14" s="10">
        <f t="shared" si="3"/>
        <v>76137500864.694839</v>
      </c>
      <c r="K14" s="11">
        <f t="shared" si="4"/>
        <v>1.7670000000000075E-2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11"/>
      <c r="H15" s="10"/>
      <c r="I15" s="10">
        <f t="shared" si="5"/>
        <v>7222</v>
      </c>
      <c r="J15" s="10">
        <f t="shared" si="3"/>
        <v>74815510789.052277</v>
      </c>
      <c r="K15" s="11">
        <f t="shared" si="4"/>
        <v>1.7609999999999904E-2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11"/>
      <c r="H16" s="10"/>
      <c r="I16" s="10">
        <f t="shared" si="5"/>
        <v>7222</v>
      </c>
      <c r="J16" s="10">
        <f t="shared" si="3"/>
        <v>73520809336.634155</v>
      </c>
      <c r="K16" s="11">
        <f t="shared" si="4"/>
        <v>1.7360000000000042E-2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11"/>
      <c r="H17" s="10"/>
      <c r="I17" s="10">
        <f t="shared" si="5"/>
        <v>7222</v>
      </c>
      <c r="J17" s="10">
        <f t="shared" si="3"/>
        <v>72266266942.512146</v>
      </c>
      <c r="K17" s="11">
        <f t="shared" si="4"/>
        <v>1.7259999999999831E-2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11"/>
      <c r="H18" s="10"/>
      <c r="I18" s="10">
        <f t="shared" si="5"/>
        <v>7222</v>
      </c>
      <c r="J18" s="10">
        <f t="shared" si="3"/>
        <v>71040114565.11821</v>
      </c>
      <c r="K18" s="11">
        <f t="shared" si="4"/>
        <v>1.7470000000000319E-2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11"/>
      <c r="H19" s="10"/>
      <c r="I19" s="10">
        <f t="shared" si="5"/>
        <v>7222</v>
      </c>
      <c r="J19" s="10">
        <f t="shared" si="3"/>
        <v>69820352998.238953</v>
      </c>
      <c r="K19" s="11">
        <f t="shared" si="4"/>
        <v>1.8069999999999808E-2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11"/>
      <c r="H20" s="10"/>
      <c r="I20" s="10">
        <f t="shared" si="5"/>
        <v>7222</v>
      </c>
      <c r="J20" s="10">
        <f t="shared" si="3"/>
        <v>68581092653.981514</v>
      </c>
      <c r="K20" s="11">
        <f t="shared" si="4"/>
        <v>1.8180000000000307E-2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11"/>
      <c r="H21" s="10"/>
      <c r="I21" s="10">
        <f t="shared" si="5"/>
        <v>7222</v>
      </c>
      <c r="J21" s="10">
        <f t="shared" si="3"/>
        <v>67356550564.714981</v>
      </c>
      <c r="K21" s="11">
        <f t="shared" si="4"/>
        <v>1.8759999999999888E-2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11"/>
      <c r="H22" s="10"/>
      <c r="I22" s="10">
        <f t="shared" si="5"/>
        <v>7222</v>
      </c>
      <c r="J22" s="10">
        <f t="shared" si="3"/>
        <v>66116210456.550102</v>
      </c>
      <c r="K22" s="11">
        <f t="shared" si="4"/>
        <v>1.8920000000000048E-2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11"/>
      <c r="H23" s="10"/>
      <c r="I23" s="10">
        <f t="shared" si="5"/>
        <v>7222</v>
      </c>
      <c r="J23" s="10">
        <f t="shared" si="3"/>
        <v>64888519664.497795</v>
      </c>
      <c r="K23" s="11">
        <f t="shared" si="4"/>
        <v>1.9120000000000026E-2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11"/>
      <c r="H24" s="10"/>
      <c r="I24" s="10">
        <f t="shared" si="5"/>
        <v>7222</v>
      </c>
      <c r="J24" s="10">
        <f t="shared" si="3"/>
        <v>63671127702.819878</v>
      </c>
      <c r="K24" s="11">
        <f t="shared" si="4"/>
        <v>1.9589999999999996E-2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11"/>
      <c r="H25" s="10"/>
      <c r="I25" s="10">
        <f t="shared" si="5"/>
        <v>7222</v>
      </c>
      <c r="J25" s="10">
        <f t="shared" si="3"/>
        <v>62447775775.38018</v>
      </c>
      <c r="K25" s="11">
        <f t="shared" si="4"/>
        <v>2.1030000000000104E-2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11"/>
      <c r="H26" s="10"/>
      <c r="I26" s="10">
        <f t="shared" si="5"/>
        <v>7222</v>
      </c>
      <c r="J26" s="10">
        <f t="shared" si="3"/>
        <v>61161548412.270134</v>
      </c>
      <c r="K26" s="11">
        <f t="shared" si="4"/>
        <v>2.1090000000000053E-2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11"/>
      <c r="H27" s="10"/>
      <c r="I27" s="10">
        <f t="shared" si="5"/>
        <v>7222</v>
      </c>
      <c r="J27" s="10">
        <f t="shared" si="3"/>
        <v>59898293404.371925</v>
      </c>
      <c r="K27" s="11">
        <f t="shared" si="4"/>
        <v>2.2129999999999983E-2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11"/>
      <c r="H28" s="10"/>
      <c r="I28" s="10">
        <f t="shared" si="5"/>
        <v>7222</v>
      </c>
      <c r="J28" s="10">
        <f t="shared" si="3"/>
        <v>58601443460.589088</v>
      </c>
      <c r="K28" s="11">
        <f t="shared" si="4"/>
        <v>2.2639999999999993E-2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11"/>
      <c r="H29" s="10"/>
      <c r="I29" s="10">
        <f t="shared" si="5"/>
        <v>7222</v>
      </c>
      <c r="J29" s="10">
        <f t="shared" si="3"/>
        <v>57304079109.548904</v>
      </c>
      <c r="K29" s="11">
        <f t="shared" si="4"/>
        <v>2.2999999999999909E-2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11"/>
      <c r="H30" s="10"/>
      <c r="I30" s="10">
        <f t="shared" si="5"/>
        <v>7222</v>
      </c>
      <c r="J30" s="10">
        <f t="shared" si="3"/>
        <v>56015717604.642143</v>
      </c>
      <c r="K30" s="11">
        <f t="shared" si="4"/>
        <v>2.3810000000000331E-2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11"/>
      <c r="H31" s="10"/>
      <c r="I31" s="10">
        <f t="shared" si="5"/>
        <v>7222</v>
      </c>
      <c r="J31" s="10">
        <f t="shared" si="3"/>
        <v>54713001049.649963</v>
      </c>
      <c r="K31" s="11">
        <f t="shared" si="4"/>
        <v>2.4489999999999679E-2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11"/>
      <c r="H32" s="10"/>
      <c r="I32" s="10">
        <f t="shared" si="5"/>
        <v>7222</v>
      </c>
      <c r="J32" s="10">
        <f t="shared" si="3"/>
        <v>53405109908.002983</v>
      </c>
      <c r="K32" s="11">
        <f t="shared" si="4"/>
        <v>2.5339999999999918E-2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11"/>
      <c r="H33" s="10"/>
      <c r="I33" s="10">
        <f t="shared" si="5"/>
        <v>7222</v>
      </c>
      <c r="J33" s="10">
        <f t="shared" si="3"/>
        <v>52085269186.809242</v>
      </c>
      <c r="K33" s="11">
        <f t="shared" si="4"/>
        <v>2.6100000000000234E-2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11"/>
      <c r="H34" s="10"/>
      <c r="I34" s="10">
        <f t="shared" si="5"/>
        <v>7222</v>
      </c>
      <c r="J34" s="10">
        <f t="shared" ref="J34:J65" si="6">IF(I34="","",I34*C34)</f>
        <v>50760422168.218727</v>
      </c>
      <c r="K34" s="11">
        <f t="shared" ref="K34:K65" si="7">IFERROR(J34/J35-1,"")</f>
        <v>2.6240000000000041E-2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11"/>
      <c r="H35" s="10"/>
      <c r="I35" s="10">
        <f t="shared" ref="I35:I66" si="8">IF(H35&lt;&gt;"",H35,I34/(1+IF(G34="",0,G34)))</f>
        <v>7222</v>
      </c>
      <c r="J35" s="10">
        <f t="shared" si="6"/>
        <v>49462525499.121773</v>
      </c>
      <c r="K35" s="11">
        <f t="shared" si="7"/>
        <v>2.6280000000000081E-2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11"/>
      <c r="H36" s="10"/>
      <c r="I36" s="10">
        <f t="shared" si="8"/>
        <v>7222</v>
      </c>
      <c r="J36" s="10">
        <f t="shared" si="6"/>
        <v>48195936293.332977</v>
      </c>
      <c r="K36" s="11">
        <f t="shared" si="7"/>
        <v>2.6529999999999943E-2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11"/>
      <c r="H37" s="10"/>
      <c r="I37" s="10">
        <f t="shared" si="8"/>
        <v>7222</v>
      </c>
      <c r="J37" s="10">
        <f t="shared" si="6"/>
        <v>46950343675.618813</v>
      </c>
      <c r="K37" s="11">
        <f t="shared" si="7"/>
        <v>2.6890000000000081E-2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11"/>
      <c r="H38" s="10"/>
      <c r="I38" s="10">
        <f t="shared" si="8"/>
        <v>7222</v>
      </c>
      <c r="J38" s="10">
        <f t="shared" si="6"/>
        <v>45720908447.466438</v>
      </c>
      <c r="K38" s="11">
        <f t="shared" si="7"/>
        <v>2.6980000000000004E-2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11"/>
      <c r="H39" s="10"/>
      <c r="I39" s="10">
        <f t="shared" si="8"/>
        <v>7222</v>
      </c>
      <c r="J39" s="10">
        <f t="shared" si="6"/>
        <v>44519765182.833588</v>
      </c>
      <c r="K39" s="11">
        <f t="shared" si="7"/>
        <v>2.7269999999999905E-2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11"/>
      <c r="H40" s="10"/>
      <c r="I40" s="10">
        <f t="shared" si="8"/>
        <v>7222</v>
      </c>
      <c r="J40" s="10">
        <f t="shared" si="6"/>
        <v>43337939570.739525</v>
      </c>
      <c r="K40" s="11">
        <f t="shared" si="7"/>
        <v>2.7600000000000069E-2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11"/>
      <c r="H41" s="10"/>
      <c r="I41" s="10">
        <f t="shared" si="8"/>
        <v>7222</v>
      </c>
      <c r="J41" s="10">
        <f t="shared" si="6"/>
        <v>42173938858.25177</v>
      </c>
      <c r="K41" s="11">
        <f t="shared" si="7"/>
        <v>2.7879999999999905E-2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11"/>
      <c r="H42" s="10"/>
      <c r="I42" s="10">
        <f t="shared" si="8"/>
        <v>7222</v>
      </c>
      <c r="J42" s="10">
        <f t="shared" si="6"/>
        <v>41030021849.0989</v>
      </c>
      <c r="K42" s="11">
        <f t="shared" si="7"/>
        <v>2.8270000000000017E-2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11"/>
      <c r="H43" s="10"/>
      <c r="I43" s="10">
        <f t="shared" si="8"/>
        <v>7222</v>
      </c>
      <c r="J43" s="10">
        <f t="shared" si="6"/>
        <v>39901992520.543144</v>
      </c>
      <c r="K43" s="11">
        <f t="shared" si="7"/>
        <v>2.8639999999999999E-2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11"/>
      <c r="H44" s="10"/>
      <c r="I44" s="10">
        <f t="shared" si="8"/>
        <v>7222</v>
      </c>
      <c r="J44" s="10">
        <f t="shared" si="6"/>
        <v>38791017771.565506</v>
      </c>
      <c r="K44" s="11">
        <f t="shared" si="7"/>
        <v>2.8999999999999915E-2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11"/>
      <c r="H45" s="10"/>
      <c r="I45" s="10">
        <f t="shared" si="8"/>
        <v>7222</v>
      </c>
      <c r="J45" s="10">
        <f t="shared" si="6"/>
        <v>37697782090.928581</v>
      </c>
      <c r="K45" s="11">
        <f t="shared" si="7"/>
        <v>2.9269999999999907E-2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11"/>
      <c r="H46" s="10"/>
      <c r="I46" s="10">
        <f t="shared" si="8"/>
        <v>7222</v>
      </c>
      <c r="J46" s="10">
        <f t="shared" si="6"/>
        <v>36625746491.133118</v>
      </c>
      <c r="K46" s="11">
        <f t="shared" si="7"/>
        <v>2.9479999999999951E-2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11"/>
      <c r="H47" s="10"/>
      <c r="I47" s="10">
        <f t="shared" si="8"/>
        <v>7222</v>
      </c>
      <c r="J47" s="10">
        <f t="shared" si="6"/>
        <v>35576938348.615921</v>
      </c>
      <c r="K47" s="11">
        <f t="shared" si="7"/>
        <v>2.9640000000000111E-2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11"/>
      <c r="H48" s="10"/>
      <c r="I48" s="10">
        <f t="shared" si="8"/>
        <v>7222</v>
      </c>
      <c r="J48" s="10">
        <f t="shared" si="6"/>
        <v>34552793547.857422</v>
      </c>
      <c r="K48" s="11">
        <f t="shared" si="7"/>
        <v>2.9770000000000296E-2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11"/>
      <c r="H49" s="10"/>
      <c r="I49" s="10">
        <f t="shared" si="8"/>
        <v>7222</v>
      </c>
      <c r="J49" s="10">
        <f t="shared" si="6"/>
        <v>33553894119.907761</v>
      </c>
      <c r="K49" s="11">
        <f t="shared" si="7"/>
        <v>2.9870000000000285E-2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11"/>
      <c r="H50" s="10"/>
      <c r="I50" s="10">
        <f t="shared" si="8"/>
        <v>7222</v>
      </c>
      <c r="J50" s="10">
        <f t="shared" si="6"/>
        <v>32580708361.159908</v>
      </c>
      <c r="K50" s="11">
        <f t="shared" si="7"/>
        <v>2.984999999999971E-2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11"/>
      <c r="H51" s="10"/>
      <c r="I51" s="10">
        <f t="shared" si="8"/>
        <v>7222</v>
      </c>
      <c r="J51" s="10">
        <f t="shared" si="6"/>
        <v>31636362927.766098</v>
      </c>
      <c r="K51" s="11">
        <f t="shared" si="7"/>
        <v>2.9760000000000231E-2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11"/>
      <c r="H52" s="10"/>
      <c r="I52" s="10">
        <f t="shared" si="8"/>
        <v>7222</v>
      </c>
      <c r="J52" s="10">
        <f t="shared" si="6"/>
        <v>30722074005.36639</v>
      </c>
      <c r="K52" s="11">
        <f t="shared" si="7"/>
        <v>2.9589999999999783E-2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11"/>
      <c r="H53" s="10"/>
      <c r="I53" s="10">
        <f t="shared" si="8"/>
        <v>7222</v>
      </c>
      <c r="J53" s="10">
        <f t="shared" si="6"/>
        <v>29839134029.435402</v>
      </c>
      <c r="K53" s="11">
        <f t="shared" si="7"/>
        <v>2.9349999999999987E-2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11"/>
      <c r="H54" s="10"/>
      <c r="I54" s="10">
        <f t="shared" si="8"/>
        <v>7222</v>
      </c>
      <c r="J54" s="10">
        <f t="shared" si="6"/>
        <v>28988326642.478653</v>
      </c>
      <c r="K54" s="11">
        <f t="shared" si="7"/>
        <v>2.905000000000002E-2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11"/>
      <c r="H55" s="10"/>
      <c r="I55" s="10">
        <f t="shared" si="8"/>
        <v>7222</v>
      </c>
      <c r="J55" s="10">
        <f t="shared" si="6"/>
        <v>28169988477.215542</v>
      </c>
      <c r="K55" s="11">
        <f t="shared" si="7"/>
        <v>2.8729999999999922E-2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11"/>
      <c r="H56" s="10"/>
      <c r="I56" s="10">
        <f t="shared" si="8"/>
        <v>7222</v>
      </c>
      <c r="J56" s="10">
        <f t="shared" si="6"/>
        <v>27383267210.264641</v>
      </c>
      <c r="K56" s="11">
        <f t="shared" si="7"/>
        <v>2.8429999999999955E-2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11"/>
      <c r="H57" s="10"/>
      <c r="I57" s="10">
        <f t="shared" si="8"/>
        <v>7222</v>
      </c>
      <c r="J57" s="10">
        <f t="shared" si="6"/>
        <v>26626282012.645142</v>
      </c>
      <c r="K57" s="11">
        <f t="shared" si="7"/>
        <v>2.8019999999999934E-2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11"/>
      <c r="H58" s="10"/>
      <c r="I58" s="10">
        <f t="shared" si="8"/>
        <v>7222</v>
      </c>
      <c r="J58" s="10">
        <f t="shared" si="6"/>
        <v>25900548639.759094</v>
      </c>
      <c r="K58" s="11">
        <f t="shared" si="7"/>
        <v>2.7700000000000058E-2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11"/>
      <c r="H59" s="10"/>
      <c r="I59" s="10">
        <f t="shared" si="8"/>
        <v>7222</v>
      </c>
      <c r="J59" s="10">
        <f t="shared" si="6"/>
        <v>25202441023.410618</v>
      </c>
      <c r="K59" s="11">
        <f t="shared" si="7"/>
        <v>2.7369999999999894E-2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11"/>
      <c r="H60" s="10"/>
      <c r="I60" s="10">
        <f t="shared" si="8"/>
        <v>7222</v>
      </c>
      <c r="J60" s="10">
        <f t="shared" si="6"/>
        <v>24531026819.364613</v>
      </c>
      <c r="K60" s="11">
        <f t="shared" si="7"/>
        <v>2.7069999999999927E-2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11"/>
      <c r="H61" s="10"/>
      <c r="I61" s="10">
        <f t="shared" si="8"/>
        <v>7222</v>
      </c>
      <c r="J61" s="10">
        <f t="shared" si="6"/>
        <v>23884474105.333244</v>
      </c>
      <c r="K61" s="11">
        <f t="shared" si="7"/>
        <v>2.6799999999999935E-2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11"/>
      <c r="H62" s="10"/>
      <c r="I62" s="10">
        <f t="shared" si="8"/>
        <v>7222</v>
      </c>
      <c r="J62" s="10">
        <f t="shared" si="6"/>
        <v>23261077235.423885</v>
      </c>
      <c r="K62" s="11">
        <f t="shared" si="7"/>
        <v>2.6569999999999983E-2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11"/>
      <c r="H63" s="10"/>
      <c r="I63" s="10">
        <f t="shared" si="8"/>
        <v>7222</v>
      </c>
      <c r="J63" s="10">
        <f t="shared" si="6"/>
        <v>22659026890.931828</v>
      </c>
      <c r="K63" s="11">
        <f t="shared" si="7"/>
        <v>2.6380000000000292E-2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11"/>
      <c r="H64" s="10"/>
      <c r="I64" s="10">
        <f t="shared" si="8"/>
        <v>7222</v>
      </c>
      <c r="J64" s="10">
        <f t="shared" si="6"/>
        <v>22076644995.938953</v>
      </c>
      <c r="K64" s="11">
        <f t="shared" si="7"/>
        <v>2.6189999999999714E-2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11"/>
      <c r="H65" s="10"/>
      <c r="I65" s="10">
        <f t="shared" si="8"/>
        <v>7222</v>
      </c>
      <c r="J65" s="10">
        <f t="shared" si="6"/>
        <v>21513213923.288044</v>
      </c>
      <c r="K65" s="11">
        <f t="shared" si="7"/>
        <v>2.6000000000000245E-2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6">
        <f>SUM(F2)</f>
        <v>12783095</v>
      </c>
      <c r="G66" s="11"/>
      <c r="H66" s="10"/>
      <c r="I66" s="10">
        <f t="shared" si="8"/>
        <v>7222</v>
      </c>
      <c r="J66" s="10">
        <f t="shared" ref="J66:J97" si="9">IF(I66="","",I66*C66)</f>
        <v>20968044759.540001</v>
      </c>
      <c r="K66" s="11">
        <f t="shared" ref="K66:K97" si="10">IFERROR(J66/J67-1,"")</f>
        <v>2.5740000000000096E-2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11"/>
      <c r="H67" s="10"/>
      <c r="I67" s="10">
        <f t="shared" ref="I67:I98" si="11">IF(H67&lt;&gt;"",H67,I66/(1+IF(G66="",0,G66)))</f>
        <v>7222</v>
      </c>
      <c r="J67" s="10">
        <f t="shared" si="9"/>
        <v>20441871000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5">
        <v>35956798</v>
      </c>
      <c r="G2" s="11"/>
      <c r="H2" s="10"/>
      <c r="I2" s="10">
        <f>IF(H2&lt;&gt;"",H2,1492)</f>
        <v>1492</v>
      </c>
      <c r="J2" s="10">
        <f t="shared" ref="J2:J33" si="3">IF(I2="","",I2*C2)</f>
        <v>53650222261.138596</v>
      </c>
      <c r="K2" s="11">
        <f t="shared" ref="K2:K33" si="4">IFERROR(J2/J3-1,"")</f>
        <v>5.8200000000001584E-3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11"/>
      <c r="H3" s="10"/>
      <c r="I3" s="10">
        <f t="shared" ref="I3:I34" si="5">IF(H3&lt;&gt;"",H3,I2/(1+IF(G2="",0,G2)))</f>
        <v>1492</v>
      </c>
      <c r="J3" s="10">
        <f t="shared" si="3"/>
        <v>53339784714.102516</v>
      </c>
      <c r="K3" s="11">
        <f t="shared" si="4"/>
        <v>5.6099999999998929E-3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11"/>
      <c r="H4" s="10"/>
      <c r="I4" s="10">
        <f t="shared" si="5"/>
        <v>1492</v>
      </c>
      <c r="J4" s="10">
        <f t="shared" si="3"/>
        <v>53042217871.841492</v>
      </c>
      <c r="K4" s="11">
        <f t="shared" si="4"/>
        <v>5.5199999999999694E-3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11"/>
      <c r="H5" s="10"/>
      <c r="I5" s="10">
        <f t="shared" si="5"/>
        <v>1492</v>
      </c>
      <c r="J5" s="10">
        <f t="shared" si="3"/>
        <v>52751032174.239693</v>
      </c>
      <c r="K5" s="11">
        <f t="shared" si="4"/>
        <v>5.3499999999999659E-3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11"/>
      <c r="H6" s="10"/>
      <c r="I6" s="10">
        <f t="shared" si="5"/>
        <v>1492</v>
      </c>
      <c r="J6" s="10">
        <f t="shared" si="3"/>
        <v>52470315983.726761</v>
      </c>
      <c r="K6" s="11">
        <f t="shared" si="4"/>
        <v>5.4099999999999149E-3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11"/>
      <c r="H7" s="10"/>
      <c r="I7" s="10">
        <f t="shared" si="5"/>
        <v>1492</v>
      </c>
      <c r="J7" s="10">
        <f t="shared" si="3"/>
        <v>52187979017.243477</v>
      </c>
      <c r="K7" s="11">
        <f t="shared" si="4"/>
        <v>5.6899999999999729E-3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11"/>
      <c r="H8" s="10"/>
      <c r="I8" s="10">
        <f t="shared" si="5"/>
        <v>1492</v>
      </c>
      <c r="J8" s="10">
        <f t="shared" si="3"/>
        <v>51892709500.187416</v>
      </c>
      <c r="K8" s="11">
        <f t="shared" si="4"/>
        <v>6.0400000000000453E-3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11"/>
      <c r="H9" s="10"/>
      <c r="I9" s="10">
        <f t="shared" si="5"/>
        <v>1492</v>
      </c>
      <c r="J9" s="10">
        <f t="shared" si="3"/>
        <v>51581159298.027328</v>
      </c>
      <c r="K9" s="11">
        <f t="shared" si="4"/>
        <v>6.7900000000000738E-3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11"/>
      <c r="H10" s="10"/>
      <c r="I10" s="10">
        <f t="shared" si="5"/>
        <v>1492</v>
      </c>
      <c r="J10" s="10">
        <f t="shared" si="3"/>
        <v>51233285290.9021</v>
      </c>
      <c r="K10" s="11">
        <f t="shared" si="4"/>
        <v>6.7099999999999937E-3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11"/>
      <c r="H11" s="10"/>
      <c r="I11" s="10">
        <f t="shared" si="5"/>
        <v>1492</v>
      </c>
      <c r="J11" s="10">
        <f t="shared" si="3"/>
        <v>50891801304.151245</v>
      </c>
      <c r="K11" s="11">
        <f t="shared" si="4"/>
        <v>4.809999999999981E-3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11"/>
      <c r="H12" s="10"/>
      <c r="I12" s="10">
        <f t="shared" si="5"/>
        <v>1492</v>
      </c>
      <c r="J12" s="10">
        <f t="shared" si="3"/>
        <v>50648183541.317505</v>
      </c>
      <c r="K12" s="11">
        <f t="shared" si="4"/>
        <v>5.2000000000000934E-3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11"/>
      <c r="H13" s="10"/>
      <c r="I13" s="10">
        <f t="shared" si="5"/>
        <v>1492</v>
      </c>
      <c r="J13" s="10">
        <f t="shared" si="3"/>
        <v>50386175429.08625</v>
      </c>
      <c r="K13" s="11">
        <f t="shared" si="4"/>
        <v>5.7000000000002604E-3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11"/>
      <c r="H14" s="10"/>
      <c r="I14" s="10">
        <f t="shared" si="5"/>
        <v>1492</v>
      </c>
      <c r="J14" s="10">
        <f t="shared" si="3"/>
        <v>50100601997.699356</v>
      </c>
      <c r="K14" s="11">
        <f t="shared" si="4"/>
        <v>6.3800000000000523E-3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11"/>
      <c r="H15" s="10"/>
      <c r="I15" s="10">
        <f t="shared" si="5"/>
        <v>1492</v>
      </c>
      <c r="J15" s="10">
        <f t="shared" si="3"/>
        <v>49782986543.551491</v>
      </c>
      <c r="K15" s="11">
        <f t="shared" si="4"/>
        <v>7.2799999999999532E-3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11"/>
      <c r="H16" s="10"/>
      <c r="I16" s="10">
        <f t="shared" si="5"/>
        <v>1492</v>
      </c>
      <c r="J16" s="10">
        <f t="shared" si="3"/>
        <v>49423185751.282158</v>
      </c>
      <c r="K16" s="11">
        <f t="shared" si="4"/>
        <v>8.599999999999941E-3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11"/>
      <c r="H17" s="10"/>
      <c r="I17" s="10">
        <f t="shared" si="5"/>
        <v>1492</v>
      </c>
      <c r="J17" s="10">
        <f t="shared" si="3"/>
        <v>49001770524.76915</v>
      </c>
      <c r="K17" s="11">
        <f t="shared" si="4"/>
        <v>9.8499999999999144E-3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11"/>
      <c r="H18" s="10"/>
      <c r="I18" s="10">
        <f t="shared" si="5"/>
        <v>1492</v>
      </c>
      <c r="J18" s="10">
        <f t="shared" si="3"/>
        <v>48523810986.55162</v>
      </c>
      <c r="K18" s="11">
        <f t="shared" si="4"/>
        <v>1.0669999999999957E-2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11"/>
      <c r="H19" s="10"/>
      <c r="I19" s="10">
        <f t="shared" si="5"/>
        <v>1492</v>
      </c>
      <c r="J19" s="10">
        <f t="shared" si="3"/>
        <v>48011527982.973297</v>
      </c>
      <c r="K19" s="11">
        <f t="shared" si="4"/>
        <v>1.1039999999999939E-2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11"/>
      <c r="H20" s="10"/>
      <c r="I20" s="10">
        <f t="shared" si="5"/>
        <v>1492</v>
      </c>
      <c r="J20" s="10">
        <f t="shared" si="3"/>
        <v>47487268538.310349</v>
      </c>
      <c r="K20" s="11">
        <f t="shared" si="4"/>
        <v>1.4680000000000026E-2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11"/>
      <c r="H21" s="10"/>
      <c r="I21" s="10">
        <f t="shared" si="5"/>
        <v>1492</v>
      </c>
      <c r="J21" s="10">
        <f t="shared" si="3"/>
        <v>46800241000.424118</v>
      </c>
      <c r="K21" s="11">
        <f t="shared" si="4"/>
        <v>1.8999999999999906E-2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11"/>
      <c r="H22" s="10"/>
      <c r="I22" s="10">
        <f t="shared" si="5"/>
        <v>1492</v>
      </c>
      <c r="J22" s="10">
        <f t="shared" si="3"/>
        <v>45927616290.897079</v>
      </c>
      <c r="K22" s="11">
        <f t="shared" si="4"/>
        <v>2.0619999999999861E-2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11"/>
      <c r="H23" s="10"/>
      <c r="I23" s="10">
        <f t="shared" si="5"/>
        <v>1492</v>
      </c>
      <c r="J23" s="10">
        <f t="shared" si="3"/>
        <v>44999722022.787209</v>
      </c>
      <c r="K23" s="11">
        <f t="shared" si="4"/>
        <v>2.1980000000000111E-2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11"/>
      <c r="H24" s="10"/>
      <c r="I24" s="10">
        <f t="shared" si="5"/>
        <v>1492</v>
      </c>
      <c r="J24" s="10">
        <f t="shared" si="3"/>
        <v>44031900842.274017</v>
      </c>
      <c r="K24" s="11">
        <f t="shared" si="4"/>
        <v>2.1980000000000111E-2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11"/>
      <c r="H25" s="10"/>
      <c r="I25" s="10">
        <f t="shared" si="5"/>
        <v>1492</v>
      </c>
      <c r="J25" s="10">
        <f t="shared" si="3"/>
        <v>43084894853.396362</v>
      </c>
      <c r="K25" s="11">
        <f t="shared" si="4"/>
        <v>3.6519999999999886E-2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11"/>
      <c r="H26" s="10"/>
      <c r="I26" s="10">
        <f t="shared" si="5"/>
        <v>1492</v>
      </c>
      <c r="J26" s="10">
        <f t="shared" si="3"/>
        <v>41566872663.717407</v>
      </c>
      <c r="K26" s="11">
        <f t="shared" si="4"/>
        <v>3.9639999999999898E-2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11"/>
      <c r="H27" s="10"/>
      <c r="I27" s="10">
        <f t="shared" si="5"/>
        <v>1492</v>
      </c>
      <c r="J27" s="10">
        <f t="shared" si="3"/>
        <v>39981986710.512688</v>
      </c>
      <c r="K27" s="11">
        <f t="shared" si="4"/>
        <v>4.0720000000000089E-2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11"/>
      <c r="H28" s="10"/>
      <c r="I28" s="10">
        <f t="shared" si="5"/>
        <v>1492</v>
      </c>
      <c r="J28" s="10">
        <f t="shared" si="3"/>
        <v>38417621176.217125</v>
      </c>
      <c r="K28" s="11">
        <f t="shared" si="4"/>
        <v>4.0270000000000028E-2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11"/>
      <c r="H29" s="10"/>
      <c r="I29" s="10">
        <f t="shared" si="5"/>
        <v>1492</v>
      </c>
      <c r="J29" s="10">
        <f t="shared" si="3"/>
        <v>36930432653.269943</v>
      </c>
      <c r="K29" s="11">
        <f t="shared" si="4"/>
        <v>5.2859999999999685E-2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11"/>
      <c r="H30" s="10"/>
      <c r="I30" s="10">
        <f t="shared" si="5"/>
        <v>1492</v>
      </c>
      <c r="J30" s="10">
        <f t="shared" si="3"/>
        <v>35076299463.622849</v>
      </c>
      <c r="K30" s="11">
        <f t="shared" si="4"/>
        <v>3.8899999999999935E-2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11"/>
      <c r="H31" s="10"/>
      <c r="I31" s="10">
        <f t="shared" si="5"/>
        <v>1492</v>
      </c>
      <c r="J31" s="10">
        <f t="shared" si="3"/>
        <v>33762921805.393059</v>
      </c>
      <c r="K31" s="11">
        <f t="shared" si="4"/>
        <v>3.8730000000000153E-2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11"/>
      <c r="H32" s="10"/>
      <c r="I32" s="10">
        <f t="shared" si="5"/>
        <v>1492</v>
      </c>
      <c r="J32" s="10">
        <f t="shared" si="3"/>
        <v>32504040323.657791</v>
      </c>
      <c r="K32" s="11">
        <f t="shared" si="4"/>
        <v>4.0529999999999955E-2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11"/>
      <c r="H33" s="10"/>
      <c r="I33" s="10">
        <f t="shared" si="5"/>
        <v>1492</v>
      </c>
      <c r="J33" s="10">
        <f t="shared" si="3"/>
        <v>31237965578.751011</v>
      </c>
      <c r="K33" s="11">
        <f t="shared" si="4"/>
        <v>3.2619999999999871E-2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11"/>
      <c r="H34" s="10"/>
      <c r="I34" s="10">
        <f t="shared" si="5"/>
        <v>1492</v>
      </c>
      <c r="J34" s="10">
        <f t="shared" ref="J34:J65" si="6">IF(I34="","",I34*C34)</f>
        <v>30251172337.114342</v>
      </c>
      <c r="K34" s="11">
        <f t="shared" ref="K34:K65" si="7">IFERROR(J34/J35-1,"")</f>
        <v>3.2550000000000079E-2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11"/>
      <c r="H35" s="10"/>
      <c r="I35" s="10">
        <f t="shared" ref="I35:I66" si="8">IF(H35&lt;&gt;"",H35,I34/(1+IF(G34="",0,G34)))</f>
        <v>1492</v>
      </c>
      <c r="J35" s="10">
        <f t="shared" si="6"/>
        <v>29297537491.757629</v>
      </c>
      <c r="K35" s="11">
        <f t="shared" si="7"/>
        <v>3.3200000000000118E-2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11"/>
      <c r="H36" s="10"/>
      <c r="I36" s="10">
        <f t="shared" si="8"/>
        <v>1492</v>
      </c>
      <c r="J36" s="10">
        <f t="shared" si="6"/>
        <v>28356114490.667469</v>
      </c>
      <c r="K36" s="11">
        <f t="shared" si="7"/>
        <v>3.3269999999999911E-2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11"/>
      <c r="H37" s="10"/>
      <c r="I37" s="10">
        <f t="shared" si="8"/>
        <v>1492</v>
      </c>
      <c r="J37" s="10">
        <f t="shared" si="6"/>
        <v>27443083115.41753</v>
      </c>
      <c r="K37" s="11">
        <f t="shared" si="7"/>
        <v>3.3199999999999896E-2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11"/>
      <c r="H38" s="10"/>
      <c r="I38" s="10">
        <f t="shared" si="8"/>
        <v>1492</v>
      </c>
      <c r="J38" s="10">
        <f t="shared" si="6"/>
        <v>26561249627.775391</v>
      </c>
      <c r="K38" s="11">
        <f t="shared" si="7"/>
        <v>3.3069999999999933E-2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11"/>
      <c r="H39" s="10"/>
      <c r="I39" s="10">
        <f t="shared" si="8"/>
        <v>1492</v>
      </c>
      <c r="J39" s="10">
        <f t="shared" si="6"/>
        <v>25710987278.476185</v>
      </c>
      <c r="K39" s="11">
        <f t="shared" si="7"/>
        <v>3.2990000000000075E-2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11"/>
      <c r="H40" s="10"/>
      <c r="I40" s="10">
        <f t="shared" si="8"/>
        <v>1492</v>
      </c>
      <c r="J40" s="10">
        <f t="shared" si="6"/>
        <v>24889870452.256248</v>
      </c>
      <c r="K40" s="11">
        <f t="shared" si="7"/>
        <v>3.2890000000000086E-2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11"/>
      <c r="H41" s="10"/>
      <c r="I41" s="10">
        <f t="shared" si="8"/>
        <v>1492</v>
      </c>
      <c r="J41" s="10">
        <f t="shared" si="6"/>
        <v>24097309928.70126</v>
      </c>
      <c r="K41" s="11">
        <f t="shared" si="7"/>
        <v>3.1079999999999997E-2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11"/>
      <c r="H42" s="10"/>
      <c r="I42" s="10">
        <f t="shared" si="8"/>
        <v>1492</v>
      </c>
      <c r="J42" s="10">
        <f t="shared" si="6"/>
        <v>23370941079.936825</v>
      </c>
      <c r="K42" s="11">
        <f t="shared" si="7"/>
        <v>2.9649999999999954E-2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11"/>
      <c r="H43" s="10"/>
      <c r="I43" s="10">
        <f t="shared" si="8"/>
        <v>1492</v>
      </c>
      <c r="J43" s="10">
        <f t="shared" si="6"/>
        <v>22697946952.786701</v>
      </c>
      <c r="K43" s="11">
        <f t="shared" si="7"/>
        <v>2.905000000000002E-2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11"/>
      <c r="H44" s="10"/>
      <c r="I44" s="10">
        <f t="shared" si="8"/>
        <v>1492</v>
      </c>
      <c r="J44" s="10">
        <f t="shared" si="6"/>
        <v>22057185707.970165</v>
      </c>
      <c r="K44" s="11">
        <f t="shared" si="7"/>
        <v>2.8350000000000097E-2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11"/>
      <c r="H45" s="10"/>
      <c r="I45" s="10">
        <f t="shared" si="8"/>
        <v>1492</v>
      </c>
      <c r="J45" s="10">
        <f t="shared" si="6"/>
        <v>21449103620.333702</v>
      </c>
      <c r="K45" s="11">
        <f t="shared" si="7"/>
        <v>2.7749999999999941E-2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11"/>
      <c r="H46" s="10"/>
      <c r="I46" s="10">
        <f t="shared" si="8"/>
        <v>1492</v>
      </c>
      <c r="J46" s="10">
        <f t="shared" si="6"/>
        <v>20869962170.113068</v>
      </c>
      <c r="K46" s="11">
        <f t="shared" si="7"/>
        <v>2.7109999999999967E-2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11"/>
      <c r="H47" s="10"/>
      <c r="I47" s="10">
        <f t="shared" si="8"/>
        <v>1492</v>
      </c>
      <c r="J47" s="10">
        <f t="shared" si="6"/>
        <v>20319111069.03162</v>
      </c>
      <c r="K47" s="11">
        <f t="shared" si="7"/>
        <v>2.6399999999999979E-2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11"/>
      <c r="H48" s="10"/>
      <c r="I48" s="10">
        <f t="shared" si="8"/>
        <v>1492</v>
      </c>
      <c r="J48" s="10">
        <f t="shared" si="6"/>
        <v>19796483894.224106</v>
      </c>
      <c r="K48" s="11">
        <f t="shared" si="7"/>
        <v>2.5670000000000082E-2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11"/>
      <c r="H49" s="10"/>
      <c r="I49" s="10">
        <f t="shared" si="8"/>
        <v>1492</v>
      </c>
      <c r="J49" s="10">
        <f t="shared" si="6"/>
        <v>19301026542.868664</v>
      </c>
      <c r="K49" s="11">
        <f t="shared" si="7"/>
        <v>2.4860000000000104E-2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11"/>
      <c r="H50" s="10"/>
      <c r="I50" s="10">
        <f t="shared" si="8"/>
        <v>1492</v>
      </c>
      <c r="J50" s="10">
        <f t="shared" si="6"/>
        <v>18832842088.547375</v>
      </c>
      <c r="K50" s="11">
        <f t="shared" si="7"/>
        <v>2.3989999999999956E-2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11"/>
      <c r="H51" s="10"/>
      <c r="I51" s="10">
        <f t="shared" si="8"/>
        <v>1492</v>
      </c>
      <c r="J51" s="10">
        <f t="shared" si="6"/>
        <v>18391626957.829056</v>
      </c>
      <c r="K51" s="11">
        <f t="shared" si="7"/>
        <v>2.6880000000000015E-2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11"/>
      <c r="H52" s="10"/>
      <c r="I52" s="10">
        <f t="shared" si="8"/>
        <v>1492</v>
      </c>
      <c r="J52" s="10">
        <f t="shared" si="6"/>
        <v>17910200761.363602</v>
      </c>
      <c r="K52" s="11">
        <f t="shared" si="7"/>
        <v>2.6119999999999921E-2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11"/>
      <c r="H53" s="10"/>
      <c r="I53" s="10">
        <f t="shared" si="8"/>
        <v>1492</v>
      </c>
      <c r="J53" s="10">
        <f t="shared" si="6"/>
        <v>17454294586.757496</v>
      </c>
      <c r="K53" s="11">
        <f t="shared" si="7"/>
        <v>2.4340000000000028E-2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11"/>
      <c r="H54" s="10"/>
      <c r="I54" s="10">
        <f t="shared" si="8"/>
        <v>1492</v>
      </c>
      <c r="J54" s="10">
        <f t="shared" si="6"/>
        <v>17039551893.665674</v>
      </c>
      <c r="K54" s="11">
        <f t="shared" si="7"/>
        <v>2.3190000000000044E-2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11"/>
      <c r="H55" s="10"/>
      <c r="I55" s="10">
        <f t="shared" si="8"/>
        <v>1492</v>
      </c>
      <c r="J55" s="10">
        <f t="shared" si="6"/>
        <v>16653360464.494057</v>
      </c>
      <c r="K55" s="11">
        <f t="shared" si="7"/>
        <v>2.2720000000000073E-2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11"/>
      <c r="H56" s="10"/>
      <c r="I56" s="10">
        <f t="shared" si="8"/>
        <v>1492</v>
      </c>
      <c r="J56" s="10">
        <f t="shared" si="6"/>
        <v>16283401580.583206</v>
      </c>
      <c r="K56" s="11">
        <f t="shared" si="7"/>
        <v>2.2620000000000084E-2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11"/>
      <c r="H57" s="10"/>
      <c r="I57" s="10">
        <f t="shared" si="8"/>
        <v>1492</v>
      </c>
      <c r="J57" s="10">
        <f t="shared" si="6"/>
        <v>15923218380.809298</v>
      </c>
      <c r="K57" s="11">
        <f t="shared" si="7"/>
        <v>2.2769999999999957E-2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11"/>
      <c r="H58" s="10"/>
      <c r="I58" s="10">
        <f t="shared" si="8"/>
        <v>1492</v>
      </c>
      <c r="J58" s="10">
        <f t="shared" si="6"/>
        <v>15568718656.989645</v>
      </c>
      <c r="K58" s="11">
        <f t="shared" si="7"/>
        <v>2.3090000000000277E-2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11"/>
      <c r="H59" s="10"/>
      <c r="I59" s="10">
        <f t="shared" si="8"/>
        <v>1492</v>
      </c>
      <c r="J59" s="10">
        <f t="shared" si="6"/>
        <v>15217350044.462992</v>
      </c>
      <c r="K59" s="11">
        <f t="shared" si="7"/>
        <v>2.3360000000000047E-2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11"/>
      <c r="H60" s="10"/>
      <c r="I60" s="10">
        <f t="shared" si="8"/>
        <v>1492</v>
      </c>
      <c r="J60" s="10">
        <f t="shared" si="6"/>
        <v>14869987144.761366</v>
      </c>
      <c r="K60" s="11">
        <f t="shared" si="7"/>
        <v>2.350999999999992E-2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11"/>
      <c r="H61" s="10"/>
      <c r="I61" s="10">
        <f t="shared" si="8"/>
        <v>1492</v>
      </c>
      <c r="J61" s="10">
        <f t="shared" si="6"/>
        <v>14528423898.898268</v>
      </c>
      <c r="K61" s="11">
        <f t="shared" si="7"/>
        <v>2.367000000000008E-2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11"/>
      <c r="H62" s="10"/>
      <c r="I62" s="10">
        <f t="shared" si="8"/>
        <v>1492</v>
      </c>
      <c r="J62" s="10">
        <f t="shared" si="6"/>
        <v>14192487714.691519</v>
      </c>
      <c r="K62" s="11">
        <f t="shared" si="7"/>
        <v>2.3919999999999719E-2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11"/>
      <c r="H63" s="10"/>
      <c r="I63" s="10">
        <f t="shared" si="8"/>
        <v>1492</v>
      </c>
      <c r="J63" s="10">
        <f t="shared" si="6"/>
        <v>13860934169.36042</v>
      </c>
      <c r="K63" s="11">
        <f t="shared" si="7"/>
        <v>2.410000000000001E-2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11"/>
      <c r="H64" s="10"/>
      <c r="I64" s="10">
        <f t="shared" si="8"/>
        <v>1492</v>
      </c>
      <c r="J64" s="10">
        <f t="shared" si="6"/>
        <v>13534746772.151567</v>
      </c>
      <c r="K64" s="11">
        <f t="shared" si="7"/>
        <v>2.4440000000000017E-2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11"/>
      <c r="H65" s="10"/>
      <c r="I65" s="10">
        <f t="shared" si="8"/>
        <v>1492</v>
      </c>
      <c r="J65" s="10">
        <f t="shared" si="6"/>
        <v>13211849178.235491</v>
      </c>
      <c r="K65" s="11">
        <f t="shared" si="7"/>
        <v>2.4720000000000075E-2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6">
        <f>SUM(F2)</f>
        <v>35956798</v>
      </c>
      <c r="G66" s="11"/>
      <c r="H66" s="10"/>
      <c r="I66" s="10">
        <f t="shared" si="8"/>
        <v>1492</v>
      </c>
      <c r="J66" s="10">
        <f t="shared" ref="J66:J97" si="9">IF(I66="","",I66*C66)</f>
        <v>12893130980.400002</v>
      </c>
      <c r="K66" s="11">
        <f t="shared" ref="K66:K97" si="10">IFERROR(J66/J67-1,"")</f>
        <v>2.5090000000000057E-2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11"/>
      <c r="H67" s="10"/>
      <c r="I67" s="10">
        <f t="shared" ref="I67:I98" si="11">IF(H67&lt;&gt;"",H67,I66/(1+IF(G66="",0,G66)))</f>
        <v>1492</v>
      </c>
      <c r="J67" s="10">
        <f t="shared" si="9"/>
        <v>12577560000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5">
        <v>37482</v>
      </c>
      <c r="G2" s="11"/>
      <c r="H2" s="10"/>
      <c r="I2" s="10">
        <f>IF(H2&lt;&gt;"",H2,4405)</f>
        <v>4405</v>
      </c>
      <c r="J2" s="10">
        <f t="shared" ref="J2:J33" si="3">IF(I2="","",I2*C2)</f>
        <v>165040311.7146762</v>
      </c>
      <c r="K2" s="11">
        <f t="shared" ref="K2:K33" si="4">IFERROR(J2/J3-1,"")</f>
        <v>1.4449999999999852E-2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11"/>
      <c r="H3" s="10"/>
      <c r="I3" s="10">
        <f t="shared" ref="I3:I34" si="5">IF(H3&lt;&gt;"",H3,I2/(1+IF(G2="",0,G2)))</f>
        <v>4405</v>
      </c>
      <c r="J3" s="10">
        <f t="shared" si="3"/>
        <v>162689449.17411032</v>
      </c>
      <c r="K3" s="11">
        <f t="shared" si="4"/>
        <v>1.4800000000000146E-2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11"/>
      <c r="H4" s="10"/>
      <c r="I4" s="10">
        <f t="shared" si="5"/>
        <v>4405</v>
      </c>
      <c r="J4" s="10">
        <f t="shared" si="3"/>
        <v>160316761.10968694</v>
      </c>
      <c r="K4" s="11">
        <f t="shared" si="4"/>
        <v>1.5230000000000077E-2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11"/>
      <c r="H5" s="10"/>
      <c r="I5" s="10">
        <f t="shared" si="5"/>
        <v>4405</v>
      </c>
      <c r="J5" s="10">
        <f t="shared" si="3"/>
        <v>157911764.92980599</v>
      </c>
      <c r="K5" s="11">
        <f t="shared" si="4"/>
        <v>1.6280000000000072E-2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11"/>
      <c r="H6" s="10"/>
      <c r="I6" s="10">
        <f t="shared" si="5"/>
        <v>4405</v>
      </c>
      <c r="J6" s="10">
        <f t="shared" si="3"/>
        <v>155382143.6314854</v>
      </c>
      <c r="K6" s="11">
        <f t="shared" si="4"/>
        <v>1.6429999999999945E-2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11"/>
      <c r="H7" s="10"/>
      <c r="I7" s="10">
        <f t="shared" si="5"/>
        <v>4405</v>
      </c>
      <c r="J7" s="10">
        <f t="shared" si="3"/>
        <v>152870481.61849356</v>
      </c>
      <c r="K7" s="11">
        <f t="shared" si="4"/>
        <v>1.6420000000000101E-2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11"/>
      <c r="H8" s="10"/>
      <c r="I8" s="10">
        <f t="shared" si="5"/>
        <v>4405</v>
      </c>
      <c r="J8" s="10">
        <f t="shared" si="3"/>
        <v>150400898.85922506</v>
      </c>
      <c r="K8" s="11">
        <f t="shared" si="4"/>
        <v>1.6569999999999752E-2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11"/>
      <c r="H9" s="10"/>
      <c r="I9" s="10">
        <f t="shared" si="5"/>
        <v>4405</v>
      </c>
      <c r="J9" s="10">
        <f t="shared" si="3"/>
        <v>147949377.67121309</v>
      </c>
      <c r="K9" s="11">
        <f t="shared" si="4"/>
        <v>1.6780000000000017E-2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11"/>
      <c r="H10" s="10"/>
      <c r="I10" s="10">
        <f t="shared" si="5"/>
        <v>4405</v>
      </c>
      <c r="J10" s="10">
        <f t="shared" si="3"/>
        <v>145507757.50035709</v>
      </c>
      <c r="K10" s="11">
        <f t="shared" si="4"/>
        <v>1.7069999999999919E-2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11"/>
      <c r="H11" s="10"/>
      <c r="I11" s="10">
        <f t="shared" si="5"/>
        <v>4405</v>
      </c>
      <c r="J11" s="10">
        <f t="shared" si="3"/>
        <v>143065627.24331373</v>
      </c>
      <c r="K11" s="11">
        <f t="shared" si="4"/>
        <v>1.7330000000000068E-2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11"/>
      <c r="H12" s="10"/>
      <c r="I12" s="10">
        <f t="shared" si="5"/>
        <v>4405</v>
      </c>
      <c r="J12" s="10">
        <f t="shared" si="3"/>
        <v>140628534.73633307</v>
      </c>
      <c r="K12" s="11">
        <f t="shared" si="4"/>
        <v>1.7619999999999969E-2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11"/>
      <c r="H13" s="10"/>
      <c r="I13" s="10">
        <f t="shared" si="5"/>
        <v>4405</v>
      </c>
      <c r="J13" s="10">
        <f t="shared" si="3"/>
        <v>138193564.13625231</v>
      </c>
      <c r="K13" s="11">
        <f t="shared" si="4"/>
        <v>1.7970000000000041E-2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11"/>
      <c r="H14" s="10"/>
      <c r="I14" s="10">
        <f t="shared" si="5"/>
        <v>4405</v>
      </c>
      <c r="J14" s="10">
        <f t="shared" si="3"/>
        <v>135754063.61312446</v>
      </c>
      <c r="K14" s="11">
        <f t="shared" si="4"/>
        <v>1.8280000000000074E-2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11"/>
      <c r="H15" s="10"/>
      <c r="I15" s="10">
        <f t="shared" si="5"/>
        <v>4405</v>
      </c>
      <c r="J15" s="10">
        <f t="shared" si="3"/>
        <v>133317028.33515777</v>
      </c>
      <c r="K15" s="11">
        <f t="shared" si="4"/>
        <v>1.8369999999999997E-2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11"/>
      <c r="H16" s="10"/>
      <c r="I16" s="10">
        <f t="shared" si="5"/>
        <v>4405</v>
      </c>
      <c r="J16" s="10">
        <f t="shared" si="3"/>
        <v>130912171.74028866</v>
      </c>
      <c r="K16" s="11">
        <f t="shared" si="4"/>
        <v>1.7220000000000013E-2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11"/>
      <c r="H17" s="10"/>
      <c r="I17" s="10">
        <f t="shared" si="5"/>
        <v>4405</v>
      </c>
      <c r="J17" s="10">
        <f t="shared" si="3"/>
        <v>128696026.16964734</v>
      </c>
      <c r="K17" s="11">
        <f t="shared" si="4"/>
        <v>1.7220000000000013E-2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11"/>
      <c r="H18" s="10"/>
      <c r="I18" s="10">
        <f t="shared" si="5"/>
        <v>4405</v>
      </c>
      <c r="J18" s="10">
        <f t="shared" si="3"/>
        <v>126517396.60019204</v>
      </c>
      <c r="K18" s="11">
        <f t="shared" si="4"/>
        <v>1.7770000000000064E-2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11"/>
      <c r="H19" s="10"/>
      <c r="I19" s="10">
        <f t="shared" si="5"/>
        <v>4405</v>
      </c>
      <c r="J19" s="10">
        <f t="shared" si="3"/>
        <v>124308435.69784139</v>
      </c>
      <c r="K19" s="11">
        <f t="shared" si="4"/>
        <v>1.8399999999999972E-2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11"/>
      <c r="H20" s="10"/>
      <c r="I20" s="10">
        <f t="shared" si="5"/>
        <v>4405</v>
      </c>
      <c r="J20" s="10">
        <f t="shared" si="3"/>
        <v>122062485.95624647</v>
      </c>
      <c r="K20" s="11">
        <f t="shared" si="4"/>
        <v>1.9090000000000051E-2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11"/>
      <c r="H21" s="10"/>
      <c r="I21" s="10">
        <f t="shared" si="5"/>
        <v>4405</v>
      </c>
      <c r="J21" s="10">
        <f t="shared" si="3"/>
        <v>119775962.82590002</v>
      </c>
      <c r="K21" s="11">
        <f t="shared" si="4"/>
        <v>1.9789999999999974E-2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11"/>
      <c r="H22" s="10"/>
      <c r="I22" s="10">
        <f t="shared" si="5"/>
        <v>4405</v>
      </c>
      <c r="J22" s="10">
        <f t="shared" si="3"/>
        <v>117451595.746085</v>
      </c>
      <c r="K22" s="11">
        <f t="shared" si="4"/>
        <v>2.0599999999999952E-2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11"/>
      <c r="H23" s="10"/>
      <c r="I23" s="10">
        <f t="shared" si="5"/>
        <v>4405</v>
      </c>
      <c r="J23" s="10">
        <f t="shared" si="3"/>
        <v>115080928.61658339</v>
      </c>
      <c r="K23" s="11">
        <f t="shared" si="4"/>
        <v>2.1649999999999947E-2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11"/>
      <c r="H24" s="10"/>
      <c r="I24" s="10">
        <f t="shared" si="5"/>
        <v>4405</v>
      </c>
      <c r="J24" s="10">
        <f t="shared" si="3"/>
        <v>112642224.45708746</v>
      </c>
      <c r="K24" s="11">
        <f t="shared" si="4"/>
        <v>2.298E-2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11"/>
      <c r="H25" s="10"/>
      <c r="I25" s="10">
        <f t="shared" si="5"/>
        <v>4405</v>
      </c>
      <c r="J25" s="10">
        <f t="shared" si="3"/>
        <v>110111854.05099557</v>
      </c>
      <c r="K25" s="11">
        <f t="shared" si="4"/>
        <v>1.5309999999999935E-2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11"/>
      <c r="H26" s="10"/>
      <c r="I26" s="10">
        <f t="shared" si="5"/>
        <v>4405</v>
      </c>
      <c r="J26" s="10">
        <f t="shared" si="3"/>
        <v>108451462.16524567</v>
      </c>
      <c r="K26" s="11">
        <f t="shared" si="4"/>
        <v>1.2999999999999901E-2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11"/>
      <c r="H27" s="10"/>
      <c r="I27" s="10">
        <f t="shared" si="5"/>
        <v>4405</v>
      </c>
      <c r="J27" s="10">
        <f t="shared" si="3"/>
        <v>107059686.24407274</v>
      </c>
      <c r="K27" s="11">
        <f t="shared" si="4"/>
        <v>1.3700000000000045E-2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11"/>
      <c r="H28" s="10"/>
      <c r="I28" s="10">
        <f t="shared" si="5"/>
        <v>4405</v>
      </c>
      <c r="J28" s="10">
        <f t="shared" si="3"/>
        <v>105612791.00727309</v>
      </c>
      <c r="K28" s="11">
        <f t="shared" si="4"/>
        <v>1.4229999999999965E-2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11"/>
      <c r="H29" s="10"/>
      <c r="I29" s="10">
        <f t="shared" si="5"/>
        <v>4405</v>
      </c>
      <c r="J29" s="10">
        <f t="shared" si="3"/>
        <v>104131006.78078255</v>
      </c>
      <c r="K29" s="11">
        <f t="shared" si="4"/>
        <v>1.4760000000000106E-2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11"/>
      <c r="H30" s="10"/>
      <c r="I30" s="10">
        <f t="shared" si="5"/>
        <v>4405</v>
      </c>
      <c r="J30" s="10">
        <f t="shared" si="3"/>
        <v>102616388.88090044</v>
      </c>
      <c r="K30" s="11">
        <f t="shared" si="4"/>
        <v>1.5349999999999975E-2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11"/>
      <c r="H31" s="10"/>
      <c r="I31" s="10">
        <f t="shared" si="5"/>
        <v>4405</v>
      </c>
      <c r="J31" s="10">
        <f t="shared" si="3"/>
        <v>101065040.50908597</v>
      </c>
      <c r="K31" s="11">
        <f t="shared" si="4"/>
        <v>1.5840000000000076E-2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11"/>
      <c r="H32" s="10"/>
      <c r="I32" s="10">
        <f t="shared" si="5"/>
        <v>4405</v>
      </c>
      <c r="J32" s="10">
        <f t="shared" si="3"/>
        <v>99489132.647942543</v>
      </c>
      <c r="K32" s="11">
        <f t="shared" si="4"/>
        <v>1.6250000000000098E-2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11"/>
      <c r="H33" s="10"/>
      <c r="I33" s="10">
        <f t="shared" si="5"/>
        <v>4405</v>
      </c>
      <c r="J33" s="10">
        <f t="shared" si="3"/>
        <v>97898285.508430541</v>
      </c>
      <c r="K33" s="11">
        <f t="shared" si="4"/>
        <v>1.6690000000000094E-2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11"/>
      <c r="H34" s="10"/>
      <c r="I34" s="10">
        <f t="shared" si="5"/>
        <v>4405</v>
      </c>
      <c r="J34" s="10">
        <f t="shared" ref="J34:J65" si="6">IF(I34="","",I34*C34)</f>
        <v>96291185.620425627</v>
      </c>
      <c r="K34" s="11">
        <f t="shared" ref="K34:K65" si="7">IFERROR(J34/J35-1,"")</f>
        <v>1.7269999999999897E-2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11"/>
      <c r="H35" s="10"/>
      <c r="I35" s="10">
        <f t="shared" ref="I35:I66" si="8">IF(H35&lt;&gt;"",H35,I34/(1+IF(G34="",0,G34)))</f>
        <v>4405</v>
      </c>
      <c r="J35" s="10">
        <f t="shared" si="6"/>
        <v>94656468.410968214</v>
      </c>
      <c r="K35" s="11">
        <f t="shared" si="7"/>
        <v>1.3269999999999893E-2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11"/>
      <c r="H36" s="10"/>
      <c r="I36" s="10">
        <f t="shared" si="8"/>
        <v>4405</v>
      </c>
      <c r="J36" s="10">
        <f t="shared" si="6"/>
        <v>93416827.115150183</v>
      </c>
      <c r="K36" s="11">
        <f t="shared" si="7"/>
        <v>8.6700000000001776E-3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11"/>
      <c r="H37" s="10"/>
      <c r="I37" s="10">
        <f t="shared" si="8"/>
        <v>4405</v>
      </c>
      <c r="J37" s="10">
        <f t="shared" si="6"/>
        <v>92613864.906411588</v>
      </c>
      <c r="K37" s="11">
        <f t="shared" si="7"/>
        <v>8.2899999999999086E-3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11"/>
      <c r="H38" s="10"/>
      <c r="I38" s="10">
        <f t="shared" si="8"/>
        <v>4405</v>
      </c>
      <c r="J38" s="10">
        <f t="shared" si="6"/>
        <v>91852408.440440342</v>
      </c>
      <c r="K38" s="11">
        <f t="shared" si="7"/>
        <v>7.9599999999997451E-3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11"/>
      <c r="H39" s="10"/>
      <c r="I39" s="10">
        <f t="shared" si="8"/>
        <v>4405</v>
      </c>
      <c r="J39" s="10">
        <f t="shared" si="6"/>
        <v>91127037.224136233</v>
      </c>
      <c r="K39" s="11">
        <f t="shared" si="7"/>
        <v>7.7499999999999236E-3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11"/>
      <c r="H40" s="10"/>
      <c r="I40" s="10">
        <f t="shared" si="8"/>
        <v>4405</v>
      </c>
      <c r="J40" s="10">
        <f t="shared" si="6"/>
        <v>90426233.911323488</v>
      </c>
      <c r="K40" s="11">
        <f t="shared" si="7"/>
        <v>7.6300000000000257E-3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11"/>
      <c r="H41" s="10"/>
      <c r="I41" s="10">
        <f t="shared" si="8"/>
        <v>4405</v>
      </c>
      <c r="J41" s="10">
        <f t="shared" si="6"/>
        <v>89741506.218873471</v>
      </c>
      <c r="K41" s="11">
        <f t="shared" si="7"/>
        <v>7.6300000000000257E-3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11"/>
      <c r="H42" s="10"/>
      <c r="I42" s="10">
        <f t="shared" si="8"/>
        <v>4405</v>
      </c>
      <c r="J42" s="10">
        <f t="shared" si="6"/>
        <v>89061963.437842727</v>
      </c>
      <c r="K42" s="11">
        <f t="shared" si="7"/>
        <v>3.1000000000025452E-4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11"/>
      <c r="H43" s="10"/>
      <c r="I43" s="10">
        <f t="shared" si="8"/>
        <v>4405</v>
      </c>
      <c r="J43" s="10">
        <f t="shared" si="6"/>
        <v>89034362.785379246</v>
      </c>
      <c r="K43" s="11">
        <f t="shared" si="7"/>
        <v>-1.1910000000000087E-2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11"/>
      <c r="H44" s="10"/>
      <c r="I44" s="10">
        <f t="shared" si="8"/>
        <v>4405</v>
      </c>
      <c r="J44" s="10">
        <f t="shared" si="6"/>
        <v>90107543.630012706</v>
      </c>
      <c r="K44" s="11">
        <f t="shared" si="7"/>
        <v>3.8100000000000911E-3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11"/>
      <c r="H45" s="10"/>
      <c r="I45" s="10">
        <f t="shared" si="8"/>
        <v>4405</v>
      </c>
      <c r="J45" s="10">
        <f t="shared" si="6"/>
        <v>89765536.934293032</v>
      </c>
      <c r="K45" s="11">
        <f t="shared" si="7"/>
        <v>1.0909999999999975E-2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11"/>
      <c r="H46" s="10"/>
      <c r="I46" s="10">
        <f t="shared" si="8"/>
        <v>4405</v>
      </c>
      <c r="J46" s="10">
        <f t="shared" si="6"/>
        <v>88796764.236473113</v>
      </c>
      <c r="K46" s="11">
        <f t="shared" si="7"/>
        <v>1.0409999999999808E-2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11"/>
      <c r="H47" s="10"/>
      <c r="I47" s="10">
        <f t="shared" si="8"/>
        <v>4405</v>
      </c>
      <c r="J47" s="10">
        <f t="shared" si="6"/>
        <v>87881913.516763613</v>
      </c>
      <c r="K47" s="11">
        <f t="shared" si="7"/>
        <v>9.8800000000001109E-3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11"/>
      <c r="H48" s="10"/>
      <c r="I48" s="10">
        <f t="shared" si="8"/>
        <v>4405</v>
      </c>
      <c r="J48" s="10">
        <f t="shared" si="6"/>
        <v>87022134.824695617</v>
      </c>
      <c r="K48" s="11">
        <f t="shared" si="7"/>
        <v>9.540000000000104E-3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11"/>
      <c r="H49" s="10"/>
      <c r="I49" s="10">
        <f t="shared" si="8"/>
        <v>4405</v>
      </c>
      <c r="J49" s="10">
        <f t="shared" si="6"/>
        <v>86199788.839169934</v>
      </c>
      <c r="K49" s="11">
        <f t="shared" si="7"/>
        <v>9.360000000000035E-3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11"/>
      <c r="H50" s="10"/>
      <c r="I50" s="10">
        <f t="shared" si="8"/>
        <v>4405</v>
      </c>
      <c r="J50" s="10">
        <f t="shared" si="6"/>
        <v>85400440.714086086</v>
      </c>
      <c r="K50" s="11">
        <f t="shared" si="7"/>
        <v>9.319999999999995E-3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11"/>
      <c r="H51" s="10"/>
      <c r="I51" s="10">
        <f t="shared" si="8"/>
        <v>4405</v>
      </c>
      <c r="J51" s="10">
        <f t="shared" si="6"/>
        <v>84611858.19570215</v>
      </c>
      <c r="K51" s="11">
        <f t="shared" si="7"/>
        <v>9.400000000000075E-3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11"/>
      <c r="H52" s="10"/>
      <c r="I52" s="10">
        <f t="shared" si="8"/>
        <v>4405</v>
      </c>
      <c r="J52" s="10">
        <f t="shared" si="6"/>
        <v>83823913.409651414</v>
      </c>
      <c r="K52" s="11">
        <f t="shared" si="7"/>
        <v>8.82000000000005E-3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11"/>
      <c r="H53" s="10"/>
      <c r="I53" s="10">
        <f t="shared" si="8"/>
        <v>4405</v>
      </c>
      <c r="J53" s="10">
        <f t="shared" si="6"/>
        <v>83091050.345603198</v>
      </c>
      <c r="K53" s="11">
        <f t="shared" si="7"/>
        <v>8.1299999999999706E-3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11"/>
      <c r="H54" s="10"/>
      <c r="I54" s="10">
        <f t="shared" si="8"/>
        <v>4405</v>
      </c>
      <c r="J54" s="10">
        <f t="shared" si="6"/>
        <v>82420967.876765102</v>
      </c>
      <c r="K54" s="11">
        <f t="shared" si="7"/>
        <v>9.160000000000057E-3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11"/>
      <c r="H55" s="10"/>
      <c r="I55" s="10">
        <f t="shared" si="8"/>
        <v>4405</v>
      </c>
      <c r="J55" s="10">
        <f t="shared" si="6"/>
        <v>81672844.620045483</v>
      </c>
      <c r="K55" s="11">
        <f t="shared" si="7"/>
        <v>1.0000000000000231E-2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11"/>
      <c r="H56" s="10"/>
      <c r="I56" s="10">
        <f t="shared" si="8"/>
        <v>4405</v>
      </c>
      <c r="J56" s="10">
        <f t="shared" si="6"/>
        <v>80864202.594104424</v>
      </c>
      <c r="K56" s="11">
        <f t="shared" si="7"/>
        <v>9.8899999999999544E-3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11"/>
      <c r="H57" s="10"/>
      <c r="I57" s="10">
        <f t="shared" si="8"/>
        <v>4405</v>
      </c>
      <c r="J57" s="10">
        <f t="shared" si="6"/>
        <v>80072287.669057444</v>
      </c>
      <c r="K57" s="11">
        <f t="shared" si="7"/>
        <v>2.0729999999999693E-2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11"/>
      <c r="H58" s="10"/>
      <c r="I58" s="10">
        <f t="shared" si="8"/>
        <v>4405</v>
      </c>
      <c r="J58" s="10">
        <f t="shared" si="6"/>
        <v>78446100.01573135</v>
      </c>
      <c r="K58" s="11">
        <f t="shared" si="7"/>
        <v>2.0369999999999999E-2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11"/>
      <c r="H59" s="10"/>
      <c r="I59" s="10">
        <f t="shared" si="8"/>
        <v>4405</v>
      </c>
      <c r="J59" s="10">
        <f t="shared" si="6"/>
        <v>76880053.329411238</v>
      </c>
      <c r="K59" s="11">
        <f t="shared" si="7"/>
        <v>1.9260000000000277E-2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11"/>
      <c r="H60" s="10"/>
      <c r="I60" s="10">
        <f t="shared" si="8"/>
        <v>4405</v>
      </c>
      <c r="J60" s="10">
        <f t="shared" si="6"/>
        <v>75427323.086760223</v>
      </c>
      <c r="K60" s="11">
        <f t="shared" si="7"/>
        <v>1.8199999999999772E-2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11"/>
      <c r="H61" s="10"/>
      <c r="I61" s="10">
        <f t="shared" si="8"/>
        <v>4405</v>
      </c>
      <c r="J61" s="10">
        <f t="shared" si="6"/>
        <v>74079083.762286618</v>
      </c>
      <c r="K61" s="11">
        <f t="shared" si="7"/>
        <v>1.7409999999999926E-2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11"/>
      <c r="H62" s="10"/>
      <c r="I62" s="10">
        <f t="shared" si="8"/>
        <v>4405</v>
      </c>
      <c r="J62" s="10">
        <f t="shared" si="6"/>
        <v>72811436.650206536</v>
      </c>
      <c r="K62" s="11">
        <f t="shared" si="7"/>
        <v>1.6769999999999952E-2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11"/>
      <c r="H63" s="10"/>
      <c r="I63" s="10">
        <f t="shared" si="8"/>
        <v>4405</v>
      </c>
      <c r="J63" s="10">
        <f t="shared" si="6"/>
        <v>71610528.094069004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11"/>
      <c r="H64" s="10"/>
      <c r="I64" s="10">
        <f t="shared" si="8"/>
        <v>4405</v>
      </c>
      <c r="J64" s="10">
        <f t="shared" si="6"/>
        <v>70461997.534260556</v>
      </c>
      <c r="K64" s="11">
        <f t="shared" si="7"/>
        <v>1.5879999999999672E-2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11"/>
      <c r="H65" s="10"/>
      <c r="I65" s="10">
        <f t="shared" si="8"/>
        <v>4405</v>
      </c>
      <c r="J65" s="10">
        <f t="shared" si="6"/>
        <v>69360551.968992963</v>
      </c>
      <c r="K65" s="11">
        <f t="shared" si="7"/>
        <v>1.548000000000016E-2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6">
        <f>SUM(F2)</f>
        <v>37482</v>
      </c>
      <c r="G66" s="11"/>
      <c r="H66" s="10"/>
      <c r="I66" s="10">
        <f t="shared" si="8"/>
        <v>4405</v>
      </c>
      <c r="J66" s="10">
        <f t="shared" ref="J66:J97" si="9">IF(I66="","",I66*C66)</f>
        <v>68303218.151999995</v>
      </c>
      <c r="K66" s="11">
        <f t="shared" ref="K66:K97" si="10">IFERROR(J66/J67-1,"")</f>
        <v>1.4780000000000015E-2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11"/>
      <c r="H67" s="10"/>
      <c r="I67" s="10">
        <f t="shared" ref="I67:I98" si="11">IF(H67&lt;&gt;"",H67,I66/(1+IF(G66="",0,G66)))</f>
        <v>4405</v>
      </c>
      <c r="J67" s="10">
        <f t="shared" si="9"/>
        <v>67308400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5">
        <v>13153004</v>
      </c>
      <c r="G2" s="11"/>
      <c r="H2" s="10"/>
      <c r="I2" s="10">
        <f>IF(H2&lt;&gt;"",H2,857)</f>
        <v>857</v>
      </c>
      <c r="J2" s="10">
        <f t="shared" ref="J2:J33" si="3">IF(I2="","",I2*C2)</f>
        <v>11272866980.984173</v>
      </c>
      <c r="K2" s="11">
        <f t="shared" ref="K2:K33" si="4">IFERROR(J2/J3-1,"")</f>
        <v>2.7280000000000193E-2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11"/>
      <c r="H3" s="10"/>
      <c r="I3" s="10">
        <f t="shared" ref="I3:I34" si="5">IF(H3&lt;&gt;"",H3,I2/(1+IF(G2="",0,G2)))</f>
        <v>857</v>
      </c>
      <c r="J3" s="10">
        <f t="shared" si="3"/>
        <v>10973509638.057951</v>
      </c>
      <c r="K3" s="11">
        <f t="shared" si="4"/>
        <v>2.7800000000000047E-2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11"/>
      <c r="H4" s="10"/>
      <c r="I4" s="10">
        <f t="shared" si="5"/>
        <v>857</v>
      </c>
      <c r="J4" s="10">
        <f t="shared" si="3"/>
        <v>10676697448.976406</v>
      </c>
      <c r="K4" s="11">
        <f t="shared" si="4"/>
        <v>2.8299999999999992E-2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11"/>
      <c r="H5" s="10"/>
      <c r="I5" s="10">
        <f t="shared" si="5"/>
        <v>857</v>
      </c>
      <c r="J5" s="10">
        <f t="shared" si="3"/>
        <v>10382862441.871445</v>
      </c>
      <c r="K5" s="11">
        <f t="shared" si="4"/>
        <v>2.845999999999993E-2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11"/>
      <c r="H6" s="10"/>
      <c r="I6" s="10">
        <f t="shared" si="5"/>
        <v>857</v>
      </c>
      <c r="J6" s="10">
        <f t="shared" si="3"/>
        <v>10095543280.119251</v>
      </c>
      <c r="K6" s="11">
        <f t="shared" si="4"/>
        <v>2.8960000000000097E-2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11"/>
      <c r="H7" s="10"/>
      <c r="I7" s="10">
        <f t="shared" si="5"/>
        <v>857</v>
      </c>
      <c r="J7" s="10">
        <f t="shared" si="3"/>
        <v>9811404991.56357</v>
      </c>
      <c r="K7" s="11">
        <f t="shared" si="4"/>
        <v>2.9350000000000209E-2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11"/>
      <c r="H8" s="10"/>
      <c r="I8" s="10">
        <f t="shared" si="5"/>
        <v>857</v>
      </c>
      <c r="J8" s="10">
        <f t="shared" si="3"/>
        <v>9531651033.7237759</v>
      </c>
      <c r="K8" s="11">
        <f t="shared" si="4"/>
        <v>2.9609999999999914E-2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11"/>
      <c r="H9" s="10"/>
      <c r="I9" s="10">
        <f t="shared" si="5"/>
        <v>857</v>
      </c>
      <c r="J9" s="10">
        <f t="shared" si="3"/>
        <v>9257535410.2269573</v>
      </c>
      <c r="K9" s="11">
        <f t="shared" si="4"/>
        <v>2.9519999999999991E-2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11"/>
      <c r="H10" s="10"/>
      <c r="I10" s="10">
        <f t="shared" si="5"/>
        <v>857</v>
      </c>
      <c r="J10" s="10">
        <f t="shared" si="3"/>
        <v>8992088944.5828705</v>
      </c>
      <c r="K10" s="11">
        <f t="shared" si="4"/>
        <v>2.8550000000000075E-2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11"/>
      <c r="H11" s="10"/>
      <c r="I11" s="10">
        <f t="shared" si="5"/>
        <v>857</v>
      </c>
      <c r="J11" s="10">
        <f t="shared" si="3"/>
        <v>8742490831.347887</v>
      </c>
      <c r="K11" s="11">
        <f t="shared" si="4"/>
        <v>2.7859999999999996E-2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11"/>
      <c r="H12" s="10"/>
      <c r="I12" s="10">
        <f t="shared" si="5"/>
        <v>857</v>
      </c>
      <c r="J12" s="10">
        <f t="shared" si="3"/>
        <v>8505526853.2172537</v>
      </c>
      <c r="K12" s="11">
        <f t="shared" si="4"/>
        <v>2.7230000000000087E-2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11"/>
      <c r="H13" s="10"/>
      <c r="I13" s="10">
        <f t="shared" si="5"/>
        <v>857</v>
      </c>
      <c r="J13" s="10">
        <f t="shared" si="3"/>
        <v>8280060797.6959906</v>
      </c>
      <c r="K13" s="11">
        <f t="shared" si="4"/>
        <v>2.6310000000000056E-2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11"/>
      <c r="H14" s="10"/>
      <c r="I14" s="10">
        <f t="shared" si="5"/>
        <v>857</v>
      </c>
      <c r="J14" s="10">
        <f t="shared" si="3"/>
        <v>8067797057.1230822</v>
      </c>
      <c r="K14" s="11">
        <f t="shared" si="4"/>
        <v>2.5400000000000089E-2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11"/>
      <c r="H15" s="10"/>
      <c r="I15" s="10">
        <f t="shared" si="5"/>
        <v>857</v>
      </c>
      <c r="J15" s="10">
        <f t="shared" si="3"/>
        <v>7867951099.2033176</v>
      </c>
      <c r="K15" s="11">
        <f t="shared" si="4"/>
        <v>2.4650000000000061E-2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11"/>
      <c r="H16" s="10"/>
      <c r="I16" s="10">
        <f t="shared" si="5"/>
        <v>857</v>
      </c>
      <c r="J16" s="10">
        <f t="shared" si="3"/>
        <v>7678671838.3870754</v>
      </c>
      <c r="K16" s="11">
        <f t="shared" si="4"/>
        <v>2.4319999999999897E-2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11"/>
      <c r="H17" s="10"/>
      <c r="I17" s="10">
        <f t="shared" si="5"/>
        <v>857</v>
      </c>
      <c r="J17" s="10">
        <f t="shared" si="3"/>
        <v>7496360354.5640783</v>
      </c>
      <c r="K17" s="11">
        <f t="shared" si="4"/>
        <v>2.4070000000000036E-2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11"/>
      <c r="H18" s="10"/>
      <c r="I18" s="10">
        <f t="shared" si="5"/>
        <v>857</v>
      </c>
      <c r="J18" s="10">
        <f t="shared" si="3"/>
        <v>7320164006.917572</v>
      </c>
      <c r="K18" s="11">
        <f t="shared" si="4"/>
        <v>2.3889999999999967E-2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11"/>
      <c r="H19" s="10"/>
      <c r="I19" s="10">
        <f t="shared" si="5"/>
        <v>857</v>
      </c>
      <c r="J19" s="10">
        <f t="shared" si="3"/>
        <v>7149365661.2698355</v>
      </c>
      <c r="K19" s="11">
        <f t="shared" si="4"/>
        <v>2.2790000000000088E-2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11"/>
      <c r="H20" s="10"/>
      <c r="I20" s="10">
        <f t="shared" si="5"/>
        <v>857</v>
      </c>
      <c r="J20" s="10">
        <f t="shared" si="3"/>
        <v>6990062144.9856129</v>
      </c>
      <c r="K20" s="11">
        <f t="shared" si="4"/>
        <v>2.0429999999999948E-2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11"/>
      <c r="H21" s="10"/>
      <c r="I21" s="10">
        <f t="shared" si="5"/>
        <v>857</v>
      </c>
      <c r="J21" s="10">
        <f t="shared" si="3"/>
        <v>6850114309.6396751</v>
      </c>
      <c r="K21" s="11">
        <f t="shared" si="4"/>
        <v>1.9690000000000207E-2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11"/>
      <c r="H22" s="10"/>
      <c r="I22" s="10">
        <f t="shared" si="5"/>
        <v>857</v>
      </c>
      <c r="J22" s="10">
        <f t="shared" si="3"/>
        <v>6717840039.2665167</v>
      </c>
      <c r="K22" s="11">
        <f t="shared" si="4"/>
        <v>1.9739999999999869E-2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11"/>
      <c r="H23" s="10"/>
      <c r="I23" s="10">
        <f t="shared" si="5"/>
        <v>857</v>
      </c>
      <c r="J23" s="10">
        <f t="shared" si="3"/>
        <v>6587796927.9095821</v>
      </c>
      <c r="K23" s="11">
        <f t="shared" si="4"/>
        <v>-2.2619999999999973E-2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11"/>
      <c r="H24" s="10"/>
      <c r="I24" s="10">
        <f t="shared" si="5"/>
        <v>857</v>
      </c>
      <c r="J24" s="10">
        <f t="shared" si="3"/>
        <v>6740261646.3500195</v>
      </c>
      <c r="K24" s="11">
        <f t="shared" si="4"/>
        <v>-8.099999999999774E-4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11"/>
      <c r="H25" s="10"/>
      <c r="I25" s="10">
        <f t="shared" si="5"/>
        <v>857</v>
      </c>
      <c r="J25" s="10">
        <f t="shared" si="3"/>
        <v>6745725684.1541843</v>
      </c>
      <c r="K25" s="11">
        <f t="shared" si="4"/>
        <v>3.0219999999999914E-2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11"/>
      <c r="H26" s="10"/>
      <c r="I26" s="10">
        <f t="shared" si="5"/>
        <v>857</v>
      </c>
      <c r="J26" s="10">
        <f t="shared" si="3"/>
        <v>6547849667.2110662</v>
      </c>
      <c r="K26" s="11">
        <f t="shared" si="4"/>
        <v>2.7989999999999959E-2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11"/>
      <c r="H27" s="10"/>
      <c r="I27" s="10">
        <f t="shared" si="5"/>
        <v>857</v>
      </c>
      <c r="J27" s="10">
        <f t="shared" si="3"/>
        <v>6369565528.0801039</v>
      </c>
      <c r="K27" s="11">
        <f t="shared" si="4"/>
        <v>3.3660000000000023E-2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11"/>
      <c r="H28" s="10"/>
      <c r="I28" s="10">
        <f t="shared" si="5"/>
        <v>857</v>
      </c>
      <c r="J28" s="10">
        <f t="shared" si="3"/>
        <v>6162147638.5659733</v>
      </c>
      <c r="K28" s="11">
        <f t="shared" si="4"/>
        <v>4.5560000000000045E-2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11"/>
      <c r="H29" s="10"/>
      <c r="I29" s="10">
        <f t="shared" si="5"/>
        <v>857</v>
      </c>
      <c r="J29" s="10">
        <f t="shared" si="3"/>
        <v>5893633687.7519922</v>
      </c>
      <c r="K29" s="11">
        <f t="shared" si="4"/>
        <v>4.8899999999999944E-2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11"/>
      <c r="H30" s="10"/>
      <c r="I30" s="10">
        <f t="shared" si="5"/>
        <v>857</v>
      </c>
      <c r="J30" s="10">
        <f t="shared" si="3"/>
        <v>5618870900.7074003</v>
      </c>
      <c r="K30" s="11">
        <f t="shared" si="4"/>
        <v>5.9369999999999923E-2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11"/>
      <c r="H31" s="10"/>
      <c r="I31" s="10">
        <f t="shared" si="5"/>
        <v>857</v>
      </c>
      <c r="J31" s="10">
        <f t="shared" si="3"/>
        <v>5303973966.3265905</v>
      </c>
      <c r="K31" s="11">
        <f t="shared" si="4"/>
        <v>3.5560000000000036E-2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11"/>
      <c r="H32" s="10"/>
      <c r="I32" s="10">
        <f t="shared" si="5"/>
        <v>857</v>
      </c>
      <c r="J32" s="10">
        <f t="shared" si="3"/>
        <v>5121841290.05233</v>
      </c>
      <c r="K32" s="11">
        <f t="shared" si="4"/>
        <v>3.8170000000000259E-2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11"/>
      <c r="H33" s="10"/>
      <c r="I33" s="10">
        <f t="shared" si="5"/>
        <v>857</v>
      </c>
      <c r="J33" s="10">
        <f t="shared" si="3"/>
        <v>4933528506.9423399</v>
      </c>
      <c r="K33" s="11">
        <f t="shared" si="4"/>
        <v>3.8810000000000011E-2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11"/>
      <c r="H34" s="10"/>
      <c r="I34" s="10">
        <f t="shared" si="5"/>
        <v>857</v>
      </c>
      <c r="J34" s="10">
        <f t="shared" ref="J34:J65" si="6">IF(I34="","",I34*C34)</f>
        <v>4749211604.5690165</v>
      </c>
      <c r="K34" s="11">
        <f t="shared" ref="K34:K65" si="7">IFERROR(J34/J35-1,"")</f>
        <v>3.9369999999999905E-2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11"/>
      <c r="H35" s="10"/>
      <c r="I35" s="10">
        <f t="shared" ref="I35:I66" si="8">IF(H35&lt;&gt;"",H35,I34/(1+IF(G34="",0,G34)))</f>
        <v>857</v>
      </c>
      <c r="J35" s="10">
        <f t="shared" si="6"/>
        <v>4569317571.7684917</v>
      </c>
      <c r="K35" s="11">
        <f t="shared" si="7"/>
        <v>3.9549999999999974E-2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11"/>
      <c r="H36" s="10"/>
      <c r="I36" s="10">
        <f t="shared" si="8"/>
        <v>857</v>
      </c>
      <c r="J36" s="10">
        <f t="shared" si="6"/>
        <v>4395476477.0992174</v>
      </c>
      <c r="K36" s="11">
        <f t="shared" si="7"/>
        <v>3.9409999999999945E-2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11"/>
      <c r="H37" s="10"/>
      <c r="I37" s="10">
        <f t="shared" si="8"/>
        <v>857</v>
      </c>
      <c r="J37" s="10">
        <f t="shared" si="6"/>
        <v>4228818730.9139004</v>
      </c>
      <c r="K37" s="11">
        <f t="shared" si="7"/>
        <v>3.9120000000000044E-2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11"/>
      <c r="H38" s="10"/>
      <c r="I38" s="10">
        <f t="shared" si="8"/>
        <v>857</v>
      </c>
      <c r="J38" s="10">
        <f t="shared" si="6"/>
        <v>4069615377.3518944</v>
      </c>
      <c r="K38" s="11">
        <f t="shared" si="7"/>
        <v>3.791000000000011E-2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11"/>
      <c r="H39" s="10"/>
      <c r="I39" s="10">
        <f t="shared" si="8"/>
        <v>857</v>
      </c>
      <c r="J39" s="10">
        <f t="shared" si="6"/>
        <v>3920971353.3465271</v>
      </c>
      <c r="K39" s="11">
        <f t="shared" si="7"/>
        <v>3.5929999999999795E-2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11"/>
      <c r="H40" s="10"/>
      <c r="I40" s="10">
        <f t="shared" si="8"/>
        <v>857</v>
      </c>
      <c r="J40" s="10">
        <f t="shared" si="6"/>
        <v>3784977125.2367706</v>
      </c>
      <c r="K40" s="11">
        <f t="shared" si="7"/>
        <v>3.2340000000000035E-2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11"/>
      <c r="H41" s="10"/>
      <c r="I41" s="10">
        <f t="shared" si="8"/>
        <v>857</v>
      </c>
      <c r="J41" s="10">
        <f t="shared" si="6"/>
        <v>3666405569.1310716</v>
      </c>
      <c r="K41" s="11">
        <f t="shared" si="7"/>
        <v>2.9689999999999994E-2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11"/>
      <c r="H42" s="10"/>
      <c r="I42" s="10">
        <f t="shared" si="8"/>
        <v>857</v>
      </c>
      <c r="J42" s="10">
        <f t="shared" si="6"/>
        <v>3560688721.0044498</v>
      </c>
      <c r="K42" s="11">
        <f t="shared" si="7"/>
        <v>2.8450000000000086E-2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11"/>
      <c r="H43" s="10"/>
      <c r="I43" s="10">
        <f t="shared" si="8"/>
        <v>857</v>
      </c>
      <c r="J43" s="10">
        <f t="shared" si="6"/>
        <v>3462189431.6733432</v>
      </c>
      <c r="K43" s="11">
        <f t="shared" si="7"/>
        <v>2.7549999999999963E-2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11"/>
      <c r="H44" s="10"/>
      <c r="I44" s="10">
        <f t="shared" si="8"/>
        <v>857</v>
      </c>
      <c r="J44" s="10">
        <f t="shared" si="6"/>
        <v>3369363468.1264591</v>
      </c>
      <c r="K44" s="11">
        <f t="shared" si="7"/>
        <v>2.6610000000000023E-2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11"/>
      <c r="H45" s="10"/>
      <c r="I45" s="10">
        <f t="shared" si="8"/>
        <v>857</v>
      </c>
      <c r="J45" s="10">
        <f t="shared" si="6"/>
        <v>3282028684.8233109</v>
      </c>
      <c r="K45" s="11">
        <f t="shared" si="7"/>
        <v>2.5800000000000045E-2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11"/>
      <c r="H46" s="10"/>
      <c r="I46" s="10">
        <f t="shared" si="8"/>
        <v>857</v>
      </c>
      <c r="J46" s="10">
        <f t="shared" si="6"/>
        <v>3199482047.9852901</v>
      </c>
      <c r="K46" s="11">
        <f t="shared" si="7"/>
        <v>2.5320000000000009E-2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11"/>
      <c r="H47" s="10"/>
      <c r="I47" s="10">
        <f t="shared" si="8"/>
        <v>857</v>
      </c>
      <c r="J47" s="10">
        <f t="shared" si="6"/>
        <v>3120471704.4291444</v>
      </c>
      <c r="K47" s="11">
        <f t="shared" si="7"/>
        <v>2.4750000000000272E-2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11"/>
      <c r="H48" s="10"/>
      <c r="I48" s="10">
        <f t="shared" si="8"/>
        <v>857</v>
      </c>
      <c r="J48" s="10">
        <f t="shared" si="6"/>
        <v>3045105347.0886984</v>
      </c>
      <c r="K48" s="11">
        <f t="shared" si="7"/>
        <v>2.4519999999999875E-2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11"/>
      <c r="H49" s="10"/>
      <c r="I49" s="10">
        <f t="shared" si="8"/>
        <v>857</v>
      </c>
      <c r="J49" s="10">
        <f t="shared" si="6"/>
        <v>2972226356.8194847</v>
      </c>
      <c r="K49" s="11">
        <f t="shared" si="7"/>
        <v>2.4799999999999933E-2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11"/>
      <c r="H50" s="10"/>
      <c r="I50" s="10">
        <f t="shared" si="8"/>
        <v>857</v>
      </c>
      <c r="J50" s="10">
        <f t="shared" si="6"/>
        <v>2900298943.0322843</v>
      </c>
      <c r="K50" s="11">
        <f t="shared" si="7"/>
        <v>2.479000000000009E-2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11"/>
      <c r="H51" s="10"/>
      <c r="I51" s="10">
        <f t="shared" si="8"/>
        <v>857</v>
      </c>
      <c r="J51" s="10">
        <f t="shared" si="6"/>
        <v>2830139777.9372206</v>
      </c>
      <c r="K51" s="11">
        <f t="shared" si="7"/>
        <v>2.4659999999999904E-2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11"/>
      <c r="H52" s="10"/>
      <c r="I52" s="10">
        <f t="shared" si="8"/>
        <v>857</v>
      </c>
      <c r="J52" s="10">
        <f t="shared" si="6"/>
        <v>2762028163.4271083</v>
      </c>
      <c r="K52" s="11">
        <f t="shared" si="7"/>
        <v>2.4420000000000108E-2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11"/>
      <c r="H53" s="10"/>
      <c r="I53" s="10">
        <f t="shared" si="8"/>
        <v>857</v>
      </c>
      <c r="J53" s="10">
        <f t="shared" si="6"/>
        <v>2696187270.2867064</v>
      </c>
      <c r="K53" s="11">
        <f t="shared" si="7"/>
        <v>2.4429999999999952E-2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11"/>
      <c r="H54" s="10"/>
      <c r="I54" s="10">
        <f t="shared" si="8"/>
        <v>857</v>
      </c>
      <c r="J54" s="10">
        <f t="shared" si="6"/>
        <v>2631890192.8747759</v>
      </c>
      <c r="K54" s="11">
        <f t="shared" si="7"/>
        <v>2.4599999999999733E-2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11"/>
      <c r="H55" s="10"/>
      <c r="I55" s="10">
        <f t="shared" si="8"/>
        <v>857</v>
      </c>
      <c r="J55" s="10">
        <f t="shared" si="6"/>
        <v>2568700168.7241621</v>
      </c>
      <c r="K55" s="11">
        <f t="shared" si="7"/>
        <v>2.4289999999999923E-2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11"/>
      <c r="H56" s="10"/>
      <c r="I56" s="10">
        <f t="shared" si="8"/>
        <v>857</v>
      </c>
      <c r="J56" s="10">
        <f t="shared" si="6"/>
        <v>2507786045.6747231</v>
      </c>
      <c r="K56" s="11">
        <f t="shared" si="7"/>
        <v>2.397999999999989E-2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11"/>
      <c r="H57" s="10"/>
      <c r="I57" s="10">
        <f t="shared" si="8"/>
        <v>857</v>
      </c>
      <c r="J57" s="10">
        <f t="shared" si="6"/>
        <v>2449057643.3863196</v>
      </c>
      <c r="K57" s="11">
        <f t="shared" si="7"/>
        <v>2.3630000000000262E-2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11"/>
      <c r="H58" s="10"/>
      <c r="I58" s="10">
        <f t="shared" si="8"/>
        <v>857</v>
      </c>
      <c r="J58" s="10">
        <f t="shared" si="6"/>
        <v>2392522340.4807587</v>
      </c>
      <c r="K58" s="11">
        <f t="shared" si="7"/>
        <v>2.3200000000000109E-2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11"/>
      <c r="H59" s="10"/>
      <c r="I59" s="10">
        <f t="shared" si="8"/>
        <v>857</v>
      </c>
      <c r="J59" s="10">
        <f t="shared" si="6"/>
        <v>2338274374.9811945</v>
      </c>
      <c r="K59" s="11">
        <f t="shared" si="7"/>
        <v>2.2580000000000044E-2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11"/>
      <c r="H60" s="10"/>
      <c r="I60" s="10">
        <f t="shared" si="8"/>
        <v>857</v>
      </c>
      <c r="J60" s="10">
        <f t="shared" si="6"/>
        <v>2286641998.6516404</v>
      </c>
      <c r="K60" s="11">
        <f t="shared" si="7"/>
        <v>2.1910000000000096E-2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11"/>
      <c r="H61" s="10"/>
      <c r="I61" s="10">
        <f t="shared" si="8"/>
        <v>857</v>
      </c>
      <c r="J61" s="10">
        <f t="shared" si="6"/>
        <v>2237615835.6916366</v>
      </c>
      <c r="K61" s="11">
        <f t="shared" si="7"/>
        <v>2.130999999999994E-2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11"/>
      <c r="H62" s="10"/>
      <c r="I62" s="10">
        <f t="shared" si="8"/>
        <v>857</v>
      </c>
      <c r="J62" s="10">
        <f t="shared" si="6"/>
        <v>2190927177.5382957</v>
      </c>
      <c r="K62" s="11">
        <f t="shared" si="7"/>
        <v>2.0590000000000108E-2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11"/>
      <c r="H63" s="10"/>
      <c r="I63" s="10">
        <f t="shared" si="8"/>
        <v>857</v>
      </c>
      <c r="J63" s="10">
        <f t="shared" si="6"/>
        <v>2146726087.3987551</v>
      </c>
      <c r="K63" s="11">
        <f t="shared" si="7"/>
        <v>1.9859999999999989E-2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11"/>
      <c r="H64" s="10"/>
      <c r="I64" s="10">
        <f t="shared" si="8"/>
        <v>857</v>
      </c>
      <c r="J64" s="10">
        <f t="shared" si="6"/>
        <v>2104922329.9264164</v>
      </c>
      <c r="K64" s="11">
        <f t="shared" si="7"/>
        <v>1.9690000000000207E-2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11"/>
      <c r="H65" s="10"/>
      <c r="I65" s="10">
        <f t="shared" si="8"/>
        <v>857</v>
      </c>
      <c r="J65" s="10">
        <f t="shared" si="6"/>
        <v>2064276721.2843277</v>
      </c>
      <c r="K65" s="11">
        <f t="shared" si="7"/>
        <v>1.9060000000000077E-2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6">
        <f>SUM(F2)</f>
        <v>13153004</v>
      </c>
      <c r="G66" s="11"/>
      <c r="H66" s="10"/>
      <c r="I66" s="10">
        <f t="shared" si="8"/>
        <v>857</v>
      </c>
      <c r="J66" s="10">
        <f t="shared" ref="J66:J97" si="9">IF(I66="","",I66*C66)</f>
        <v>2025667498.7580001</v>
      </c>
      <c r="K66" s="11">
        <f t="shared" ref="K66:K97" si="10">IFERROR(J66/J67-1,"")</f>
        <v>1.8210000000000059E-2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11"/>
      <c r="H67" s="10"/>
      <c r="I67" s="10">
        <f t="shared" ref="I67:I98" si="11">IF(H67&lt;&gt;"",H67,I66/(1+IF(G66="",0,G66)))</f>
        <v>857</v>
      </c>
      <c r="J67" s="10">
        <f t="shared" si="9"/>
        <v>1989439800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5">
        <v>22993720</v>
      </c>
      <c r="G2" s="11"/>
      <c r="H2" s="10"/>
      <c r="I2" s="10">
        <f>IF(H2&lt;&gt;"",H2,437)</f>
        <v>437</v>
      </c>
      <c r="J2" s="10">
        <f t="shared" ref="J2:J33" si="3">IF(I2="","",I2*C2)</f>
        <v>10048163226.631977</v>
      </c>
      <c r="K2" s="11">
        <f t="shared" ref="K2:K33" si="4">IFERROR(J2/J3-1,"")</f>
        <v>2.0429999999999948E-2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11"/>
      <c r="H3" s="10"/>
      <c r="I3" s="10">
        <f t="shared" ref="I3:I34" si="5">IF(H3&lt;&gt;"",H3,I2/(1+IF(G2="",0,G2)))</f>
        <v>437</v>
      </c>
      <c r="J3" s="10">
        <f t="shared" si="3"/>
        <v>9846989236.5296764</v>
      </c>
      <c r="K3" s="11">
        <f t="shared" si="4"/>
        <v>2.1560000000000024E-2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11"/>
      <c r="H4" s="10"/>
      <c r="I4" s="10">
        <f t="shared" si="5"/>
        <v>437</v>
      </c>
      <c r="J4" s="10">
        <f t="shared" si="3"/>
        <v>9639168758.1049347</v>
      </c>
      <c r="K4" s="11">
        <f t="shared" si="4"/>
        <v>2.3989999999999956E-2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11"/>
      <c r="H5" s="10"/>
      <c r="I5" s="10">
        <f t="shared" si="5"/>
        <v>437</v>
      </c>
      <c r="J5" s="10">
        <f t="shared" si="3"/>
        <v>9413342667.5113373</v>
      </c>
      <c r="K5" s="11">
        <f t="shared" si="4"/>
        <v>2.2089999999999943E-2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11"/>
      <c r="H6" s="10"/>
      <c r="I6" s="10">
        <f t="shared" si="5"/>
        <v>437</v>
      </c>
      <c r="J6" s="10">
        <f t="shared" si="3"/>
        <v>9209896063.4693012</v>
      </c>
      <c r="K6" s="11">
        <f t="shared" si="4"/>
        <v>2.2809999999999997E-2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11"/>
      <c r="H7" s="10"/>
      <c r="I7" s="10">
        <f t="shared" si="5"/>
        <v>437</v>
      </c>
      <c r="J7" s="10">
        <f t="shared" si="3"/>
        <v>9004503342.2329674</v>
      </c>
      <c r="K7" s="11">
        <f t="shared" si="4"/>
        <v>1.9240000000000146E-2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11"/>
      <c r="H8" s="10"/>
      <c r="I8" s="10">
        <f t="shared" si="5"/>
        <v>437</v>
      </c>
      <c r="J8" s="10">
        <f t="shared" si="3"/>
        <v>8834527041.9459267</v>
      </c>
      <c r="K8" s="11">
        <f t="shared" si="4"/>
        <v>1.9120000000000026E-2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11"/>
      <c r="H9" s="10"/>
      <c r="I9" s="10">
        <f t="shared" si="5"/>
        <v>437</v>
      </c>
      <c r="J9" s="10">
        <f t="shared" si="3"/>
        <v>8668779968.9397984</v>
      </c>
      <c r="K9" s="11">
        <f t="shared" si="4"/>
        <v>1.863999999999999E-2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11"/>
      <c r="H10" s="10"/>
      <c r="I10" s="10">
        <f t="shared" si="5"/>
        <v>437</v>
      </c>
      <c r="J10" s="10">
        <f t="shared" si="3"/>
        <v>8510150758.7958431</v>
      </c>
      <c r="K10" s="11">
        <f t="shared" si="4"/>
        <v>1.8699999999999717E-2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11"/>
      <c r="H11" s="10"/>
      <c r="I11" s="10">
        <f t="shared" si="5"/>
        <v>437</v>
      </c>
      <c r="J11" s="10">
        <f t="shared" si="3"/>
        <v>8353932226.1665306</v>
      </c>
      <c r="K11" s="11">
        <f t="shared" si="4"/>
        <v>1.9050000000000233E-2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11"/>
      <c r="H12" s="10"/>
      <c r="I12" s="10">
        <f t="shared" si="5"/>
        <v>437</v>
      </c>
      <c r="J12" s="10">
        <f t="shared" si="3"/>
        <v>8197764806.6007843</v>
      </c>
      <c r="K12" s="11">
        <f t="shared" si="4"/>
        <v>2.0019999999999927E-2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11"/>
      <c r="H13" s="10"/>
      <c r="I13" s="10">
        <f t="shared" si="5"/>
        <v>437</v>
      </c>
      <c r="J13" s="10">
        <f t="shared" si="3"/>
        <v>8036866734.5746021</v>
      </c>
      <c r="K13" s="11">
        <f t="shared" si="4"/>
        <v>2.0429999999999948E-2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11"/>
      <c r="H14" s="10"/>
      <c r="I14" s="10">
        <f t="shared" si="5"/>
        <v>437</v>
      </c>
      <c r="J14" s="10">
        <f t="shared" si="3"/>
        <v>7875960854.3208275</v>
      </c>
      <c r="K14" s="11">
        <f t="shared" si="4"/>
        <v>2.0860000000000101E-2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11"/>
      <c r="H15" s="10"/>
      <c r="I15" s="10">
        <f t="shared" si="5"/>
        <v>437</v>
      </c>
      <c r="J15" s="10">
        <f t="shared" si="3"/>
        <v>7715025423.9766731</v>
      </c>
      <c r="K15" s="11">
        <f t="shared" si="4"/>
        <v>2.1050000000000235E-2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11"/>
      <c r="H16" s="10"/>
      <c r="I16" s="10">
        <f t="shared" si="5"/>
        <v>437</v>
      </c>
      <c r="J16" s="10">
        <f t="shared" si="3"/>
        <v>7555972208.9776917</v>
      </c>
      <c r="K16" s="11">
        <f t="shared" si="4"/>
        <v>2.1030000000000104E-2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11"/>
      <c r="H17" s="10"/>
      <c r="I17" s="10">
        <f t="shared" si="5"/>
        <v>437</v>
      </c>
      <c r="J17" s="10">
        <f t="shared" si="3"/>
        <v>7400342995.7765102</v>
      </c>
      <c r="K17" s="11">
        <f t="shared" si="4"/>
        <v>2.1460000000000035E-2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11"/>
      <c r="H18" s="10"/>
      <c r="I18" s="10">
        <f t="shared" si="5"/>
        <v>437</v>
      </c>
      <c r="J18" s="10">
        <f t="shared" si="3"/>
        <v>7244868125.7969084</v>
      </c>
      <c r="K18" s="11">
        <f t="shared" si="4"/>
        <v>2.1770000000000067E-2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11"/>
      <c r="H19" s="10"/>
      <c r="I19" s="10">
        <f t="shared" si="5"/>
        <v>437</v>
      </c>
      <c r="J19" s="10">
        <f t="shared" si="3"/>
        <v>7090507771.6089811</v>
      </c>
      <c r="K19" s="11">
        <f t="shared" si="4"/>
        <v>2.2860000000000102E-2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11"/>
      <c r="H20" s="10"/>
      <c r="I20" s="10">
        <f t="shared" si="5"/>
        <v>437</v>
      </c>
      <c r="J20" s="10">
        <f t="shared" si="3"/>
        <v>6932041307.3235636</v>
      </c>
      <c r="K20" s="11">
        <f t="shared" si="4"/>
        <v>2.0820000000000061E-2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11"/>
      <c r="H21" s="10"/>
      <c r="I21" s="10">
        <f t="shared" si="5"/>
        <v>437</v>
      </c>
      <c r="J21" s="10">
        <f t="shared" si="3"/>
        <v>6790659770.8935595</v>
      </c>
      <c r="K21" s="11">
        <f t="shared" si="4"/>
        <v>2.0629999999999926E-2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11"/>
      <c r="H22" s="10"/>
      <c r="I22" s="10">
        <f t="shared" si="5"/>
        <v>437</v>
      </c>
      <c r="J22" s="10">
        <f t="shared" si="3"/>
        <v>6653400126.2882338</v>
      </c>
      <c r="K22" s="11">
        <f t="shared" si="4"/>
        <v>2.083999999999997E-2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11"/>
      <c r="H23" s="10"/>
      <c r="I23" s="10">
        <f t="shared" si="5"/>
        <v>437</v>
      </c>
      <c r="J23" s="10">
        <f t="shared" si="3"/>
        <v>6517573886.4937048</v>
      </c>
      <c r="K23" s="11">
        <f t="shared" si="4"/>
        <v>2.1249999999999991E-2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11"/>
      <c r="H24" s="10"/>
      <c r="I24" s="10">
        <f t="shared" si="5"/>
        <v>437</v>
      </c>
      <c r="J24" s="10">
        <f t="shared" si="3"/>
        <v>6381957293.9962845</v>
      </c>
      <c r="K24" s="11">
        <f t="shared" si="4"/>
        <v>2.1840000000000082E-2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11"/>
      <c r="H25" s="10"/>
      <c r="I25" s="10">
        <f t="shared" si="5"/>
        <v>437</v>
      </c>
      <c r="J25" s="10">
        <f t="shared" si="3"/>
        <v>6245554386.2016401</v>
      </c>
      <c r="K25" s="11">
        <f t="shared" si="4"/>
        <v>2.4340000000000028E-2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11"/>
      <c r="H26" s="10"/>
      <c r="I26" s="10">
        <f t="shared" si="5"/>
        <v>437</v>
      </c>
      <c r="J26" s="10">
        <f t="shared" si="3"/>
        <v>6097149761.0184507</v>
      </c>
      <c r="K26" s="11">
        <f t="shared" si="4"/>
        <v>2.3439999999999905E-2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11"/>
      <c r="H27" s="10"/>
      <c r="I27" s="10">
        <f t="shared" si="5"/>
        <v>437</v>
      </c>
      <c r="J27" s="10">
        <f t="shared" si="3"/>
        <v>5957505824.4923506</v>
      </c>
      <c r="K27" s="11">
        <f t="shared" si="4"/>
        <v>3.1819999999999959E-2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11"/>
      <c r="H28" s="10"/>
      <c r="I28" s="10">
        <f t="shared" si="5"/>
        <v>437</v>
      </c>
      <c r="J28" s="10">
        <f t="shared" si="3"/>
        <v>5773784017.0692091</v>
      </c>
      <c r="K28" s="11">
        <f t="shared" si="4"/>
        <v>2.6700000000000168E-2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11"/>
      <c r="H29" s="10"/>
      <c r="I29" s="10">
        <f t="shared" si="5"/>
        <v>437</v>
      </c>
      <c r="J29" s="10">
        <f t="shared" si="3"/>
        <v>5623633015.5539188</v>
      </c>
      <c r="K29" s="11">
        <f t="shared" si="4"/>
        <v>2.7760000000000007E-2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11"/>
      <c r="H30" s="10"/>
      <c r="I30" s="10">
        <f t="shared" si="5"/>
        <v>437</v>
      </c>
      <c r="J30" s="10">
        <f t="shared" si="3"/>
        <v>5471737580.3241215</v>
      </c>
      <c r="K30" s="11">
        <f t="shared" si="4"/>
        <v>2.784999999999993E-2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11"/>
      <c r="H31" s="10"/>
      <c r="I31" s="10">
        <f t="shared" si="5"/>
        <v>437</v>
      </c>
      <c r="J31" s="10">
        <f t="shared" si="3"/>
        <v>5323478698.5689764</v>
      </c>
      <c r="K31" s="11">
        <f t="shared" si="4"/>
        <v>2.7610000000000134E-2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11"/>
      <c r="H32" s="10"/>
      <c r="I32" s="10">
        <f t="shared" si="5"/>
        <v>437</v>
      </c>
      <c r="J32" s="10">
        <f t="shared" si="3"/>
        <v>5180446568.8042898</v>
      </c>
      <c r="K32" s="11">
        <f t="shared" si="4"/>
        <v>2.9590000000000005E-2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11"/>
      <c r="H33" s="10"/>
      <c r="I33" s="10">
        <f t="shared" si="5"/>
        <v>437</v>
      </c>
      <c r="J33" s="10">
        <f t="shared" si="3"/>
        <v>5031562630.5658464</v>
      </c>
      <c r="K33" s="11">
        <f t="shared" si="4"/>
        <v>2.99400000000003E-2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11"/>
      <c r="H34" s="10"/>
      <c r="I34" s="10">
        <f t="shared" si="5"/>
        <v>437</v>
      </c>
      <c r="J34" s="10">
        <f t="shared" ref="J34:J65" si="6">IF(I34="","",I34*C34)</f>
        <v>4885296843.0839128</v>
      </c>
      <c r="K34" s="11">
        <f t="shared" ref="K34:K65" si="7">IFERROR(J34/J35-1,"")</f>
        <v>3.0299999999999994E-2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11"/>
      <c r="H35" s="10"/>
      <c r="I35" s="10">
        <f t="shared" ref="I35:I66" si="8">IF(H35&lt;&gt;"",H35,I34/(1+IF(G34="",0,G34)))</f>
        <v>437</v>
      </c>
      <c r="J35" s="10">
        <f t="shared" si="6"/>
        <v>4741625587.7743502</v>
      </c>
      <c r="K35" s="11">
        <f t="shared" si="7"/>
        <v>2.8229999999999977E-2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11"/>
      <c r="H36" s="10"/>
      <c r="I36" s="10">
        <f t="shared" si="8"/>
        <v>437</v>
      </c>
      <c r="J36" s="10">
        <f t="shared" si="6"/>
        <v>4611444509.2774477</v>
      </c>
      <c r="K36" s="11">
        <f t="shared" si="7"/>
        <v>2.6819999999999844E-2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11"/>
      <c r="H37" s="10"/>
      <c r="I37" s="10">
        <f t="shared" si="8"/>
        <v>437</v>
      </c>
      <c r="J37" s="10">
        <f t="shared" si="6"/>
        <v>4490995996.6473656</v>
      </c>
      <c r="K37" s="11">
        <f t="shared" si="7"/>
        <v>2.6909999999999989E-2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11"/>
      <c r="H38" s="10"/>
      <c r="I38" s="10">
        <f t="shared" si="8"/>
        <v>437</v>
      </c>
      <c r="J38" s="10">
        <f t="shared" si="6"/>
        <v>4373310218.6631403</v>
      </c>
      <c r="K38" s="11">
        <f t="shared" si="7"/>
        <v>2.5239999999999929E-2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11"/>
      <c r="H39" s="10"/>
      <c r="I39" s="10">
        <f t="shared" si="8"/>
        <v>437</v>
      </c>
      <c r="J39" s="10">
        <f t="shared" si="6"/>
        <v>4265645330.5207953</v>
      </c>
      <c r="K39" s="11">
        <f t="shared" si="7"/>
        <v>2.475000000000005E-2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11"/>
      <c r="H40" s="10"/>
      <c r="I40" s="10">
        <f t="shared" si="8"/>
        <v>437</v>
      </c>
      <c r="J40" s="10">
        <f t="shared" si="6"/>
        <v>4162620473.794384</v>
      </c>
      <c r="K40" s="11">
        <f t="shared" si="7"/>
        <v>2.4340000000000028E-2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11"/>
      <c r="H41" s="10"/>
      <c r="I41" s="10">
        <f t="shared" si="8"/>
        <v>437</v>
      </c>
      <c r="J41" s="10">
        <f t="shared" si="6"/>
        <v>4063709777.8026667</v>
      </c>
      <c r="K41" s="11">
        <f t="shared" si="7"/>
        <v>2.2990000000000066E-2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11"/>
      <c r="H42" s="10"/>
      <c r="I42" s="10">
        <f t="shared" si="8"/>
        <v>437</v>
      </c>
      <c r="J42" s="10">
        <f t="shared" si="6"/>
        <v>3972384654.5935602</v>
      </c>
      <c r="K42" s="11">
        <f t="shared" si="7"/>
        <v>2.3810000000000109E-2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11"/>
      <c r="H43" s="10"/>
      <c r="I43" s="10">
        <f t="shared" si="8"/>
        <v>437</v>
      </c>
      <c r="J43" s="10">
        <f t="shared" si="6"/>
        <v>3880001811.4626346</v>
      </c>
      <c r="K43" s="11">
        <f t="shared" si="7"/>
        <v>2.3330000000000073E-2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11"/>
      <c r="H44" s="10"/>
      <c r="I44" s="10">
        <f t="shared" si="8"/>
        <v>437</v>
      </c>
      <c r="J44" s="10">
        <f t="shared" si="6"/>
        <v>3791545065.0939918</v>
      </c>
      <c r="K44" s="11">
        <f t="shared" si="7"/>
        <v>2.2890000000000077E-2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11"/>
      <c r="H45" s="10"/>
      <c r="I45" s="10">
        <f t="shared" si="8"/>
        <v>437</v>
      </c>
      <c r="J45" s="10">
        <f t="shared" si="6"/>
        <v>3706698731.138237</v>
      </c>
      <c r="K45" s="11">
        <f t="shared" si="7"/>
        <v>2.3109999999999742E-2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11"/>
      <c r="H46" s="10"/>
      <c r="I46" s="10">
        <f t="shared" si="8"/>
        <v>437</v>
      </c>
      <c r="J46" s="10">
        <f t="shared" si="6"/>
        <v>3622971851.6466827</v>
      </c>
      <c r="K46" s="11">
        <f t="shared" si="7"/>
        <v>2.2909999999999986E-2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11"/>
      <c r="H47" s="10"/>
      <c r="I47" s="10">
        <f t="shared" si="8"/>
        <v>437</v>
      </c>
      <c r="J47" s="10">
        <f t="shared" si="6"/>
        <v>3541828559.3519301</v>
      </c>
      <c r="K47" s="11">
        <f t="shared" si="7"/>
        <v>2.3309999999999942E-2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11"/>
      <c r="H48" s="10"/>
      <c r="I48" s="10">
        <f t="shared" si="8"/>
        <v>437</v>
      </c>
      <c r="J48" s="10">
        <f t="shared" si="6"/>
        <v>3461149172.1491342</v>
      </c>
      <c r="K48" s="11">
        <f t="shared" si="7"/>
        <v>2.4189999999999934E-2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11"/>
      <c r="H49" s="10"/>
      <c r="I49" s="10">
        <f t="shared" si="8"/>
        <v>437</v>
      </c>
      <c r="J49" s="10">
        <f t="shared" si="6"/>
        <v>3379401451.0482764</v>
      </c>
      <c r="K49" s="11">
        <f t="shared" si="7"/>
        <v>2.4510000000000032E-2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11"/>
      <c r="H50" s="10"/>
      <c r="I50" s="10">
        <f t="shared" si="8"/>
        <v>437</v>
      </c>
      <c r="J50" s="10">
        <f t="shared" si="6"/>
        <v>3298553895.0798688</v>
      </c>
      <c r="K50" s="11">
        <f t="shared" si="7"/>
        <v>2.4699999999999944E-2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11"/>
      <c r="H51" s="10"/>
      <c r="I51" s="10">
        <f t="shared" si="8"/>
        <v>437</v>
      </c>
      <c r="J51" s="10">
        <f t="shared" si="6"/>
        <v>3219043520.1325941</v>
      </c>
      <c r="K51" s="11">
        <f t="shared" si="7"/>
        <v>2.4980000000000002E-2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11"/>
      <c r="H52" s="10"/>
      <c r="I52" s="10">
        <f t="shared" si="8"/>
        <v>437</v>
      </c>
      <c r="J52" s="10">
        <f t="shared" si="6"/>
        <v>3140591543.3789868</v>
      </c>
      <c r="K52" s="11">
        <f t="shared" si="7"/>
        <v>2.5150000000000006E-2</v>
      </c>
      <c r="L52" t="inlineStr">
        <is>
          <t xml:space="preserve">Arten Fiscal Crisis - trade &amp; financial fallout across the region.</t>
        </is>
      </c>
      <c r="M52" t="inlineStr">
        <is>
          <t xml:space="preserve">Arten Fiscal Crisis (1713-15): capital flight and imperial-debt default triggered by the Arten Revolution and the 1715 Declaration of Rights.</t>
        </is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11"/>
      <c r="H53" s="10"/>
      <c r="I53" s="10">
        <f t="shared" si="8"/>
        <v>437</v>
      </c>
      <c r="J53" s="10">
        <f t="shared" si="6"/>
        <v>3063543426.2098103</v>
      </c>
      <c r="K53" s="11">
        <f t="shared" si="7"/>
        <v>2.5800000000000267E-2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11"/>
      <c r="H54" s="10"/>
      <c r="I54" s="10">
        <f t="shared" si="8"/>
        <v>437</v>
      </c>
      <c r="J54" s="10">
        <f t="shared" si="6"/>
        <v>2986491934.3047471</v>
      </c>
      <c r="K54" s="11">
        <f t="shared" si="7"/>
        <v>2.625999999999995E-2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11"/>
      <c r="H55" s="10"/>
      <c r="I55" s="10">
        <f t="shared" si="8"/>
        <v>437</v>
      </c>
      <c r="J55" s="10">
        <f t="shared" si="6"/>
        <v>2910073406.6462178</v>
      </c>
      <c r="K55" s="11">
        <f t="shared" si="7"/>
        <v>2.6319999999999899E-2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11"/>
      <c r="H56" s="10"/>
      <c r="I56" s="10">
        <f t="shared" si="8"/>
        <v>437</v>
      </c>
      <c r="J56" s="10">
        <f t="shared" si="6"/>
        <v>2835444507.2162857</v>
      </c>
      <c r="K56" s="11">
        <f t="shared" si="7"/>
        <v>2.6319999999999899E-2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11"/>
      <c r="H57" s="10"/>
      <c r="I57" s="10">
        <f t="shared" si="8"/>
        <v>437</v>
      </c>
      <c r="J57" s="10">
        <f t="shared" si="6"/>
        <v>2762729467.6283088</v>
      </c>
      <c r="K57" s="11">
        <f t="shared" si="7"/>
        <v>2.5369999999999893E-2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11"/>
      <c r="H58" s="10"/>
      <c r="I58" s="10">
        <f t="shared" si="8"/>
        <v>437</v>
      </c>
      <c r="J58" s="10">
        <f t="shared" si="6"/>
        <v>2694373219.0607381</v>
      </c>
      <c r="K58" s="11">
        <f t="shared" si="7"/>
        <v>2.5039999999999951E-2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11"/>
      <c r="H59" s="10"/>
      <c r="I59" s="10">
        <f t="shared" si="8"/>
        <v>437</v>
      </c>
      <c r="J59" s="10">
        <f t="shared" si="6"/>
        <v>2628554221.3579354</v>
      </c>
      <c r="K59" s="11">
        <f t="shared" si="7"/>
        <v>2.3290000000000033E-2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11"/>
      <c r="H60" s="10"/>
      <c r="I60" s="10">
        <f t="shared" si="8"/>
        <v>437</v>
      </c>
      <c r="J60" s="10">
        <f t="shared" si="6"/>
        <v>2568728533.805603</v>
      </c>
      <c r="K60" s="11">
        <f t="shared" si="7"/>
        <v>2.462999999999993E-2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11"/>
      <c r="H61" s="10"/>
      <c r="I61" s="10">
        <f t="shared" si="8"/>
        <v>437</v>
      </c>
      <c r="J61" s="10">
        <f t="shared" si="6"/>
        <v>2506981577.5505333</v>
      </c>
      <c r="K61" s="11">
        <f t="shared" si="7"/>
        <v>2.4550000000000072E-2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11"/>
      <c r="H62" s="10"/>
      <c r="I62" s="10">
        <f t="shared" si="8"/>
        <v>437</v>
      </c>
      <c r="J62" s="10">
        <f t="shared" si="6"/>
        <v>2446909938.5589118</v>
      </c>
      <c r="K62" s="11">
        <f t="shared" si="7"/>
        <v>2.4610000000000021E-2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11"/>
      <c r="H63" s="10"/>
      <c r="I63" s="10">
        <f t="shared" si="8"/>
        <v>437</v>
      </c>
      <c r="J63" s="10">
        <f t="shared" si="6"/>
        <v>2388137865.6844182</v>
      </c>
      <c r="K63" s="11">
        <f t="shared" si="7"/>
        <v>2.4969999999999937E-2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11"/>
      <c r="H64" s="10"/>
      <c r="I64" s="10">
        <f t="shared" si="8"/>
        <v>437</v>
      </c>
      <c r="J64" s="10">
        <f t="shared" si="6"/>
        <v>2329958794.5836644</v>
      </c>
      <c r="K64" s="11">
        <f t="shared" si="7"/>
        <v>2.4610000000000021E-2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11"/>
      <c r="H65" s="10"/>
      <c r="I65" s="10">
        <f t="shared" si="8"/>
        <v>437</v>
      </c>
      <c r="J65" s="10">
        <f t="shared" si="6"/>
        <v>2273995758.9557629</v>
      </c>
      <c r="K65" s="11">
        <f t="shared" si="7"/>
        <v>2.3579999999999934E-2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6">
        <f>SUM(F2)</f>
        <v>22993720</v>
      </c>
      <c r="G66" s="11"/>
      <c r="H66" s="10"/>
      <c r="I66" s="10">
        <f t="shared" si="8"/>
        <v>437</v>
      </c>
      <c r="J66" s="10">
        <f t="shared" ref="J66:J97" si="9">IF(I66="","",I66*C66)</f>
        <v>2221610190.6600003</v>
      </c>
      <c r="K66" s="11">
        <f t="shared" ref="K66:K97" si="10">IFERROR(J66/J67-1,"")</f>
        <v>2.2070000000000256E-2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11"/>
      <c r="H67" s="10"/>
      <c r="I67" s="10">
        <f t="shared" ref="I67:I98" si="11">IF(H67&lt;&gt;"",H67,I66/(1+IF(G66="",0,G66)))</f>
        <v>437</v>
      </c>
      <c r="J67" s="10">
        <f t="shared" si="9"/>
        <v>2173638000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5">
        <v>12584520</v>
      </c>
      <c r="G2" s="11"/>
      <c r="H2" s="10"/>
      <c r="I2" s="10">
        <f>IF(H2&lt;&gt;"",H2,2905)</f>
        <v>2905</v>
      </c>
      <c r="J2" s="10">
        <f t="shared" ref="J2:J33" si="3">IF(I2="","",I2*C2)</f>
        <v>36558239107.65332</v>
      </c>
      <c r="K2" s="11">
        <f t="shared" ref="K2:K33" si="4">IFERROR(J2/J3-1,"")</f>
        <v>1.2159999999999949E-2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11"/>
      <c r="H3" s="10"/>
      <c r="I3" s="10">
        <f t="shared" ref="I3:I34" si="5">IF(H3&lt;&gt;"",H3,I2/(1+IF(G2="",0,G2)))</f>
        <v>2905</v>
      </c>
      <c r="J3" s="10">
        <f t="shared" si="3"/>
        <v>36119031682.395393</v>
      </c>
      <c r="K3" s="11">
        <f t="shared" si="4"/>
        <v>1.2960000000000305E-2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11"/>
      <c r="H4" s="10"/>
      <c r="I4" s="10">
        <f t="shared" si="5"/>
        <v>2905</v>
      </c>
      <c r="J4" s="10">
        <f t="shared" si="3"/>
        <v>35656918024.794052</v>
      </c>
      <c r="K4" s="11">
        <f t="shared" si="4"/>
        <v>1.3540000000000108E-2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11"/>
      <c r="H5" s="10"/>
      <c r="I5" s="10">
        <f t="shared" si="5"/>
        <v>2905</v>
      </c>
      <c r="J5" s="10">
        <f t="shared" si="3"/>
        <v>35180573065.48735</v>
      </c>
      <c r="K5" s="11">
        <f t="shared" si="4"/>
        <v>1.3630000000000031E-2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11"/>
      <c r="H6" s="10"/>
      <c r="I6" s="10">
        <f t="shared" si="5"/>
        <v>2905</v>
      </c>
      <c r="J6" s="10">
        <f t="shared" si="3"/>
        <v>34707509708.165062</v>
      </c>
      <c r="K6" s="11">
        <f t="shared" si="4"/>
        <v>1.2130000000000196E-2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11"/>
      <c r="H7" s="10"/>
      <c r="I7" s="10">
        <f t="shared" si="5"/>
        <v>2905</v>
      </c>
      <c r="J7" s="10">
        <f t="shared" si="3"/>
        <v>34291553168.234375</v>
      </c>
      <c r="K7" s="11">
        <f t="shared" si="4"/>
        <v>1.1630000000000029E-2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11"/>
      <c r="H8" s="10"/>
      <c r="I8" s="10">
        <f t="shared" si="5"/>
        <v>2905</v>
      </c>
      <c r="J8" s="10">
        <f t="shared" si="3"/>
        <v>33897327252.290241</v>
      </c>
      <c r="K8" s="11">
        <f t="shared" si="4"/>
        <v>1.0469999999999979E-2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11"/>
      <c r="H9" s="10"/>
      <c r="I9" s="10">
        <f t="shared" si="5"/>
        <v>2905</v>
      </c>
      <c r="J9" s="10">
        <f t="shared" si="3"/>
        <v>33546099589.587261</v>
      </c>
      <c r="K9" s="11">
        <f t="shared" si="4"/>
        <v>1.2599999999999945E-2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11"/>
      <c r="H10" s="10"/>
      <c r="I10" s="10">
        <f t="shared" si="5"/>
        <v>2905</v>
      </c>
      <c r="J10" s="10">
        <f t="shared" si="3"/>
        <v>33128678243.716438</v>
      </c>
      <c r="K10" s="11">
        <f t="shared" si="4"/>
        <v>1.3130000000000086E-2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11"/>
      <c r="H11" s="10"/>
      <c r="I11" s="10">
        <f t="shared" si="5"/>
        <v>2905</v>
      </c>
      <c r="J11" s="10">
        <f t="shared" si="3"/>
        <v>32699335962.528435</v>
      </c>
      <c r="K11" s="11">
        <f t="shared" si="4"/>
        <v>1.3540000000000108E-2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11"/>
      <c r="H12" s="10"/>
      <c r="I12" s="10">
        <f t="shared" si="5"/>
        <v>2905</v>
      </c>
      <c r="J12" s="10">
        <f t="shared" si="3"/>
        <v>32262501689.650562</v>
      </c>
      <c r="K12" s="11">
        <f t="shared" si="4"/>
        <v>1.2829999999999897E-2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11"/>
      <c r="H13" s="10"/>
      <c r="I13" s="10">
        <f t="shared" si="5"/>
        <v>2905</v>
      </c>
      <c r="J13" s="10">
        <f t="shared" si="3"/>
        <v>31853817214.784874</v>
      </c>
      <c r="K13" s="11">
        <f t="shared" si="4"/>
        <v>1.2299999999999978E-2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11"/>
      <c r="H14" s="10"/>
      <c r="I14" s="10">
        <f t="shared" si="5"/>
        <v>2905</v>
      </c>
      <c r="J14" s="10">
        <f t="shared" si="3"/>
        <v>31466775871.564632</v>
      </c>
      <c r="K14" s="11">
        <f t="shared" si="4"/>
        <v>8.840000000000181E-3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11"/>
      <c r="H15" s="10"/>
      <c r="I15" s="10">
        <f t="shared" si="5"/>
        <v>2905</v>
      </c>
      <c r="J15" s="10">
        <f t="shared" si="3"/>
        <v>31191047015.943687</v>
      </c>
      <c r="K15" s="11">
        <f t="shared" si="4"/>
        <v>8.9500000000000135E-3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11"/>
      <c r="H16" s="10"/>
      <c r="I16" s="10">
        <f t="shared" si="5"/>
        <v>2905</v>
      </c>
      <c r="J16" s="10">
        <f t="shared" si="3"/>
        <v>30914363462.950283</v>
      </c>
      <c r="K16" s="11">
        <f t="shared" si="4"/>
        <v>8.9900000000000535E-3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11"/>
      <c r="H17" s="10"/>
      <c r="I17" s="10">
        <f t="shared" si="5"/>
        <v>2905</v>
      </c>
      <c r="J17" s="10">
        <f t="shared" si="3"/>
        <v>30638919575.962379</v>
      </c>
      <c r="K17" s="11">
        <f t="shared" si="4"/>
        <v>9.7599999999999909E-3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11"/>
      <c r="H18" s="10"/>
      <c r="I18" s="10">
        <f t="shared" si="5"/>
        <v>2905</v>
      </c>
      <c r="J18" s="10">
        <f t="shared" si="3"/>
        <v>30342774100.739162</v>
      </c>
      <c r="K18" s="11">
        <f t="shared" si="4"/>
        <v>8.499999999999952E-3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11"/>
      <c r="H19" s="10"/>
      <c r="I19" s="10">
        <f t="shared" si="5"/>
        <v>2905</v>
      </c>
      <c r="J19" s="10">
        <f t="shared" si="3"/>
        <v>30087034309.111713</v>
      </c>
      <c r="K19" s="11">
        <f t="shared" si="4"/>
        <v>1.0029999999999983E-2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11"/>
      <c r="H20" s="10"/>
      <c r="I20" s="10">
        <f t="shared" si="5"/>
        <v>2905</v>
      </c>
      <c r="J20" s="10">
        <f t="shared" si="3"/>
        <v>29788258080.563663</v>
      </c>
      <c r="K20" s="11">
        <f t="shared" si="4"/>
        <v>1.2440000000000007E-2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11"/>
      <c r="H21" s="10"/>
      <c r="I21" s="10">
        <f t="shared" si="5"/>
        <v>2905</v>
      </c>
      <c r="J21" s="10">
        <f t="shared" si="3"/>
        <v>29422245348.429203</v>
      </c>
      <c r="K21" s="11">
        <f t="shared" si="4"/>
        <v>1.4270000000000005E-2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11"/>
      <c r="H22" s="10"/>
      <c r="I22" s="10">
        <f t="shared" si="5"/>
        <v>2905</v>
      </c>
      <c r="J22" s="10">
        <f t="shared" si="3"/>
        <v>29008296950.939301</v>
      </c>
      <c r="K22" s="11">
        <f t="shared" si="4"/>
        <v>1.4459999999999917E-2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11"/>
      <c r="H23" s="10"/>
      <c r="I23" s="10">
        <f t="shared" si="5"/>
        <v>2905</v>
      </c>
      <c r="J23" s="10">
        <f t="shared" si="3"/>
        <v>28594815912.839642</v>
      </c>
      <c r="K23" s="11">
        <f t="shared" si="4"/>
        <v>1.4350000000000085E-2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11"/>
      <c r="H24" s="10"/>
      <c r="I24" s="10">
        <f t="shared" si="5"/>
        <v>2905</v>
      </c>
      <c r="J24" s="10">
        <f t="shared" si="3"/>
        <v>28190285318.518894</v>
      </c>
      <c r="K24" s="11">
        <f t="shared" si="4"/>
        <v>1.3379999999999947E-2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11"/>
      <c r="H25" s="10"/>
      <c r="I25" s="10">
        <f t="shared" si="5"/>
        <v>2905</v>
      </c>
      <c r="J25" s="10">
        <f t="shared" si="3"/>
        <v>27818079415.933704</v>
      </c>
      <c r="K25" s="11">
        <f t="shared" si="4"/>
        <v>1.2999999999999901E-2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11"/>
      <c r="H26" s="10"/>
      <c r="I26" s="10">
        <f t="shared" si="5"/>
        <v>2905</v>
      </c>
      <c r="J26" s="10">
        <f t="shared" si="3"/>
        <v>27461085306.943443</v>
      </c>
      <c r="K26" s="11">
        <f t="shared" si="4"/>
        <v>1.1849999999999916E-2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11"/>
      <c r="H27" s="10"/>
      <c r="I27" s="10">
        <f t="shared" si="5"/>
        <v>2905</v>
      </c>
      <c r="J27" s="10">
        <f t="shared" si="3"/>
        <v>27139482440.029102</v>
      </c>
      <c r="K27" s="11">
        <f t="shared" si="4"/>
        <v>1.1030000000000317E-2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11"/>
      <c r="H28" s="10"/>
      <c r="I28" s="10">
        <f t="shared" si="5"/>
        <v>2905</v>
      </c>
      <c r="J28" s="10">
        <f t="shared" si="3"/>
        <v>26843399740.887112</v>
      </c>
      <c r="K28" s="11">
        <f t="shared" si="4"/>
        <v>6.5899999999998737E-3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11"/>
      <c r="H29" s="10"/>
      <c r="I29" s="10">
        <f t="shared" si="5"/>
        <v>2905</v>
      </c>
      <c r="J29" s="10">
        <f t="shared" si="3"/>
        <v>26667659862.393936</v>
      </c>
      <c r="K29" s="11">
        <f t="shared" si="4"/>
        <v>1.7670000000000075E-2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11"/>
      <c r="H30" s="10"/>
      <c r="I30" s="10">
        <f t="shared" si="5"/>
        <v>2905</v>
      </c>
      <c r="J30" s="10">
        <f t="shared" si="3"/>
        <v>26204624153.599827</v>
      </c>
      <c r="K30" s="11">
        <f t="shared" si="4"/>
        <v>1.1799999999999811E-2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11"/>
      <c r="H31" s="10"/>
      <c r="I31" s="10">
        <f t="shared" si="5"/>
        <v>2905</v>
      </c>
      <c r="J31" s="10">
        <f t="shared" si="3"/>
        <v>25899015767.542824</v>
      </c>
      <c r="K31" s="11">
        <f t="shared" si="4"/>
        <v>1.3100000000000112E-2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11"/>
      <c r="H32" s="10"/>
      <c r="I32" s="10">
        <f t="shared" si="5"/>
        <v>2905</v>
      </c>
      <c r="J32" s="10">
        <f t="shared" si="3"/>
        <v>25564125720.602921</v>
      </c>
      <c r="K32" s="11">
        <f t="shared" si="4"/>
        <v>1.364999999999994E-2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11"/>
      <c r="H33" s="10"/>
      <c r="I33" s="10">
        <f t="shared" si="5"/>
        <v>2905</v>
      </c>
      <c r="J33" s="10">
        <f t="shared" si="3"/>
        <v>25219874434.571026</v>
      </c>
      <c r="K33" s="11">
        <f t="shared" si="4"/>
        <v>1.4059999999999961E-2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11"/>
      <c r="H34" s="10"/>
      <c r="I34" s="10">
        <f t="shared" si="5"/>
        <v>2905</v>
      </c>
      <c r="J34" s="10">
        <f t="shared" ref="J34:J65" si="6">IF(I34="","",I34*C34)</f>
        <v>24870199430.577114</v>
      </c>
      <c r="K34" s="11">
        <f t="shared" ref="K34:K65" si="7">IFERROR(J34/J35-1,"")</f>
        <v>1.7209999999999948E-2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11"/>
      <c r="H35" s="10"/>
      <c r="I35" s="10">
        <f t="shared" ref="I35:I66" si="8">IF(H35&lt;&gt;"",H35,I34/(1+IF(G34="",0,G34)))</f>
        <v>2905</v>
      </c>
      <c r="J35" s="10">
        <f t="shared" si="6"/>
        <v>24449424829.265457</v>
      </c>
      <c r="K35" s="11">
        <f t="shared" si="7"/>
        <v>1.6659999999999897E-2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11"/>
      <c r="H36" s="10"/>
      <c r="I36" s="10">
        <f t="shared" si="8"/>
        <v>2905</v>
      </c>
      <c r="J36" s="10">
        <f t="shared" si="6"/>
        <v>24048772283.030174</v>
      </c>
      <c r="K36" s="11">
        <f t="shared" si="7"/>
        <v>1.6209999999999836E-2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11"/>
      <c r="H37" s="10"/>
      <c r="I37" s="10">
        <f t="shared" si="8"/>
        <v>2905</v>
      </c>
      <c r="J37" s="10">
        <f t="shared" si="6"/>
        <v>23665160038.801208</v>
      </c>
      <c r="K37" s="11">
        <f t="shared" si="7"/>
        <v>1.5640000000000098E-2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11"/>
      <c r="H38" s="10"/>
      <c r="I38" s="10">
        <f t="shared" si="8"/>
        <v>2905</v>
      </c>
      <c r="J38" s="10">
        <f t="shared" si="6"/>
        <v>23300736519.634129</v>
      </c>
      <c r="K38" s="11">
        <f t="shared" si="7"/>
        <v>1.5660000000000007E-2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11"/>
      <c r="H39" s="10"/>
      <c r="I39" s="10">
        <f t="shared" si="8"/>
        <v>2905</v>
      </c>
      <c r="J39" s="10">
        <f t="shared" si="6"/>
        <v>22941473051.645363</v>
      </c>
      <c r="K39" s="11">
        <f t="shared" si="7"/>
        <v>2.0950000000000024E-2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11"/>
      <c r="H40" s="10"/>
      <c r="I40" s="10">
        <f t="shared" si="8"/>
        <v>2905</v>
      </c>
      <c r="J40" s="10">
        <f t="shared" si="6"/>
        <v>22470711642.730164</v>
      </c>
      <c r="K40" s="11">
        <f t="shared" si="7"/>
        <v>2.4860000000000104E-2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11"/>
      <c r="H41" s="10"/>
      <c r="I41" s="10">
        <f t="shared" si="8"/>
        <v>2905</v>
      </c>
      <c r="J41" s="10">
        <f t="shared" si="6"/>
        <v>21925640226.694534</v>
      </c>
      <c r="K41" s="11">
        <f t="shared" si="7"/>
        <v>2.513999999999994E-2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11"/>
      <c r="H42" s="10"/>
      <c r="I42" s="10">
        <f t="shared" si="8"/>
        <v>2905</v>
      </c>
      <c r="J42" s="10">
        <f t="shared" si="6"/>
        <v>21387947233.250614</v>
      </c>
      <c r="K42" s="11">
        <f t="shared" si="7"/>
        <v>1.7290000000000028E-2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11"/>
      <c r="H43" s="10"/>
      <c r="I43" s="10">
        <f t="shared" si="8"/>
        <v>2905</v>
      </c>
      <c r="J43" s="10">
        <f t="shared" si="6"/>
        <v>21024434756.313946</v>
      </c>
      <c r="K43" s="11">
        <f t="shared" si="7"/>
        <v>1.7239999999999922E-2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11"/>
      <c r="H44" s="10"/>
      <c r="I44" s="10">
        <f t="shared" si="8"/>
        <v>2905</v>
      </c>
      <c r="J44" s="10">
        <f t="shared" si="6"/>
        <v>20668116429.076668</v>
      </c>
      <c r="K44" s="11">
        <f t="shared" si="7"/>
        <v>1.7379999999999951E-2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11"/>
      <c r="H45" s="10"/>
      <c r="I45" s="10">
        <f t="shared" si="8"/>
        <v>2905</v>
      </c>
      <c r="J45" s="10">
        <f t="shared" si="6"/>
        <v>20315041016.214855</v>
      </c>
      <c r="K45" s="11">
        <f t="shared" si="7"/>
        <v>1.7879999999999896E-2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11"/>
      <c r="H46" s="10"/>
      <c r="I46" s="10">
        <f t="shared" si="8"/>
        <v>2905</v>
      </c>
      <c r="J46" s="10">
        <f t="shared" si="6"/>
        <v>19958188603.975769</v>
      </c>
      <c r="K46" s="11">
        <f t="shared" si="7"/>
        <v>1.8660000000000121E-2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11"/>
      <c r="H47" s="10"/>
      <c r="I47" s="10">
        <f t="shared" si="8"/>
        <v>2905</v>
      </c>
      <c r="J47" s="10">
        <f t="shared" si="6"/>
        <v>19592590858.55513</v>
      </c>
      <c r="K47" s="11">
        <f t="shared" si="7"/>
        <v>1.9439999999999902E-2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11"/>
      <c r="H48" s="10"/>
      <c r="I48" s="10">
        <f t="shared" si="8"/>
        <v>2905</v>
      </c>
      <c r="J48" s="10">
        <f t="shared" si="6"/>
        <v>19218974003.918949</v>
      </c>
      <c r="K48" s="11">
        <f t="shared" si="7"/>
        <v>2.0340000000000247E-2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11"/>
      <c r="H49" s="10"/>
      <c r="I49" s="10">
        <f t="shared" si="8"/>
        <v>2905</v>
      </c>
      <c r="J49" s="10">
        <f t="shared" si="6"/>
        <v>18835852758.804855</v>
      </c>
      <c r="K49" s="11">
        <f t="shared" si="7"/>
        <v>2.1549999999999958E-2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11"/>
      <c r="H50" s="10"/>
      <c r="I50" s="10">
        <f t="shared" si="8"/>
        <v>2905</v>
      </c>
      <c r="J50" s="10">
        <f t="shared" si="6"/>
        <v>18438503018.750778</v>
      </c>
      <c r="K50" s="11">
        <f t="shared" si="7"/>
        <v>2.2829999999999906E-2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11"/>
      <c r="H51" s="10"/>
      <c r="I51" s="10">
        <f t="shared" si="8"/>
        <v>2905</v>
      </c>
      <c r="J51" s="10">
        <f t="shared" si="6"/>
        <v>18026947800.466137</v>
      </c>
      <c r="K51" s="11">
        <f t="shared" si="7"/>
        <v>2.5189999999999824E-2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11"/>
      <c r="H52" s="10"/>
      <c r="I52" s="10">
        <f t="shared" si="8"/>
        <v>2905</v>
      </c>
      <c r="J52" s="10">
        <f t="shared" si="6"/>
        <v>17584006672.388668</v>
      </c>
      <c r="K52" s="11">
        <f t="shared" si="7"/>
        <v>2.6669999999999972E-2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11"/>
      <c r="H53" s="10"/>
      <c r="I53" s="10">
        <f t="shared" si="8"/>
        <v>2905</v>
      </c>
      <c r="J53" s="10">
        <f t="shared" si="6"/>
        <v>17127223618.483709</v>
      </c>
      <c r="K53" s="11">
        <f t="shared" si="7"/>
        <v>2.8829999999999911E-2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11"/>
      <c r="H54" s="10"/>
      <c r="I54" s="10">
        <f t="shared" si="8"/>
        <v>2905</v>
      </c>
      <c r="J54" s="10">
        <f t="shared" si="6"/>
        <v>16647282465.017263</v>
      </c>
      <c r="K54" s="11">
        <f t="shared" si="7"/>
        <v>3.0510000000000037E-2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11"/>
      <c r="H55" s="10"/>
      <c r="I55" s="10">
        <f t="shared" si="8"/>
        <v>2905</v>
      </c>
      <c r="J55" s="10">
        <f t="shared" si="6"/>
        <v>16154411373.996626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11"/>
      <c r="H56" s="10"/>
      <c r="I56" s="10">
        <f t="shared" si="8"/>
        <v>2905</v>
      </c>
      <c r="J56" s="10">
        <f t="shared" si="6"/>
        <v>15667010671.990986</v>
      </c>
      <c r="K56" s="11">
        <f t="shared" si="7"/>
        <v>3.1390000000000029E-2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11"/>
      <c r="H57" s="10"/>
      <c r="I57" s="10">
        <f t="shared" si="8"/>
        <v>2905</v>
      </c>
      <c r="J57" s="10">
        <f t="shared" si="6"/>
        <v>15190190589.390032</v>
      </c>
      <c r="K57" s="11">
        <f t="shared" si="7"/>
        <v>3.1029999999999891E-2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11"/>
      <c r="H58" s="10"/>
      <c r="I58" s="10">
        <f t="shared" si="8"/>
        <v>2905</v>
      </c>
      <c r="J58" s="10">
        <f t="shared" si="6"/>
        <v>14733024828.947784</v>
      </c>
      <c r="K58" s="11">
        <f t="shared" si="7"/>
        <v>3.0080000000000107E-2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11"/>
      <c r="H59" s="10"/>
      <c r="I59" s="10">
        <f t="shared" si="8"/>
        <v>2905</v>
      </c>
      <c r="J59" s="10">
        <f t="shared" si="6"/>
        <v>14302796704.088791</v>
      </c>
      <c r="K59" s="11">
        <f t="shared" si="7"/>
        <v>2.8810000000000002E-2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11"/>
      <c r="H60" s="10"/>
      <c r="I60" s="10">
        <f t="shared" si="8"/>
        <v>2905</v>
      </c>
      <c r="J60" s="10">
        <f t="shared" si="6"/>
        <v>13902272240.830465</v>
      </c>
      <c r="K60" s="11">
        <f t="shared" si="7"/>
        <v>2.7309999999999945E-2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11"/>
      <c r="H61" s="10"/>
      <c r="I61" s="10">
        <f t="shared" si="8"/>
        <v>2905</v>
      </c>
      <c r="J61" s="10">
        <f t="shared" si="6"/>
        <v>13532694357.915785</v>
      </c>
      <c r="K61" s="11">
        <f t="shared" si="7"/>
        <v>2.5729999999999809E-2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11"/>
      <c r="H62" s="10"/>
      <c r="I62" s="10">
        <f t="shared" si="8"/>
        <v>2905</v>
      </c>
      <c r="J62" s="10">
        <f t="shared" si="6"/>
        <v>13193232486.049726</v>
      </c>
      <c r="K62" s="11">
        <f t="shared" si="7"/>
        <v>2.4029999999999996E-2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11"/>
      <c r="H63" s="10"/>
      <c r="I63" s="10">
        <f t="shared" si="8"/>
        <v>2905</v>
      </c>
      <c r="J63" s="10">
        <f t="shared" si="6"/>
        <v>12883638649.306883</v>
      </c>
      <c r="K63" s="11">
        <f t="shared" si="7"/>
        <v>2.2310000000000052E-2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11"/>
      <c r="H64" s="10"/>
      <c r="I64" s="10">
        <f t="shared" si="8"/>
        <v>2905</v>
      </c>
      <c r="J64" s="10">
        <f t="shared" si="6"/>
        <v>12602477378.981798</v>
      </c>
      <c r="K64" s="11">
        <f t="shared" si="7"/>
        <v>2.0739999999999981E-2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11"/>
      <c r="H65" s="10"/>
      <c r="I65" s="10">
        <f t="shared" si="8"/>
        <v>2905</v>
      </c>
      <c r="J65" s="10">
        <f t="shared" si="6"/>
        <v>12346412777.966768</v>
      </c>
      <c r="K65" s="11">
        <f t="shared" si="7"/>
        <v>1.9249999999999989E-2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6">
        <f>SUM(F2)</f>
        <v>12584520</v>
      </c>
      <c r="G66" s="11"/>
      <c r="H66" s="10"/>
      <c r="I66" s="10">
        <f t="shared" si="8"/>
        <v>2905</v>
      </c>
      <c r="J66" s="10">
        <f t="shared" ref="J66:J97" si="9">IF(I66="","",I66*C66)</f>
        <v>12113233041.910002</v>
      </c>
      <c r="K66" s="11">
        <f t="shared" ref="K66:K97" si="10">IFERROR(J66/J67-1,"")</f>
        <v>1.7940000000000067E-2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11"/>
      <c r="H67" s="10"/>
      <c r="I67" s="10">
        <f t="shared" ref="I67:I98" si="11">IF(H67&lt;&gt;"",H67,I66/(1+IF(G66="",0,G66)))</f>
        <v>2905</v>
      </c>
      <c r="J67" s="10">
        <f t="shared" si="9"/>
        <v>11899751500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5">
        <v>4348275</v>
      </c>
      <c r="G2" s="11"/>
      <c r="H2" s="10"/>
      <c r="I2" s="10">
        <f>IF(H2&lt;&gt;"",H2,7341)</f>
        <v>7341</v>
      </c>
      <c r="J2" s="10">
        <f t="shared" ref="J2:J33" si="3">IF(I2="","",I2*C2)</f>
        <v>31920495990.106667</v>
      </c>
      <c r="K2" s="11">
        <f t="shared" ref="K2:K33" si="4">IFERROR(J2/J3-1,"")</f>
        <v>2.1649999999999947E-2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11"/>
      <c r="H3" s="10"/>
      <c r="I3" s="10">
        <f t="shared" ref="I3:I34" si="5">IF(H3&lt;&gt;"",H3,I2/(1+IF(G2="",0,G2)))</f>
        <v>7341</v>
      </c>
      <c r="J3" s="10">
        <f t="shared" si="3"/>
        <v>31244062046.793587</v>
      </c>
      <c r="K3" s="11">
        <f t="shared" si="4"/>
        <v>2.14700000000001E-2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11"/>
      <c r="H4" s="10"/>
      <c r="I4" s="10">
        <f t="shared" si="5"/>
        <v>7341</v>
      </c>
      <c r="J4" s="10">
        <f t="shared" si="3"/>
        <v>30587351607.774662</v>
      </c>
      <c r="K4" s="11">
        <f t="shared" si="4"/>
        <v>2.096000000000009E-2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11"/>
      <c r="H5" s="10"/>
      <c r="I5" s="10">
        <f t="shared" si="5"/>
        <v>7341</v>
      </c>
      <c r="J5" s="10">
        <f t="shared" si="3"/>
        <v>29959402530.730545</v>
      </c>
      <c r="K5" s="11">
        <f t="shared" si="4"/>
        <v>1.8990000000000062E-2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11"/>
      <c r="H6" s="10"/>
      <c r="I6" s="10">
        <f t="shared" si="5"/>
        <v>7341</v>
      </c>
      <c r="J6" s="10">
        <f t="shared" si="3"/>
        <v>29401076095.673698</v>
      </c>
      <c r="K6" s="11">
        <f t="shared" si="4"/>
        <v>1.7300000000000093E-2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11"/>
      <c r="H7" s="10"/>
      <c r="I7" s="10">
        <f t="shared" si="5"/>
        <v>7341</v>
      </c>
      <c r="J7" s="10">
        <f t="shared" si="3"/>
        <v>28901087285.632259</v>
      </c>
      <c r="K7" s="11">
        <f t="shared" si="4"/>
        <v>1.4590000000000103E-2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11"/>
      <c r="H8" s="10"/>
      <c r="I8" s="10">
        <f t="shared" si="5"/>
        <v>7341</v>
      </c>
      <c r="J8" s="10">
        <f t="shared" si="3"/>
        <v>28485484073.007084</v>
      </c>
      <c r="K8" s="11">
        <f t="shared" si="4"/>
        <v>1.2530000000000152E-2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11"/>
      <c r="H9" s="10"/>
      <c r="I9" s="10">
        <f t="shared" si="5"/>
        <v>7341</v>
      </c>
      <c r="J9" s="10">
        <f t="shared" si="3"/>
        <v>28132977860.416069</v>
      </c>
      <c r="K9" s="11">
        <f t="shared" si="4"/>
        <v>1.0780000000000012E-2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11"/>
      <c r="H10" s="10"/>
      <c r="I10" s="10">
        <f t="shared" si="5"/>
        <v>7341</v>
      </c>
      <c r="J10" s="10">
        <f t="shared" si="3"/>
        <v>27832938780.363747</v>
      </c>
      <c r="K10" s="11">
        <f t="shared" si="4"/>
        <v>9.400000000000075E-3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11"/>
      <c r="H11" s="10"/>
      <c r="I11" s="10">
        <f t="shared" si="5"/>
        <v>7341</v>
      </c>
      <c r="J11" s="10">
        <f t="shared" si="3"/>
        <v>27573745571.987068</v>
      </c>
      <c r="K11" s="11">
        <f t="shared" si="4"/>
        <v>8.4800000000000431E-3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11"/>
      <c r="H12" s="10"/>
      <c r="I12" s="10">
        <f t="shared" si="5"/>
        <v>7341</v>
      </c>
      <c r="J12" s="10">
        <f t="shared" si="3"/>
        <v>27341886375.522633</v>
      </c>
      <c r="K12" s="11">
        <f t="shared" si="4"/>
        <v>8.0700000000000216E-3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11"/>
      <c r="H13" s="10"/>
      <c r="I13" s="10">
        <f t="shared" si="5"/>
        <v>7341</v>
      </c>
      <c r="J13" s="10">
        <f t="shared" si="3"/>
        <v>27123003735.378132</v>
      </c>
      <c r="K13" s="11">
        <f t="shared" si="4"/>
        <v>8.1199999999999051E-3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11"/>
      <c r="H14" s="10"/>
      <c r="I14" s="10">
        <f t="shared" si="5"/>
        <v>7341</v>
      </c>
      <c r="J14" s="10">
        <f t="shared" si="3"/>
        <v>26904538879.675175</v>
      </c>
      <c r="K14" s="11">
        <f t="shared" si="4"/>
        <v>8.4500000000000686E-3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11"/>
      <c r="H15" s="10"/>
      <c r="I15" s="10">
        <f t="shared" si="5"/>
        <v>7341</v>
      </c>
      <c r="J15" s="10">
        <f t="shared" si="3"/>
        <v>26679100480.613983</v>
      </c>
      <c r="K15" s="11">
        <f t="shared" si="4"/>
        <v>8.86000000000009E-3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11"/>
      <c r="H16" s="10"/>
      <c r="I16" s="10">
        <f t="shared" si="5"/>
        <v>7341</v>
      </c>
      <c r="J16" s="10">
        <f t="shared" si="3"/>
        <v>26444799556.543007</v>
      </c>
      <c r="K16" s="11">
        <f t="shared" si="4"/>
        <v>9.120000000000017E-3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11"/>
      <c r="H17" s="10"/>
      <c r="I17" s="10">
        <f t="shared" si="5"/>
        <v>7341</v>
      </c>
      <c r="J17" s="10">
        <f t="shared" si="3"/>
        <v>26205802636.498142</v>
      </c>
      <c r="K17" s="11">
        <f t="shared" si="4"/>
        <v>9.139999999999926E-3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11"/>
      <c r="H18" s="10"/>
      <c r="I18" s="10">
        <f t="shared" si="5"/>
        <v>7341</v>
      </c>
      <c r="J18" s="10">
        <f t="shared" si="3"/>
        <v>25968450994.409245</v>
      </c>
      <c r="K18" s="11">
        <f t="shared" si="4"/>
        <v>8.1599999999999451E-3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11"/>
      <c r="H19" s="10"/>
      <c r="I19" s="10">
        <f t="shared" si="5"/>
        <v>7341</v>
      </c>
      <c r="J19" s="10">
        <f t="shared" si="3"/>
        <v>25758263563.729218</v>
      </c>
      <c r="K19" s="11">
        <f t="shared" si="4"/>
        <v>9.3900000000000095E-3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11"/>
      <c r="H20" s="10"/>
      <c r="I20" s="10">
        <f t="shared" si="5"/>
        <v>7341</v>
      </c>
      <c r="J20" s="10">
        <f t="shared" si="3"/>
        <v>25518643501.252457</v>
      </c>
      <c r="K20" s="11">
        <f t="shared" si="4"/>
        <v>1.0320000000000329E-2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11"/>
      <c r="H21" s="10"/>
      <c r="I21" s="10">
        <f t="shared" si="5"/>
        <v>7341</v>
      </c>
      <c r="J21" s="10">
        <f t="shared" si="3"/>
        <v>25257981135.929657</v>
      </c>
      <c r="K21" s="11">
        <f t="shared" si="4"/>
        <v>1.1279999999999957E-2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11"/>
      <c r="H22" s="10"/>
      <c r="I22" s="10">
        <f t="shared" si="5"/>
        <v>7341</v>
      </c>
      <c r="J22" s="10">
        <f t="shared" si="3"/>
        <v>24976249046.683075</v>
      </c>
      <c r="K22" s="11">
        <f t="shared" si="4"/>
        <v>1.2340000000000018E-2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11"/>
      <c r="H23" s="10"/>
      <c r="I23" s="10">
        <f t="shared" si="5"/>
        <v>7341</v>
      </c>
      <c r="J23" s="10">
        <f t="shared" si="3"/>
        <v>24671799046.449883</v>
      </c>
      <c r="K23" s="11">
        <f t="shared" si="4"/>
        <v>1.3490000000000002E-2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11"/>
      <c r="H24" s="10"/>
      <c r="I24" s="10">
        <f t="shared" si="5"/>
        <v>7341</v>
      </c>
      <c r="J24" s="10">
        <f t="shared" si="3"/>
        <v>24343406492.861187</v>
      </c>
      <c r="K24" s="11">
        <f t="shared" si="4"/>
        <v>1.4669999999999961E-2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11"/>
      <c r="H25" s="10"/>
      <c r="I25" s="10">
        <f t="shared" si="5"/>
        <v>7341</v>
      </c>
      <c r="J25" s="10">
        <f t="shared" si="3"/>
        <v>23991451893.582333</v>
      </c>
      <c r="K25" s="11">
        <f t="shared" si="4"/>
        <v>1.5819999999999945E-2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11"/>
      <c r="H26" s="10"/>
      <c r="I26" s="10">
        <f t="shared" si="5"/>
        <v>7341</v>
      </c>
      <c r="J26" s="10">
        <f t="shared" si="3"/>
        <v>23617818012.622643</v>
      </c>
      <c r="K26" s="11">
        <f t="shared" si="4"/>
        <v>1.6920000000000046E-2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11"/>
      <c r="H27" s="10"/>
      <c r="I27" s="10">
        <f t="shared" si="5"/>
        <v>7341</v>
      </c>
      <c r="J27" s="10">
        <f t="shared" si="3"/>
        <v>23224853491.545689</v>
      </c>
      <c r="K27" s="11">
        <f t="shared" si="4"/>
        <v>1.807000000000003E-2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11"/>
      <c r="H28" s="10"/>
      <c r="I28" s="10">
        <f t="shared" si="5"/>
        <v>7341</v>
      </c>
      <c r="J28" s="10">
        <f t="shared" si="3"/>
        <v>22812629280.44799</v>
      </c>
      <c r="K28" s="11">
        <f t="shared" si="4"/>
        <v>1.9619999999999971E-2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11"/>
      <c r="H29" s="10"/>
      <c r="I29" s="10">
        <f t="shared" si="5"/>
        <v>7341</v>
      </c>
      <c r="J29" s="10">
        <f t="shared" si="3"/>
        <v>22373658108.361931</v>
      </c>
      <c r="K29" s="11">
        <f t="shared" si="4"/>
        <v>2.6040000000000063E-2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11"/>
      <c r="H30" s="10"/>
      <c r="I30" s="10">
        <f t="shared" si="5"/>
        <v>7341</v>
      </c>
      <c r="J30" s="10">
        <f t="shared" si="3"/>
        <v>21805834186.154469</v>
      </c>
      <c r="K30" s="11">
        <f t="shared" si="4"/>
        <v>2.6200000000000001E-2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11"/>
      <c r="H31" s="10"/>
      <c r="I31" s="10">
        <f t="shared" si="5"/>
        <v>7341</v>
      </c>
      <c r="J31" s="10">
        <f t="shared" si="3"/>
        <v>21249107567.876114</v>
      </c>
      <c r="K31" s="11">
        <f t="shared" si="4"/>
        <v>2.5719999999999965E-2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11"/>
      <c r="H32" s="10"/>
      <c r="I32" s="10">
        <f t="shared" si="5"/>
        <v>7341</v>
      </c>
      <c r="J32" s="10">
        <f t="shared" si="3"/>
        <v>20716284724.755405</v>
      </c>
      <c r="K32" s="11">
        <f t="shared" si="4"/>
        <v>2.50999999999999E-2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11"/>
      <c r="H33" s="10"/>
      <c r="I33" s="10">
        <f t="shared" si="5"/>
        <v>7341</v>
      </c>
      <c r="J33" s="10">
        <f t="shared" si="3"/>
        <v>20209037874.115116</v>
      </c>
      <c r="K33" s="11">
        <f t="shared" si="4"/>
        <v>2.4599999999999955E-2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11"/>
      <c r="H34" s="10"/>
      <c r="I34" s="10">
        <f t="shared" si="5"/>
        <v>7341</v>
      </c>
      <c r="J34" s="10">
        <f t="shared" ref="J34:J65" si="6">IF(I34="","",I34*C34)</f>
        <v>19723831616.352837</v>
      </c>
      <c r="K34" s="11">
        <f t="shared" ref="K34:K65" si="7">IFERROR(J34/J35-1,"")</f>
        <v>2.4280000000000079E-2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11"/>
      <c r="H35" s="10"/>
      <c r="I35" s="10">
        <f t="shared" ref="I35:I66" si="8">IF(H35&lt;&gt;"",H35,I34/(1+IF(G34="",0,G34)))</f>
        <v>7341</v>
      </c>
      <c r="J35" s="10">
        <f t="shared" si="6"/>
        <v>19256288921.342636</v>
      </c>
      <c r="K35" s="11">
        <f t="shared" si="7"/>
        <v>2.4119999999999919E-2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11"/>
      <c r="H36" s="10"/>
      <c r="I36" s="10">
        <f t="shared" si="8"/>
        <v>7341</v>
      </c>
      <c r="J36" s="10">
        <f t="shared" si="6"/>
        <v>18802766200.584538</v>
      </c>
      <c r="K36" s="11">
        <f t="shared" si="7"/>
        <v>2.4080000000000101E-2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11"/>
      <c r="H37" s="10"/>
      <c r="I37" s="10">
        <f t="shared" si="8"/>
        <v>7341</v>
      </c>
      <c r="J37" s="10">
        <f t="shared" si="6"/>
        <v>18360641942.606571</v>
      </c>
      <c r="K37" s="11">
        <f t="shared" si="7"/>
        <v>2.4149999999999894E-2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11"/>
      <c r="H38" s="10"/>
      <c r="I38" s="10">
        <f t="shared" si="8"/>
        <v>7341</v>
      </c>
      <c r="J38" s="10">
        <f t="shared" si="6"/>
        <v>17927688270.865177</v>
      </c>
      <c r="K38" s="11">
        <f t="shared" si="7"/>
        <v>2.4249999999999883E-2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11"/>
      <c r="H39" s="10"/>
      <c r="I39" s="10">
        <f t="shared" si="8"/>
        <v>7341</v>
      </c>
      <c r="J39" s="10">
        <f t="shared" si="6"/>
        <v>17503234826.326756</v>
      </c>
      <c r="K39" s="11">
        <f t="shared" si="7"/>
        <v>2.6000000000000245E-2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11"/>
      <c r="H40" s="10"/>
      <c r="I40" s="10">
        <f t="shared" si="8"/>
        <v>7341</v>
      </c>
      <c r="J40" s="10">
        <f t="shared" si="6"/>
        <v>17059683066.595276</v>
      </c>
      <c r="K40" s="11">
        <f t="shared" si="7"/>
        <v>2.8129999999999988E-2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11"/>
      <c r="H41" s="10"/>
      <c r="I41" s="10">
        <f t="shared" si="8"/>
        <v>7341</v>
      </c>
      <c r="J41" s="10">
        <f t="shared" si="6"/>
        <v>16592924111.343193</v>
      </c>
      <c r="K41" s="11">
        <f t="shared" si="7"/>
        <v>2.8890000000000082E-2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11"/>
      <c r="H42" s="10"/>
      <c r="I42" s="10">
        <f t="shared" si="8"/>
        <v>7341</v>
      </c>
      <c r="J42" s="10">
        <f t="shared" si="6"/>
        <v>16127014657.877121</v>
      </c>
      <c r="K42" s="11">
        <f t="shared" si="7"/>
        <v>2.8919999999999835E-2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11"/>
      <c r="H43" s="10"/>
      <c r="I43" s="10">
        <f t="shared" si="8"/>
        <v>7341</v>
      </c>
      <c r="J43" s="10">
        <f t="shared" si="6"/>
        <v>15673730375.419977</v>
      </c>
      <c r="K43" s="11">
        <f t="shared" si="7"/>
        <v>2.8669999999999973E-2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11"/>
      <c r="H44" s="10"/>
      <c r="I44" s="10">
        <f t="shared" si="8"/>
        <v>7341</v>
      </c>
      <c r="J44" s="10">
        <f t="shared" si="6"/>
        <v>15236888774.261889</v>
      </c>
      <c r="K44" s="11">
        <f t="shared" si="7"/>
        <v>2.8210000000000068E-2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11"/>
      <c r="H45" s="10"/>
      <c r="I45" s="10">
        <f t="shared" si="8"/>
        <v>7341</v>
      </c>
      <c r="J45" s="10">
        <f t="shared" si="6"/>
        <v>14818849042.765472</v>
      </c>
      <c r="K45" s="11">
        <f t="shared" si="7"/>
        <v>2.7600000000000069E-2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11"/>
      <c r="H46" s="10"/>
      <c r="I46" s="10">
        <f t="shared" si="8"/>
        <v>7341</v>
      </c>
      <c r="J46" s="10">
        <f t="shared" si="6"/>
        <v>14420834023.711046</v>
      </c>
      <c r="K46" s="11">
        <f t="shared" si="7"/>
        <v>2.6899999999999924E-2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11"/>
      <c r="H47" s="10"/>
      <c r="I47" s="10">
        <f t="shared" si="8"/>
        <v>7341</v>
      </c>
      <c r="J47" s="10">
        <f t="shared" si="6"/>
        <v>14043075298.189743</v>
      </c>
      <c r="K47" s="11">
        <f t="shared" si="7"/>
        <v>2.6110000000000078E-2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11"/>
      <c r="H48" s="10"/>
      <c r="I48" s="10">
        <f t="shared" si="8"/>
        <v>7341</v>
      </c>
      <c r="J48" s="10">
        <f t="shared" si="6"/>
        <v>13685740610.840693</v>
      </c>
      <c r="K48" s="11">
        <f t="shared" si="7"/>
        <v>2.5479999999999947E-2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11"/>
      <c r="H49" s="10"/>
      <c r="I49" s="10">
        <f t="shared" si="8"/>
        <v>7341</v>
      </c>
      <c r="J49" s="10">
        <f t="shared" si="6"/>
        <v>13345692369.271652</v>
      </c>
      <c r="K49" s="11">
        <f t="shared" si="7"/>
        <v>2.6469999999999994E-2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11"/>
      <c r="H50" s="10"/>
      <c r="I50" s="10">
        <f t="shared" si="8"/>
        <v>7341</v>
      </c>
      <c r="J50" s="10">
        <f t="shared" si="6"/>
        <v>13001541564.070702</v>
      </c>
      <c r="K50" s="11">
        <f t="shared" si="7"/>
        <v>2.7830000000000021E-2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11"/>
      <c r="H51" s="10"/>
      <c r="I51" s="10">
        <f t="shared" si="8"/>
        <v>7341</v>
      </c>
      <c r="J51" s="10">
        <f t="shared" si="6"/>
        <v>12649505817.178619</v>
      </c>
      <c r="K51" s="11">
        <f t="shared" si="7"/>
        <v>2.8510000000000035E-2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11"/>
      <c r="H52" s="10"/>
      <c r="I52" s="10">
        <f t="shared" si="8"/>
        <v>7341</v>
      </c>
      <c r="J52" s="10">
        <f t="shared" si="6"/>
        <v>12298865171.149157</v>
      </c>
      <c r="K52" s="11">
        <f t="shared" si="7"/>
        <v>2.8280000000000083E-2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11"/>
      <c r="H53" s="10"/>
      <c r="I53" s="10">
        <f t="shared" si="8"/>
        <v>7341</v>
      </c>
      <c r="J53" s="10">
        <f t="shared" si="6"/>
        <v>11960618869.519154</v>
      </c>
      <c r="K53" s="11">
        <f t="shared" si="7"/>
        <v>2.7179999999999982E-2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11"/>
      <c r="H54" s="10"/>
      <c r="I54" s="10">
        <f t="shared" si="8"/>
        <v>7341</v>
      </c>
      <c r="J54" s="10">
        <f t="shared" si="6"/>
        <v>11644131378.647514</v>
      </c>
      <c r="K54" s="11">
        <f t="shared" si="7"/>
        <v>2.5989999999999958E-2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11"/>
      <c r="H55" s="10"/>
      <c r="I55" s="10">
        <f t="shared" si="8"/>
        <v>7341</v>
      </c>
      <c r="J55" s="10">
        <f t="shared" si="6"/>
        <v>11349166540.266003</v>
      </c>
      <c r="K55" s="11">
        <f t="shared" si="7"/>
        <v>3.0730000000000146E-2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11"/>
      <c r="H56" s="10"/>
      <c r="I56" s="10">
        <f t="shared" si="8"/>
        <v>7341</v>
      </c>
      <c r="J56" s="10">
        <f t="shared" si="6"/>
        <v>11010804517.44492</v>
      </c>
      <c r="K56" s="11">
        <f t="shared" si="7"/>
        <v>3.2029999999999781E-2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11"/>
      <c r="H57" s="10"/>
      <c r="I57" s="10">
        <f t="shared" si="8"/>
        <v>7341</v>
      </c>
      <c r="J57" s="10">
        <f t="shared" si="6"/>
        <v>10669074074.828175</v>
      </c>
      <c r="K57" s="11">
        <f t="shared" si="7"/>
        <v>3.1769999999999854E-2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11"/>
      <c r="H58" s="10"/>
      <c r="I58" s="10">
        <f t="shared" si="8"/>
        <v>7341</v>
      </c>
      <c r="J58" s="10">
        <f t="shared" si="6"/>
        <v>10340554653.486897</v>
      </c>
      <c r="K58" s="11">
        <f t="shared" si="7"/>
        <v>3.094000000000019E-2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11"/>
      <c r="H59" s="10"/>
      <c r="I59" s="10">
        <f t="shared" si="8"/>
        <v>7341</v>
      </c>
      <c r="J59" s="10">
        <f t="shared" si="6"/>
        <v>10030219657.290333</v>
      </c>
      <c r="K59" s="11">
        <f t="shared" si="7"/>
        <v>2.9299999999999882E-2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11"/>
      <c r="H60" s="10"/>
      <c r="I60" s="10">
        <f t="shared" si="8"/>
        <v>7341</v>
      </c>
      <c r="J60" s="10">
        <f t="shared" si="6"/>
        <v>9744699948.7907639</v>
      </c>
      <c r="K60" s="11">
        <f t="shared" si="7"/>
        <v>2.8189999999999937E-2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11"/>
      <c r="H61" s="10"/>
      <c r="I61" s="10">
        <f t="shared" si="8"/>
        <v>7341</v>
      </c>
      <c r="J61" s="10">
        <f t="shared" si="6"/>
        <v>9477528422.5588303</v>
      </c>
      <c r="K61" s="11">
        <f t="shared" si="7"/>
        <v>2.8009999999999868E-2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11"/>
      <c r="H62" s="10"/>
      <c r="I62" s="10">
        <f t="shared" si="8"/>
        <v>7341</v>
      </c>
      <c r="J62" s="10">
        <f t="shared" si="6"/>
        <v>9219295943.1900768</v>
      </c>
      <c r="K62" s="11">
        <f t="shared" si="7"/>
        <v>1.8000000000000016E-2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11"/>
      <c r="H63" s="10"/>
      <c r="I63" s="10">
        <f t="shared" si="8"/>
        <v>7341</v>
      </c>
      <c r="J63" s="10">
        <f t="shared" si="6"/>
        <v>9056282851.856657</v>
      </c>
      <c r="K63" s="11">
        <f t="shared" si="7"/>
        <v>1.6860000000000097E-2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11"/>
      <c r="H64" s="10"/>
      <c r="I64" s="10">
        <f t="shared" si="8"/>
        <v>7341</v>
      </c>
      <c r="J64" s="10">
        <f t="shared" si="6"/>
        <v>8906125574.667757</v>
      </c>
      <c r="K64" s="11">
        <f t="shared" si="7"/>
        <v>1.6369999999999996E-2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11"/>
      <c r="H65" s="10"/>
      <c r="I65" s="10">
        <f t="shared" si="8"/>
        <v>7341</v>
      </c>
      <c r="J65" s="10">
        <f t="shared" si="6"/>
        <v>8762680494.9651775</v>
      </c>
      <c r="K65" s="11">
        <f t="shared" si="7"/>
        <v>1.6040000000000276E-2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6">
        <f>SUM(F2)</f>
        <v>4348275</v>
      </c>
      <c r="G66" s="11"/>
      <c r="H66" s="10"/>
      <c r="I66" s="10">
        <f t="shared" si="8"/>
        <v>7341</v>
      </c>
      <c r="J66" s="10">
        <f t="shared" ref="J66:J97" si="9">IF(I66="","",I66*C66)</f>
        <v>8624345985.3600006</v>
      </c>
      <c r="K66" s="11">
        <f t="shared" ref="K66:K97" si="10">IFERROR(J66/J67-1,"")</f>
        <v>1.5840000000000076E-2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11"/>
      <c r="H67" s="10"/>
      <c r="I67" s="10">
        <f t="shared" ref="I67:I98" si="11">IF(H67&lt;&gt;"",H67,I66/(1+IF(G66="",0,G66)))</f>
        <v>7341</v>
      </c>
      <c r="J67" s="10">
        <f t="shared" si="9"/>
        <v>8489866500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5">
        <v>820937</v>
      </c>
      <c r="G2" s="11"/>
      <c r="H2" s="10"/>
      <c r="I2" s="10">
        <f>IF(H2&lt;&gt;"",H2,18254)</f>
        <v>18254</v>
      </c>
      <c r="J2" s="10">
        <f t="shared" ref="J2:J33" si="3">IF(I2="","",I2*C2)</f>
        <v>14986118818.82258</v>
      </c>
      <c r="K2" s="11">
        <f t="shared" ref="K2:K33" si="4">IFERROR(J2/J3-1,"")</f>
        <v>2.1500000000003183E-3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11"/>
      <c r="H3" s="10"/>
      <c r="I3" s="10">
        <f t="shared" ref="I3:I34" si="5">IF(H3&lt;&gt;"",H3,I2/(1+IF(G2="",0,G2)))</f>
        <v>18254</v>
      </c>
      <c r="J3" s="10">
        <f t="shared" si="3"/>
        <v>14953967788.078209</v>
      </c>
      <c r="K3" s="11">
        <f t="shared" si="4"/>
        <v>-1.9700000000002493E-3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11"/>
      <c r="H4" s="10"/>
      <c r="I4" s="10">
        <f t="shared" si="5"/>
        <v>18254</v>
      </c>
      <c r="J4" s="10">
        <f t="shared" si="3"/>
        <v>14983485254.028648</v>
      </c>
      <c r="K4" s="11">
        <f t="shared" si="4"/>
        <v>-3.2999999999999696E-3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11"/>
      <c r="H5" s="10"/>
      <c r="I5" s="10">
        <f t="shared" si="5"/>
        <v>18254</v>
      </c>
      <c r="J5" s="10">
        <f t="shared" si="3"/>
        <v>15033094465.765675</v>
      </c>
      <c r="K5" s="11">
        <f t="shared" si="4"/>
        <v>-3.8100000000000911E-3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11"/>
      <c r="H6" s="10"/>
      <c r="I6" s="10">
        <f t="shared" si="5"/>
        <v>18254</v>
      </c>
      <c r="J6" s="10">
        <f t="shared" si="3"/>
        <v>15090589612.188112</v>
      </c>
      <c r="K6" s="11">
        <f t="shared" si="4"/>
        <v>-3.3499999999998531E-3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11"/>
      <c r="H7" s="10"/>
      <c r="I7" s="10">
        <f t="shared" si="5"/>
        <v>18254</v>
      </c>
      <c r="J7" s="10">
        <f t="shared" si="3"/>
        <v>15141313010.774204</v>
      </c>
      <c r="K7" s="11">
        <f t="shared" si="4"/>
        <v>-2.8099999999999792E-3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11"/>
      <c r="H8" s="10"/>
      <c r="I8" s="10">
        <f t="shared" si="5"/>
        <v>18254</v>
      </c>
      <c r="J8" s="10">
        <f t="shared" si="3"/>
        <v>15183979994.558914</v>
      </c>
      <c r="K8" s="11">
        <f t="shared" si="4"/>
        <v>-1.8100000000000893E-3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11"/>
      <c r="H9" s="10"/>
      <c r="I9" s="10">
        <f t="shared" si="5"/>
        <v>18254</v>
      </c>
      <c r="J9" s="10">
        <f t="shared" si="3"/>
        <v>15211512832.786259</v>
      </c>
      <c r="K9" s="11">
        <f t="shared" si="4"/>
        <v>-2.0000000000000018E-3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11"/>
      <c r="H10" s="10"/>
      <c r="I10" s="10">
        <f t="shared" si="5"/>
        <v>18254</v>
      </c>
      <c r="J10" s="10">
        <f t="shared" si="3"/>
        <v>15241996826.439137</v>
      </c>
      <c r="K10" s="11">
        <f t="shared" si="4"/>
        <v>-3.4200000000000896E-3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11"/>
      <c r="H11" s="10"/>
      <c r="I11" s="10">
        <f t="shared" si="5"/>
        <v>18254</v>
      </c>
      <c r="J11" s="10">
        <f t="shared" si="3"/>
        <v>15294303343.875191</v>
      </c>
      <c r="K11" s="11">
        <f t="shared" si="4"/>
        <v>-5.7599999999999874E-3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11"/>
      <c r="H12" s="10"/>
      <c r="I12" s="10">
        <f t="shared" si="5"/>
        <v>18254</v>
      </c>
      <c r="J12" s="10">
        <f t="shared" si="3"/>
        <v>15382908899.134203</v>
      </c>
      <c r="K12" s="11">
        <f t="shared" si="4"/>
        <v>-6.0299999999999798E-3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11"/>
      <c r="H13" s="10"/>
      <c r="I13" s="10">
        <f t="shared" si="5"/>
        <v>18254</v>
      </c>
      <c r="J13" s="10">
        <f t="shared" si="3"/>
        <v>15476230569.468096</v>
      </c>
      <c r="K13" s="11">
        <f t="shared" si="4"/>
        <v>-5.4899999999999949E-3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11"/>
      <c r="H14" s="10"/>
      <c r="I14" s="10">
        <f t="shared" si="5"/>
        <v>18254</v>
      </c>
      <c r="J14" s="10">
        <f t="shared" si="3"/>
        <v>15561664105.406778</v>
      </c>
      <c r="K14" s="11">
        <f t="shared" si="4"/>
        <v>-6.4600000000001323E-3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11"/>
      <c r="H15" s="10"/>
      <c r="I15" s="10">
        <f t="shared" si="5"/>
        <v>18254</v>
      </c>
      <c r="J15" s="10">
        <f t="shared" si="3"/>
        <v>15662846091.155645</v>
      </c>
      <c r="K15" s="11">
        <f t="shared" si="4"/>
        <v>-6.0199999999999143E-3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11"/>
      <c r="H16" s="10"/>
      <c r="I16" s="10">
        <f t="shared" si="5"/>
        <v>18254</v>
      </c>
      <c r="J16" s="10">
        <f t="shared" si="3"/>
        <v>15757707490.246931</v>
      </c>
      <c r="K16" s="11">
        <f t="shared" si="4"/>
        <v>-6.6000000000000503E-3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11"/>
      <c r="H17" s="10"/>
      <c r="I17" s="10">
        <f t="shared" si="5"/>
        <v>18254</v>
      </c>
      <c r="J17" s="10">
        <f t="shared" si="3"/>
        <v>15862399325.797194</v>
      </c>
      <c r="K17" s="11">
        <f t="shared" si="4"/>
        <v>-6.0700000000000198E-3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11"/>
      <c r="H18" s="10"/>
      <c r="I18" s="10">
        <f t="shared" si="5"/>
        <v>18254</v>
      </c>
      <c r="J18" s="10">
        <f t="shared" si="3"/>
        <v>15959272107.489656</v>
      </c>
      <c r="K18" s="11">
        <f t="shared" si="4"/>
        <v>-3.3300000000000551E-3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11"/>
      <c r="H19" s="10"/>
      <c r="I19" s="10">
        <f t="shared" si="5"/>
        <v>18254</v>
      </c>
      <c r="J19" s="10">
        <f t="shared" si="3"/>
        <v>16012594045.661711</v>
      </c>
      <c r="K19" s="11">
        <f t="shared" si="4"/>
        <v>-7.4900000000001077E-3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11"/>
      <c r="H20" s="10"/>
      <c r="I20" s="10">
        <f t="shared" si="5"/>
        <v>18254</v>
      </c>
      <c r="J20" s="10">
        <f t="shared" si="3"/>
        <v>16133433462.294296</v>
      </c>
      <c r="K20" s="11">
        <f t="shared" si="4"/>
        <v>-7.0399999999999352E-3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11"/>
      <c r="H21" s="10"/>
      <c r="I21" s="10">
        <f t="shared" si="5"/>
        <v>18254</v>
      </c>
      <c r="J21" s="10">
        <f t="shared" si="3"/>
        <v>16247818101.730478</v>
      </c>
      <c r="K21" s="11">
        <f t="shared" si="4"/>
        <v>-1.1360000000000148E-2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11"/>
      <c r="H22" s="10"/>
      <c r="I22" s="10">
        <f t="shared" si="5"/>
        <v>18254</v>
      </c>
      <c r="J22" s="10">
        <f t="shared" si="3"/>
        <v>16434514182.84763</v>
      </c>
      <c r="K22" s="11">
        <f t="shared" si="4"/>
        <v>-1.3739999999999863E-2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11"/>
      <c r="H23" s="10"/>
      <c r="I23" s="10">
        <f t="shared" si="5"/>
        <v>18254</v>
      </c>
      <c r="J23" s="10">
        <f t="shared" si="3"/>
        <v>16663470264.278818</v>
      </c>
      <c r="K23" s="11">
        <f t="shared" si="4"/>
        <v>-1.756000000000002E-2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11"/>
      <c r="H24" s="10"/>
      <c r="I24" s="10">
        <f t="shared" si="5"/>
        <v>18254</v>
      </c>
      <c r="J24" s="10">
        <f t="shared" si="3"/>
        <v>16961310883.391167</v>
      </c>
      <c r="K24" s="11">
        <f t="shared" si="4"/>
        <v>-2.0830000000000126E-2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11"/>
      <c r="H25" s="10"/>
      <c r="I25" s="10">
        <f t="shared" si="5"/>
        <v>18254</v>
      </c>
      <c r="J25" s="10">
        <f t="shared" si="3"/>
        <v>17322130869.400787</v>
      </c>
      <c r="K25" s="11">
        <f t="shared" si="4"/>
        <v>-2.6229999999999976E-2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11"/>
      <c r="H26" s="10"/>
      <c r="I26" s="10">
        <f t="shared" si="5"/>
        <v>18254</v>
      </c>
      <c r="J26" s="10">
        <f t="shared" si="3"/>
        <v>17788729237.295036</v>
      </c>
      <c r="K26" s="11">
        <f t="shared" si="4"/>
        <v>-6.3499999999998558E-3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11"/>
      <c r="H27" s="10"/>
      <c r="I27" s="10">
        <f t="shared" si="5"/>
        <v>18254</v>
      </c>
      <c r="J27" s="10">
        <f t="shared" si="3"/>
        <v>17902409537.860447</v>
      </c>
      <c r="K27" s="11">
        <f t="shared" si="4"/>
        <v>5.9999999999948983E-5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11"/>
      <c r="H28" s="10"/>
      <c r="I28" s="10">
        <f t="shared" si="5"/>
        <v>18254</v>
      </c>
      <c r="J28" s="10">
        <f t="shared" si="3"/>
        <v>17901335457.732983</v>
      </c>
      <c r="K28" s="11">
        <f t="shared" si="4"/>
        <v>3.4000000000000696E-3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11"/>
      <c r="H29" s="10"/>
      <c r="I29" s="10">
        <f t="shared" si="5"/>
        <v>18254</v>
      </c>
      <c r="J29" s="10">
        <f t="shared" si="3"/>
        <v>17840677155.404606</v>
      </c>
      <c r="K29" s="11">
        <f t="shared" si="4"/>
        <v>7.4700000000000877E-3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11"/>
      <c r="H30" s="10"/>
      <c r="I30" s="10">
        <f t="shared" si="5"/>
        <v>18254</v>
      </c>
      <c r="J30" s="10">
        <f t="shared" si="3"/>
        <v>17708395441.456921</v>
      </c>
      <c r="K30" s="11">
        <f t="shared" si="4"/>
        <v>7.7799999999996761E-3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11"/>
      <c r="H31" s="10"/>
      <c r="I31" s="10">
        <f t="shared" si="5"/>
        <v>18254</v>
      </c>
      <c r="J31" s="10">
        <f t="shared" si="3"/>
        <v>17571687711.064842</v>
      </c>
      <c r="K31" s="11">
        <f t="shared" si="4"/>
        <v>7.3499999999999677E-3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11"/>
      <c r="H32" s="10"/>
      <c r="I32" s="10">
        <f t="shared" si="5"/>
        <v>18254</v>
      </c>
      <c r="J32" s="10">
        <f t="shared" si="3"/>
        <v>17443478146.686695</v>
      </c>
      <c r="K32" s="11">
        <f t="shared" si="4"/>
        <v>6.1199999999999033E-3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11"/>
      <c r="H33" s="10"/>
      <c r="I33" s="10">
        <f t="shared" si="5"/>
        <v>18254</v>
      </c>
      <c r="J33" s="10">
        <f t="shared" si="3"/>
        <v>17337373421.348045</v>
      </c>
      <c r="K33" s="11">
        <f t="shared" si="4"/>
        <v>6.5999999999999392E-3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11"/>
      <c r="H34" s="10"/>
      <c r="I34" s="10">
        <f t="shared" si="5"/>
        <v>18254</v>
      </c>
      <c r="J34" s="10">
        <f t="shared" ref="J34:J65" si="6">IF(I34="","",I34*C34)</f>
        <v>17223697021.009384</v>
      </c>
      <c r="K34" s="11">
        <f t="shared" ref="K34:K65" si="7">IFERROR(J34/J35-1,"")</f>
        <v>7.1399999999999242E-3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11"/>
      <c r="H35" s="10"/>
      <c r="I35" s="10">
        <f t="shared" ref="I35:I66" si="8">IF(H35&lt;&gt;"",H35,I34/(1+IF(G34="",0,G34)))</f>
        <v>18254</v>
      </c>
      <c r="J35" s="10">
        <f t="shared" si="6"/>
        <v>17101591656.581394</v>
      </c>
      <c r="K35" s="11">
        <f t="shared" si="7"/>
        <v>6.6299999999996917E-3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11"/>
      <c r="H36" s="10"/>
      <c r="I36" s="10">
        <f t="shared" si="8"/>
        <v>18254</v>
      </c>
      <c r="J36" s="10">
        <f t="shared" si="6"/>
        <v>16988954885.689278</v>
      </c>
      <c r="K36" s="11">
        <f t="shared" si="7"/>
        <v>6.2100000000000488E-3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11"/>
      <c r="H37" s="10"/>
      <c r="I37" s="10">
        <f t="shared" si="8"/>
        <v>18254</v>
      </c>
      <c r="J37" s="10">
        <f t="shared" si="6"/>
        <v>16884104596.147203</v>
      </c>
      <c r="K37" s="11">
        <f t="shared" si="7"/>
        <v>5.7799999999998963E-3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11"/>
      <c r="H38" s="10"/>
      <c r="I38" s="10">
        <f t="shared" si="8"/>
        <v>18254</v>
      </c>
      <c r="J38" s="10">
        <f t="shared" si="6"/>
        <v>16787075300.907957</v>
      </c>
      <c r="K38" s="11">
        <f t="shared" si="7"/>
        <v>5.6899999999999729E-3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11"/>
      <c r="H39" s="10"/>
      <c r="I39" s="10">
        <f t="shared" si="8"/>
        <v>18254</v>
      </c>
      <c r="J39" s="10">
        <f t="shared" si="6"/>
        <v>16692097267.456131</v>
      </c>
      <c r="K39" s="11">
        <f t="shared" si="7"/>
        <v>7.7100000000001057E-3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11"/>
      <c r="H40" s="10"/>
      <c r="I40" s="10">
        <f t="shared" si="8"/>
        <v>18254</v>
      </c>
      <c r="J40" s="10">
        <f t="shared" si="6"/>
        <v>16564385852.533098</v>
      </c>
      <c r="K40" s="11">
        <f t="shared" si="7"/>
        <v>8.3500000000000796E-3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11"/>
      <c r="H41" s="10"/>
      <c r="I41" s="10">
        <f t="shared" si="8"/>
        <v>18254</v>
      </c>
      <c r="J41" s="10">
        <f t="shared" si="6"/>
        <v>16427218577.411711</v>
      </c>
      <c r="K41" s="11">
        <f t="shared" si="7"/>
        <v>7.8800000000001091E-3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11"/>
      <c r="H42" s="10"/>
      <c r="I42" s="10">
        <f t="shared" si="8"/>
        <v>18254</v>
      </c>
      <c r="J42" s="10">
        <f t="shared" si="6"/>
        <v>16298784158.244741</v>
      </c>
      <c r="K42" s="11">
        <f t="shared" si="7"/>
        <v>8.0299999999999816E-3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11"/>
      <c r="H43" s="10"/>
      <c r="I43" s="10">
        <f t="shared" si="8"/>
        <v>18254</v>
      </c>
      <c r="J43" s="10">
        <f t="shared" si="6"/>
        <v>16168947509.741516</v>
      </c>
      <c r="K43" s="11">
        <f t="shared" si="7"/>
        <v>8.8500000000000245E-3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11"/>
      <c r="H44" s="10"/>
      <c r="I44" s="10">
        <f t="shared" si="8"/>
        <v>18254</v>
      </c>
      <c r="J44" s="10">
        <f t="shared" si="6"/>
        <v>16027107607.415886</v>
      </c>
      <c r="K44" s="11">
        <f t="shared" si="7"/>
        <v>8.5200000000000831E-3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11"/>
      <c r="H45" s="10"/>
      <c r="I45" s="10">
        <f t="shared" si="8"/>
        <v>18254</v>
      </c>
      <c r="J45" s="10">
        <f t="shared" si="6"/>
        <v>15891710236.20343</v>
      </c>
      <c r="K45" s="11">
        <f t="shared" si="7"/>
        <v>8.8900000000000645E-3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11"/>
      <c r="H46" s="10"/>
      <c r="I46" s="10">
        <f t="shared" si="8"/>
        <v>18254</v>
      </c>
      <c r="J46" s="10">
        <f t="shared" si="6"/>
        <v>15751677820.380249</v>
      </c>
      <c r="K46" s="11">
        <f t="shared" si="7"/>
        <v>9.5000000000000639E-3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11"/>
      <c r="H47" s="10"/>
      <c r="I47" s="10">
        <f t="shared" si="8"/>
        <v>18254</v>
      </c>
      <c r="J47" s="10">
        <f t="shared" si="6"/>
        <v>15603445092.006189</v>
      </c>
      <c r="K47" s="11">
        <f t="shared" si="7"/>
        <v>8.9900000000000535E-3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11"/>
      <c r="H48" s="10"/>
      <c r="I48" s="10">
        <f t="shared" si="8"/>
        <v>18254</v>
      </c>
      <c r="J48" s="10">
        <f t="shared" si="6"/>
        <v>15464419956.596386</v>
      </c>
      <c r="K48" s="11">
        <f t="shared" si="7"/>
        <v>1.045000000000007E-2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11"/>
      <c r="H49" s="10"/>
      <c r="I49" s="10">
        <f t="shared" si="8"/>
        <v>18254</v>
      </c>
      <c r="J49" s="10">
        <f t="shared" si="6"/>
        <v>15304488056.406933</v>
      </c>
      <c r="K49" s="11">
        <f t="shared" si="7"/>
        <v>1.1030000000000095E-2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11"/>
      <c r="H50" s="10"/>
      <c r="I50" s="10">
        <f t="shared" si="8"/>
        <v>18254</v>
      </c>
      <c r="J50" s="10">
        <f t="shared" si="6"/>
        <v>15137521197.597431</v>
      </c>
      <c r="K50" s="11">
        <f t="shared" si="7"/>
        <v>1.0429999999999939E-2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11"/>
      <c r="H51" s="10"/>
      <c r="I51" s="10">
        <f t="shared" si="8"/>
        <v>18254</v>
      </c>
      <c r="J51" s="10">
        <f t="shared" si="6"/>
        <v>14981266587.094042</v>
      </c>
      <c r="K51" s="11">
        <f t="shared" si="7"/>
        <v>1.0299999999999976E-2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11"/>
      <c r="H52" s="10"/>
      <c r="I52" s="10">
        <f t="shared" si="8"/>
        <v>18254</v>
      </c>
      <c r="J52" s="10">
        <f t="shared" si="6"/>
        <v>14828532700.281147</v>
      </c>
      <c r="K52" s="11">
        <f t="shared" si="7"/>
        <v>1.0680000000000023E-2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11"/>
      <c r="H53" s="10"/>
      <c r="I53" s="10">
        <f t="shared" si="8"/>
        <v>18254</v>
      </c>
      <c r="J53" s="10">
        <f t="shared" si="6"/>
        <v>14671837476.037071</v>
      </c>
      <c r="K53" s="11">
        <f t="shared" si="7"/>
        <v>1.1819999999999942E-2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11"/>
      <c r="H54" s="10"/>
      <c r="I54" s="10">
        <f t="shared" si="8"/>
        <v>18254</v>
      </c>
      <c r="J54" s="10">
        <f t="shared" si="6"/>
        <v>14500442248.657934</v>
      </c>
      <c r="K54" s="11">
        <f t="shared" si="7"/>
        <v>1.1120000000000019E-2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11"/>
      <c r="H55" s="10"/>
      <c r="I55" s="10">
        <f t="shared" si="8"/>
        <v>18254</v>
      </c>
      <c r="J55" s="10">
        <f t="shared" si="6"/>
        <v>14340970654.974617</v>
      </c>
      <c r="K55" s="11">
        <f t="shared" si="7"/>
        <v>1.1370000000000102E-2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11"/>
      <c r="H56" s="10"/>
      <c r="I56" s="10">
        <f t="shared" si="8"/>
        <v>18254</v>
      </c>
      <c r="J56" s="10">
        <f t="shared" si="6"/>
        <v>14179746932.353752</v>
      </c>
      <c r="K56" s="11">
        <f t="shared" si="7"/>
        <v>1.1900000000000022E-2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11"/>
      <c r="H57" s="10"/>
      <c r="I57" s="10">
        <f t="shared" si="8"/>
        <v>18254</v>
      </c>
      <c r="J57" s="10">
        <f t="shared" si="6"/>
        <v>14012992323.701702</v>
      </c>
      <c r="K57" s="11">
        <f t="shared" si="7"/>
        <v>1.2069999999999803E-2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11"/>
      <c r="H58" s="10"/>
      <c r="I58" s="10">
        <f t="shared" si="8"/>
        <v>18254</v>
      </c>
      <c r="J58" s="10">
        <f t="shared" si="6"/>
        <v>13845872640.92573</v>
      </c>
      <c r="K58" s="11">
        <f t="shared" si="7"/>
        <v>5.2100000000001589E-3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11"/>
      <c r="H59" s="10"/>
      <c r="I59" s="10">
        <f t="shared" si="8"/>
        <v>18254</v>
      </c>
      <c r="J59" s="10">
        <f t="shared" si="6"/>
        <v>13774109530.273006</v>
      </c>
      <c r="K59" s="11">
        <f t="shared" si="7"/>
        <v>1.0629999999999917E-2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11"/>
      <c r="H60" s="10"/>
      <c r="I60" s="10">
        <f t="shared" si="8"/>
        <v>18254</v>
      </c>
      <c r="J60" s="10">
        <f t="shared" si="6"/>
        <v>13629230806.796759</v>
      </c>
      <c r="K60" s="11">
        <f t="shared" si="7"/>
        <v>8.82000000000005E-3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11"/>
      <c r="H61" s="10"/>
      <c r="I61" s="10">
        <f t="shared" si="8"/>
        <v>18254</v>
      </c>
      <c r="J61" s="10">
        <f t="shared" si="6"/>
        <v>13510071972.003685</v>
      </c>
      <c r="K61" s="11">
        <f t="shared" si="7"/>
        <v>9.100000000000108E-3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11"/>
      <c r="H62" s="10"/>
      <c r="I62" s="10">
        <f t="shared" si="8"/>
        <v>18254</v>
      </c>
      <c r="J62" s="10">
        <f t="shared" si="6"/>
        <v>13388238997.129803</v>
      </c>
      <c r="K62" s="11">
        <f t="shared" si="7"/>
        <v>1.0180000000000078E-2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11"/>
      <c r="H63" s="10"/>
      <c r="I63" s="10">
        <f t="shared" si="8"/>
        <v>18254</v>
      </c>
      <c r="J63" s="10">
        <f t="shared" si="6"/>
        <v>13253320197.519056</v>
      </c>
      <c r="K63" s="11">
        <f t="shared" si="7"/>
        <v>1.0619999999999852E-2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11"/>
      <c r="H64" s="10"/>
      <c r="I64" s="10">
        <f t="shared" si="8"/>
        <v>18254</v>
      </c>
      <c r="J64" s="10">
        <f t="shared" si="6"/>
        <v>13114048997.169121</v>
      </c>
      <c r="K64" s="11">
        <f t="shared" si="7"/>
        <v>1.0559999999999903E-2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11"/>
      <c r="H65" s="10"/>
      <c r="I65" s="10">
        <f t="shared" si="8"/>
        <v>18254</v>
      </c>
      <c r="J65" s="10">
        <f t="shared" si="6"/>
        <v>12977011753.056841</v>
      </c>
      <c r="K65" s="11">
        <f t="shared" si="7"/>
        <v>1.1919999999999709E-2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6">
        <f>SUM(F2)</f>
        <v>820937</v>
      </c>
      <c r="G66" s="11"/>
      <c r="H66" s="10"/>
      <c r="I66" s="10">
        <f t="shared" si="8"/>
        <v>18254</v>
      </c>
      <c r="J66" s="10">
        <f t="shared" ref="J66:J97" si="9">IF(I66="","",I66*C66)</f>
        <v>12824147909.970001</v>
      </c>
      <c r="K66" s="11">
        <f t="shared" ref="K66:K97" si="10">IFERROR(J66/J67-1,"")</f>
        <v>1.2450000000000072E-2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11"/>
      <c r="H67" s="10"/>
      <c r="I67" s="10">
        <f t="shared" ref="I67:I98" si="11">IF(H67&lt;&gt;"",H67,I66/(1+IF(G66="",0,G66)))</f>
        <v>18254</v>
      </c>
      <c r="J67" s="10">
        <f t="shared" si="9"/>
        <v>12666450600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5">
        <v>9164021</v>
      </c>
      <c r="G2" s="11"/>
      <c r="H2" s="10"/>
      <c r="I2" s="10">
        <f>IF(H2&lt;&gt;"",H2,6429)</f>
        <v>6429</v>
      </c>
      <c r="J2" s="10">
        <f t="shared" ref="J2:J33" si="3">IF(I2="","",I2*C2)</f>
        <v>58919378217.772491</v>
      </c>
      <c r="K2" s="11">
        <f t="shared" ref="K2:K33" si="4">IFERROR(J2/J3-1,"")</f>
        <v>1.7320000000000002E-2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11"/>
      <c r="H3" s="10"/>
      <c r="I3" s="10">
        <f t="shared" ref="I3:I34" si="5">IF(H3&lt;&gt;"",H3,I2/(1+IF(G2="",0,G2)))</f>
        <v>6429</v>
      </c>
      <c r="J3" s="10">
        <f t="shared" si="3"/>
        <v>57916268448.248817</v>
      </c>
      <c r="K3" s="11">
        <f t="shared" si="4"/>
        <v>1.819000000000015E-2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11"/>
      <c r="H4" s="10"/>
      <c r="I4" s="10">
        <f t="shared" si="5"/>
        <v>6429</v>
      </c>
      <c r="J4" s="10">
        <f t="shared" si="3"/>
        <v>56881592284.592079</v>
      </c>
      <c r="K4" s="11">
        <f t="shared" si="4"/>
        <v>1.8939999999999735E-2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11"/>
      <c r="H5" s="10"/>
      <c r="I5" s="10">
        <f t="shared" si="5"/>
        <v>6429</v>
      </c>
      <c r="J5" s="10">
        <f t="shared" si="3"/>
        <v>55824280413.55928</v>
      </c>
      <c r="K5" s="11">
        <f t="shared" si="4"/>
        <v>1.984000000000008E-2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11"/>
      <c r="H6" s="10"/>
      <c r="I6" s="10">
        <f t="shared" si="5"/>
        <v>6429</v>
      </c>
      <c r="J6" s="10">
        <f t="shared" si="3"/>
        <v>54738273075.736656</v>
      </c>
      <c r="K6" s="11">
        <f t="shared" si="4"/>
        <v>2.0580000000000043E-2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11"/>
      <c r="H7" s="10"/>
      <c r="I7" s="10">
        <f t="shared" si="5"/>
        <v>6429</v>
      </c>
      <c r="J7" s="10">
        <f t="shared" si="3"/>
        <v>53634475568.536179</v>
      </c>
      <c r="K7" s="11">
        <f t="shared" si="4"/>
        <v>2.130999999999994E-2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11"/>
      <c r="H8" s="10"/>
      <c r="I8" s="10">
        <f t="shared" si="5"/>
        <v>6429</v>
      </c>
      <c r="J8" s="10">
        <f t="shared" si="3"/>
        <v>52515372970.534103</v>
      </c>
      <c r="K8" s="11">
        <f t="shared" si="4"/>
        <v>2.2620000000000307E-2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11"/>
      <c r="H9" s="10"/>
      <c r="I9" s="10">
        <f t="shared" si="5"/>
        <v>6429</v>
      </c>
      <c r="J9" s="10">
        <f t="shared" si="3"/>
        <v>51353751120.195274</v>
      </c>
      <c r="K9" s="11">
        <f t="shared" si="4"/>
        <v>2.3579999999999934E-2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11"/>
      <c r="H10" s="10"/>
      <c r="I10" s="10">
        <f t="shared" si="5"/>
        <v>6429</v>
      </c>
      <c r="J10" s="10">
        <f t="shared" si="3"/>
        <v>50170725414.911659</v>
      </c>
      <c r="K10" s="11">
        <f t="shared" si="4"/>
        <v>2.4099999999999788E-2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11"/>
      <c r="H11" s="10"/>
      <c r="I11" s="10">
        <f t="shared" si="5"/>
        <v>6429</v>
      </c>
      <c r="J11" s="10">
        <f t="shared" si="3"/>
        <v>48990064851.978973</v>
      </c>
      <c r="K11" s="11">
        <f t="shared" si="4"/>
        <v>2.4360000000000159E-2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11"/>
      <c r="H12" s="10"/>
      <c r="I12" s="10">
        <f t="shared" si="5"/>
        <v>6429</v>
      </c>
      <c r="J12" s="10">
        <f t="shared" si="3"/>
        <v>47825046714.025314</v>
      </c>
      <c r="K12" s="11">
        <f t="shared" si="4"/>
        <v>2.4520000000000097E-2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11"/>
      <c r="H13" s="10"/>
      <c r="I13" s="10">
        <f t="shared" si="5"/>
        <v>6429</v>
      </c>
      <c r="J13" s="10">
        <f t="shared" si="3"/>
        <v>46680442269.575325</v>
      </c>
      <c r="K13" s="11">
        <f t="shared" si="4"/>
        <v>2.4769999999999959E-2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11"/>
      <c r="H14" s="10"/>
      <c r="I14" s="10">
        <f t="shared" si="5"/>
        <v>6429</v>
      </c>
      <c r="J14" s="10">
        <f t="shared" si="3"/>
        <v>45552116347.64418</v>
      </c>
      <c r="K14" s="11">
        <f t="shared" si="4"/>
        <v>2.5199999999999889E-2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11"/>
      <c r="H15" s="10"/>
      <c r="I15" s="10">
        <f t="shared" si="5"/>
        <v>6429</v>
      </c>
      <c r="J15" s="10">
        <f t="shared" si="3"/>
        <v>44432419379.286171</v>
      </c>
      <c r="K15" s="11">
        <f t="shared" si="4"/>
        <v>2.6080000000000103E-2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11"/>
      <c r="H16" s="10"/>
      <c r="I16" s="10">
        <f t="shared" si="5"/>
        <v>6429</v>
      </c>
      <c r="J16" s="10">
        <f t="shared" si="3"/>
        <v>43303075178.627563</v>
      </c>
      <c r="K16" s="11">
        <f t="shared" si="4"/>
        <v>2.1750000000000158E-2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11"/>
      <c r="H17" s="10"/>
      <c r="I17" s="10">
        <f t="shared" si="5"/>
        <v>6429</v>
      </c>
      <c r="J17" s="10">
        <f t="shared" si="3"/>
        <v>42381282288.845177</v>
      </c>
      <c r="K17" s="11">
        <f t="shared" si="4"/>
        <v>1.0620000000000074E-2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11"/>
      <c r="H18" s="10"/>
      <c r="I18" s="10">
        <f t="shared" si="5"/>
        <v>6429</v>
      </c>
      <c r="J18" s="10">
        <f t="shared" si="3"/>
        <v>41935922788.82782</v>
      </c>
      <c r="K18" s="11">
        <f t="shared" si="4"/>
        <v>1.1399999999999855E-2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11"/>
      <c r="H19" s="10"/>
      <c r="I19" s="10">
        <f t="shared" si="5"/>
        <v>6429</v>
      </c>
      <c r="J19" s="10">
        <f t="shared" si="3"/>
        <v>41463241831.943665</v>
      </c>
      <c r="K19" s="11">
        <f t="shared" si="4"/>
        <v>1.248999999999989E-2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11"/>
      <c r="H20" s="10"/>
      <c r="I20" s="10">
        <f t="shared" si="5"/>
        <v>6429</v>
      </c>
      <c r="J20" s="10">
        <f t="shared" si="3"/>
        <v>40951754419.247269</v>
      </c>
      <c r="K20" s="11">
        <f t="shared" si="4"/>
        <v>1.3679999999999914E-2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11"/>
      <c r="H21" s="10"/>
      <c r="I21" s="10">
        <f t="shared" si="5"/>
        <v>6429</v>
      </c>
      <c r="J21" s="10">
        <f t="shared" si="3"/>
        <v>40399094802.351105</v>
      </c>
      <c r="K21" s="11">
        <f t="shared" si="4"/>
        <v>1.472999999999991E-2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11"/>
      <c r="H22" s="10"/>
      <c r="I22" s="10">
        <f t="shared" si="5"/>
        <v>6429</v>
      </c>
      <c r="J22" s="10">
        <f t="shared" si="3"/>
        <v>39812654402.994995</v>
      </c>
      <c r="K22" s="11">
        <f t="shared" si="4"/>
        <v>1.5689999999999982E-2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11"/>
      <c r="H23" s="10"/>
      <c r="I23" s="10">
        <f t="shared" si="5"/>
        <v>6429</v>
      </c>
      <c r="J23" s="10">
        <f t="shared" si="3"/>
        <v>39197643378.388084</v>
      </c>
      <c r="K23" s="11">
        <f t="shared" si="4"/>
        <v>1.6639999999999988E-2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11"/>
      <c r="H24" s="10"/>
      <c r="I24" s="10">
        <f t="shared" si="5"/>
        <v>6429</v>
      </c>
      <c r="J24" s="10">
        <f t="shared" si="3"/>
        <v>38556070367.473328</v>
      </c>
      <c r="K24" s="11">
        <f t="shared" si="4"/>
        <v>1.7800000000000038E-2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11"/>
      <c r="H25" s="10"/>
      <c r="I25" s="10">
        <f t="shared" si="5"/>
        <v>6429</v>
      </c>
      <c r="J25" s="10">
        <f t="shared" si="3"/>
        <v>37881774776.452469</v>
      </c>
      <c r="K25" s="11">
        <f t="shared" si="4"/>
        <v>1.8669999999999964E-2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11"/>
      <c r="H26" s="10"/>
      <c r="I26" s="10">
        <f t="shared" si="5"/>
        <v>6429</v>
      </c>
      <c r="J26" s="10">
        <f t="shared" si="3"/>
        <v>37187484441.921791</v>
      </c>
      <c r="K26" s="11">
        <f t="shared" si="4"/>
        <v>1.9369999999999887E-2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11"/>
      <c r="H27" s="10"/>
      <c r="I27" s="10">
        <f t="shared" si="5"/>
        <v>6429</v>
      </c>
      <c r="J27" s="10">
        <f t="shared" si="3"/>
        <v>36480850370.250053</v>
      </c>
      <c r="K27" s="11">
        <f t="shared" si="4"/>
        <v>2.4380000000000068E-2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11"/>
      <c r="H28" s="10"/>
      <c r="I28" s="10">
        <f t="shared" si="5"/>
        <v>6429</v>
      </c>
      <c r="J28" s="10">
        <f t="shared" si="3"/>
        <v>35612614820.916115</v>
      </c>
      <c r="K28" s="11">
        <f t="shared" si="4"/>
        <v>2.5039999999999729E-2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11"/>
      <c r="H29" s="10"/>
      <c r="I29" s="10">
        <f t="shared" si="5"/>
        <v>6429</v>
      </c>
      <c r="J29" s="10">
        <f t="shared" si="3"/>
        <v>34742658648.36116</v>
      </c>
      <c r="K29" s="11">
        <f t="shared" si="4"/>
        <v>2.6310000000000278E-2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11"/>
      <c r="H30" s="10"/>
      <c r="I30" s="10">
        <f t="shared" si="5"/>
        <v>6429</v>
      </c>
      <c r="J30" s="10">
        <f t="shared" si="3"/>
        <v>33852012207.189983</v>
      </c>
      <c r="K30" s="11">
        <f t="shared" si="4"/>
        <v>2.5989999999999958E-2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11"/>
      <c r="H31" s="10"/>
      <c r="I31" s="10">
        <f t="shared" si="5"/>
        <v>6429</v>
      </c>
      <c r="J31" s="10">
        <f t="shared" si="3"/>
        <v>32994485528.309227</v>
      </c>
      <c r="K31" s="11">
        <f t="shared" si="4"/>
        <v>2.3189999999999822E-2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11"/>
      <c r="H32" s="10"/>
      <c r="I32" s="10">
        <f t="shared" si="5"/>
        <v>6429</v>
      </c>
      <c r="J32" s="10">
        <f t="shared" si="3"/>
        <v>32246684905.354069</v>
      </c>
      <c r="K32" s="11">
        <f t="shared" si="4"/>
        <v>2.2140000000000049E-2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11"/>
      <c r="H33" s="10"/>
      <c r="I33" s="10">
        <f t="shared" si="5"/>
        <v>6429</v>
      </c>
      <c r="J33" s="10">
        <f t="shared" si="3"/>
        <v>31548207589.326382</v>
      </c>
      <c r="K33" s="11">
        <f t="shared" si="4"/>
        <v>1.9949999999999912E-2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11"/>
      <c r="H34" s="10"/>
      <c r="I34" s="10">
        <f t="shared" si="5"/>
        <v>6429</v>
      </c>
      <c r="J34" s="10">
        <f t="shared" ref="J34:J65" si="6">IF(I34="","",I34*C34)</f>
        <v>30931131515.590355</v>
      </c>
      <c r="K34" s="11">
        <f t="shared" ref="K34:K65" si="7">IFERROR(J34/J35-1,"")</f>
        <v>1.8250000000000099E-2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11"/>
      <c r="H35" s="10"/>
      <c r="I35" s="10">
        <f t="shared" ref="I35:I66" si="8">IF(H35&lt;&gt;"",H35,I34/(1+IF(G34="",0,G34)))</f>
        <v>6429</v>
      </c>
      <c r="J35" s="10">
        <f t="shared" si="6"/>
        <v>30376755723.634029</v>
      </c>
      <c r="K35" s="11">
        <f t="shared" si="7"/>
        <v>1.794999999999991E-2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11"/>
      <c r="H36" s="10"/>
      <c r="I36" s="10">
        <f t="shared" si="8"/>
        <v>6429</v>
      </c>
      <c r="J36" s="10">
        <f t="shared" si="6"/>
        <v>29841107837.942955</v>
      </c>
      <c r="K36" s="11">
        <f t="shared" si="7"/>
        <v>1.9339999999999913E-2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11"/>
      <c r="H37" s="10"/>
      <c r="I37" s="10">
        <f t="shared" si="8"/>
        <v>6429</v>
      </c>
      <c r="J37" s="10">
        <f t="shared" si="6"/>
        <v>29274930678.618473</v>
      </c>
      <c r="K37" s="11">
        <f t="shared" si="7"/>
        <v>2.2289999999999921E-2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11"/>
      <c r="H38" s="10"/>
      <c r="I38" s="10">
        <f t="shared" si="8"/>
        <v>6429</v>
      </c>
      <c r="J38" s="10">
        <f t="shared" si="6"/>
        <v>28636620409.686562</v>
      </c>
      <c r="K38" s="11">
        <f t="shared" si="7"/>
        <v>2.4799999999999933E-2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11"/>
      <c r="H39" s="10"/>
      <c r="I39" s="10">
        <f t="shared" si="8"/>
        <v>6429</v>
      </c>
      <c r="J39" s="10">
        <f t="shared" si="6"/>
        <v>27943618666.751137</v>
      </c>
      <c r="K39" s="11">
        <f t="shared" si="7"/>
        <v>2.6980000000000004E-2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11"/>
      <c r="H40" s="10"/>
      <c r="I40" s="10">
        <f t="shared" si="8"/>
        <v>6429</v>
      </c>
      <c r="J40" s="10">
        <f t="shared" si="6"/>
        <v>27209506189.751637</v>
      </c>
      <c r="K40" s="11">
        <f t="shared" si="7"/>
        <v>2.6899999999999702E-2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11"/>
      <c r="H41" s="10"/>
      <c r="I41" s="10">
        <f t="shared" si="8"/>
        <v>6429</v>
      </c>
      <c r="J41" s="10">
        <f t="shared" si="6"/>
        <v>26496743782.015427</v>
      </c>
      <c r="K41" s="11">
        <f t="shared" si="7"/>
        <v>2.5879999999999903E-2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11"/>
      <c r="H42" s="10"/>
      <c r="I42" s="10">
        <f t="shared" si="8"/>
        <v>6429</v>
      </c>
      <c r="J42" s="10">
        <f t="shared" si="6"/>
        <v>25828307191.889332</v>
      </c>
      <c r="K42" s="11">
        <f t="shared" si="7"/>
        <v>2.4540000000000006E-2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11"/>
      <c r="H43" s="10"/>
      <c r="I43" s="10">
        <f t="shared" si="8"/>
        <v>6429</v>
      </c>
      <c r="J43" s="10">
        <f t="shared" si="6"/>
        <v>25209662084.339638</v>
      </c>
      <c r="K43" s="11">
        <f t="shared" si="7"/>
        <v>2.2960000000000091E-2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11"/>
      <c r="H44" s="10"/>
      <c r="I44" s="10">
        <f t="shared" si="8"/>
        <v>6429</v>
      </c>
      <c r="J44" s="10">
        <f t="shared" si="6"/>
        <v>24643839528.759323</v>
      </c>
      <c r="K44" s="11">
        <f t="shared" si="7"/>
        <v>2.1790000000000198E-2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11"/>
      <c r="H45" s="10"/>
      <c r="I45" s="10">
        <f t="shared" si="8"/>
        <v>6429</v>
      </c>
      <c r="J45" s="10">
        <f t="shared" si="6"/>
        <v>24118301733.975983</v>
      </c>
      <c r="K45" s="11">
        <f t="shared" si="7"/>
        <v>2.1099999999999897E-2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11"/>
      <c r="H46" s="10"/>
      <c r="I46" s="10">
        <f t="shared" si="8"/>
        <v>6429</v>
      </c>
      <c r="J46" s="10">
        <f t="shared" si="6"/>
        <v>23619921392.592289</v>
      </c>
      <c r="K46" s="11">
        <f t="shared" si="7"/>
        <v>2.1579999999999933E-2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11"/>
      <c r="H47" s="10"/>
      <c r="I47" s="10">
        <f t="shared" si="8"/>
        <v>6429</v>
      </c>
      <c r="J47" s="10">
        <f t="shared" si="6"/>
        <v>23120970841.825691</v>
      </c>
      <c r="K47" s="11">
        <f t="shared" si="7"/>
        <v>2.1840000000000082E-2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11"/>
      <c r="H48" s="10"/>
      <c r="I48" s="10">
        <f t="shared" si="8"/>
        <v>6429</v>
      </c>
      <c r="J48" s="10">
        <f t="shared" si="6"/>
        <v>22626801497.128407</v>
      </c>
      <c r="K48" s="11">
        <f t="shared" si="7"/>
        <v>1.8299999999999983E-2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11"/>
      <c r="H49" s="10"/>
      <c r="I49" s="10">
        <f t="shared" si="8"/>
        <v>6429</v>
      </c>
      <c r="J49" s="10">
        <f t="shared" si="6"/>
        <v>22220172343.246986</v>
      </c>
      <c r="K49" s="11">
        <f t="shared" si="7"/>
        <v>1.6639999999999988E-2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11"/>
      <c r="H50" s="10"/>
      <c r="I50" s="10">
        <f t="shared" si="8"/>
        <v>6429</v>
      </c>
      <c r="J50" s="10">
        <f t="shared" si="6"/>
        <v>21856480507.600513</v>
      </c>
      <c r="K50" s="11">
        <f t="shared" si="7"/>
        <v>1.4869999999999939E-2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11"/>
      <c r="H51" s="10"/>
      <c r="I51" s="10">
        <f t="shared" si="8"/>
        <v>6429</v>
      </c>
      <c r="J51" s="10">
        <f t="shared" si="6"/>
        <v>21536236668.342266</v>
      </c>
      <c r="K51" s="11">
        <f t="shared" si="7"/>
        <v>1.3050000000000006E-2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11"/>
      <c r="H52" s="10"/>
      <c r="I52" s="10">
        <f t="shared" si="8"/>
        <v>6429</v>
      </c>
      <c r="J52" s="10">
        <f t="shared" si="6"/>
        <v>21258809208.175575</v>
      </c>
      <c r="K52" s="11">
        <f t="shared" si="7"/>
        <v>1.1770000000000058E-2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11"/>
      <c r="H53" s="10"/>
      <c r="I53" s="10">
        <f t="shared" si="8"/>
        <v>6429</v>
      </c>
      <c r="J53" s="10">
        <f t="shared" si="6"/>
        <v>21011503808.35128</v>
      </c>
      <c r="K53" s="11">
        <f t="shared" si="7"/>
        <v>1.1079999999999979E-2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11"/>
      <c r="H54" s="10"/>
      <c r="I54" s="10">
        <f t="shared" si="8"/>
        <v>6429</v>
      </c>
      <c r="J54" s="10">
        <f t="shared" si="6"/>
        <v>20781247585.10828</v>
      </c>
      <c r="K54" s="11">
        <f t="shared" si="7"/>
        <v>1.0310000000000041E-2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11"/>
      <c r="H55" s="10"/>
      <c r="I55" s="10">
        <f t="shared" si="8"/>
        <v>6429</v>
      </c>
      <c r="J55" s="10">
        <f t="shared" si="6"/>
        <v>20569179346.050499</v>
      </c>
      <c r="K55" s="11">
        <f t="shared" si="7"/>
        <v>1.0009999999999852E-2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11"/>
      <c r="H56" s="10"/>
      <c r="I56" s="10">
        <f t="shared" si="8"/>
        <v>6429</v>
      </c>
      <c r="J56" s="10">
        <f t="shared" si="6"/>
        <v>20365322468.144375</v>
      </c>
      <c r="K56" s="11">
        <f t="shared" si="7"/>
        <v>1.0140000000000038E-2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11"/>
      <c r="H57" s="10"/>
      <c r="I57" s="10">
        <f t="shared" si="8"/>
        <v>6429</v>
      </c>
      <c r="J57" s="10">
        <f t="shared" si="6"/>
        <v>20160891033.069054</v>
      </c>
      <c r="K57" s="11">
        <f t="shared" si="7"/>
        <v>1.0170000000000012E-2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11"/>
      <c r="H58" s="10"/>
      <c r="I58" s="10">
        <f t="shared" si="8"/>
        <v>6429</v>
      </c>
      <c r="J58" s="10">
        <f t="shared" si="6"/>
        <v>19957918996.870876</v>
      </c>
      <c r="K58" s="11">
        <f t="shared" si="7"/>
        <v>1.1149999999999993E-2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11"/>
      <c r="H59" s="10"/>
      <c r="I59" s="10">
        <f t="shared" si="8"/>
        <v>6429</v>
      </c>
      <c r="J59" s="10">
        <f t="shared" si="6"/>
        <v>19737842057.925011</v>
      </c>
      <c r="K59" s="11">
        <f t="shared" si="7"/>
        <v>1.0769999999999724E-2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11"/>
      <c r="H60" s="10"/>
      <c r="I60" s="10">
        <f t="shared" si="8"/>
        <v>6429</v>
      </c>
      <c r="J60" s="10">
        <f t="shared" si="6"/>
        <v>19527530553.859943</v>
      </c>
      <c r="K60" s="11">
        <f t="shared" si="7"/>
        <v>9.9599999999999689E-3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11"/>
      <c r="H61" s="10"/>
      <c r="I61" s="10">
        <f t="shared" si="8"/>
        <v>6429</v>
      </c>
      <c r="J61" s="10">
        <f t="shared" si="6"/>
        <v>19334954407.956696</v>
      </c>
      <c r="K61" s="11">
        <f t="shared" si="7"/>
        <v>9.7400000000000819E-3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11"/>
      <c r="H62" s="10"/>
      <c r="I62" s="10">
        <f t="shared" si="8"/>
        <v>6429</v>
      </c>
      <c r="J62" s="10">
        <f t="shared" si="6"/>
        <v>19148448519.377953</v>
      </c>
      <c r="K62" s="11">
        <f t="shared" si="7"/>
        <v>9.3499999999999694E-3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11"/>
      <c r="H63" s="10"/>
      <c r="I63" s="10">
        <f t="shared" si="8"/>
        <v>6429</v>
      </c>
      <c r="J63" s="10">
        <f t="shared" si="6"/>
        <v>18971069024.003521</v>
      </c>
      <c r="K63" s="11">
        <f t="shared" si="7"/>
        <v>9.9100000000000854E-3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11"/>
      <c r="H64" s="10"/>
      <c r="I64" s="10">
        <f t="shared" si="8"/>
        <v>6429</v>
      </c>
      <c r="J64" s="10">
        <f t="shared" si="6"/>
        <v>18784910560.350445</v>
      </c>
      <c r="K64" s="11">
        <f t="shared" si="7"/>
        <v>1.0829999999999895E-2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11"/>
      <c r="H65" s="10"/>
      <c r="I65" s="10">
        <f t="shared" si="8"/>
        <v>6429</v>
      </c>
      <c r="J65" s="10">
        <f t="shared" si="6"/>
        <v>18583649634.805504</v>
      </c>
      <c r="K65" s="11">
        <f t="shared" si="7"/>
        <v>1.2490000000000112E-2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6">
        <f>SUM(F2)</f>
        <v>9164021</v>
      </c>
      <c r="G66" s="11"/>
      <c r="H66" s="10"/>
      <c r="I66" s="10">
        <f t="shared" si="8"/>
        <v>6429</v>
      </c>
      <c r="J66" s="10">
        <f t="shared" ref="J66:J97" si="9">IF(I66="","",I66*C66)</f>
        <v>18354403139.591999</v>
      </c>
      <c r="K66" s="11">
        <f t="shared" ref="K66:K97" si="10">IFERROR(J66/J67-1,"")</f>
        <v>1.4259999999999939E-2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11"/>
      <c r="H67" s="10"/>
      <c r="I67" s="10">
        <f t="shared" ref="I67:I98" si="11">IF(H67&lt;&gt;"",H67,I66/(1+IF(G66="",0,G66)))</f>
        <v>6429</v>
      </c>
      <c r="J67" s="10">
        <f t="shared" si="9"/>
        <v>18096349200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5">
        <v>6524522</v>
      </c>
      <c r="G2" s="11"/>
      <c r="H2" s="10"/>
      <c r="I2" s="10">
        <f>IF(H2&lt;&gt;"",H2,24722)</f>
        <v>24722</v>
      </c>
      <c r="J2" s="10">
        <f t="shared" ref="J2:J33" si="3">IF(I2="","",I2*C2)</f>
        <v>161294104220.59381</v>
      </c>
      <c r="K2" s="11">
        <f t="shared" ref="K2:K33" si="4">IFERROR(J2/J3-1,"")</f>
        <v>-2.0000000000131024E-5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11"/>
      <c r="H3" s="10"/>
      <c r="I3" s="10">
        <f t="shared" ref="I3:I34" si="5">IF(H3&lt;&gt;"",H3,I2/(1+IF(G2="",0,G2)))</f>
        <v>24722</v>
      </c>
      <c r="J3" s="10">
        <f t="shared" si="3"/>
        <v>161297330167.19717</v>
      </c>
      <c r="K3" s="11">
        <f t="shared" si="4"/>
        <v>8.0000000000080007E-5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11"/>
      <c r="H4" s="10"/>
      <c r="I4" s="10">
        <f t="shared" si="5"/>
        <v>24722</v>
      </c>
      <c r="J4" s="10">
        <f t="shared" si="3"/>
        <v>161284427413.00412</v>
      </c>
      <c r="K4" s="11">
        <f t="shared" si="4"/>
        <v>2.20000000000109E-4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11"/>
      <c r="H5" s="10"/>
      <c r="I5" s="10">
        <f t="shared" si="5"/>
        <v>24722</v>
      </c>
      <c r="J5" s="10">
        <f t="shared" si="3"/>
        <v>161248952643.42255</v>
      </c>
      <c r="K5" s="11">
        <f t="shared" si="4"/>
        <v>3.6999999999998145E-4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11"/>
      <c r="H6" s="10"/>
      <c r="I6" s="10">
        <f t="shared" si="5"/>
        <v>24722</v>
      </c>
      <c r="J6" s="10">
        <f t="shared" si="3"/>
        <v>161189312597.76138</v>
      </c>
      <c r="K6" s="11">
        <f t="shared" si="4"/>
        <v>1.6799999999999038E-3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11"/>
      <c r="H7" s="10"/>
      <c r="I7" s="10">
        <f t="shared" si="5"/>
        <v>24722</v>
      </c>
      <c r="J7" s="10">
        <f t="shared" si="3"/>
        <v>160918968730.29449</v>
      </c>
      <c r="K7" s="11">
        <f t="shared" si="4"/>
        <v>4.2599999999999305E-3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11"/>
      <c r="H8" s="10"/>
      <c r="I8" s="10">
        <f t="shared" si="5"/>
        <v>24722</v>
      </c>
      <c r="J8" s="10">
        <f t="shared" si="3"/>
        <v>160236361828.90338</v>
      </c>
      <c r="K8" s="11">
        <f t="shared" si="4"/>
        <v>6.2999999999990841E-4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11"/>
      <c r="H9" s="10"/>
      <c r="I9" s="10">
        <f t="shared" si="5"/>
        <v>24722</v>
      </c>
      <c r="J9" s="10">
        <f t="shared" si="3"/>
        <v>160135476478.7218</v>
      </c>
      <c r="K9" s="11">
        <f t="shared" si="4"/>
        <v>-2.9999999999985594E-4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11"/>
      <c r="H10" s="10"/>
      <c r="I10" s="10">
        <f t="shared" si="5"/>
        <v>24722</v>
      </c>
      <c r="J10" s="10">
        <f t="shared" si="3"/>
        <v>160183531538.18323</v>
      </c>
      <c r="K10" s="11">
        <f t="shared" si="4"/>
        <v>-9.9000000000015742E-4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11"/>
      <c r="H11" s="10"/>
      <c r="I11" s="10">
        <f t="shared" si="5"/>
        <v>24722</v>
      </c>
      <c r="J11" s="10">
        <f t="shared" si="3"/>
        <v>160342270385.86526</v>
      </c>
      <c r="K11" s="11">
        <f t="shared" si="4"/>
        <v>-1.6799999999997928E-3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11"/>
      <c r="H12" s="10"/>
      <c r="I12" s="10">
        <f t="shared" si="5"/>
        <v>24722</v>
      </c>
      <c r="J12" s="10">
        <f t="shared" si="3"/>
        <v>160612098711.7009</v>
      </c>
      <c r="K12" s="11">
        <f t="shared" si="4"/>
        <v>-1.1100000000001664E-3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11"/>
      <c r="H13" s="10"/>
      <c r="I13" s="10">
        <f t="shared" si="5"/>
        <v>24722</v>
      </c>
      <c r="J13" s="10">
        <f t="shared" si="3"/>
        <v>160790576251.3399</v>
      </c>
      <c r="K13" s="11">
        <f t="shared" si="4"/>
        <v>-1.1499999999999844E-3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11"/>
      <c r="H14" s="10"/>
      <c r="I14" s="10">
        <f t="shared" si="5"/>
        <v>24722</v>
      </c>
      <c r="J14" s="10">
        <f t="shared" si="3"/>
        <v>160975698304.38995</v>
      </c>
      <c r="K14" s="11">
        <f t="shared" si="4"/>
        <v>-7.299999999998974E-4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11"/>
      <c r="H15" s="10"/>
      <c r="I15" s="10">
        <f t="shared" si="5"/>
        <v>24722</v>
      </c>
      <c r="J15" s="10">
        <f t="shared" si="3"/>
        <v>161093296410.76981</v>
      </c>
      <c r="K15" s="11">
        <f t="shared" si="4"/>
        <v>-6.199999999998429E-4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11"/>
      <c r="H16" s="10"/>
      <c r="I16" s="10">
        <f t="shared" si="5"/>
        <v>24722</v>
      </c>
      <c r="J16" s="10">
        <f t="shared" si="3"/>
        <v>161193236217.22446</v>
      </c>
      <c r="K16" s="11">
        <f t="shared" si="4"/>
        <v>-3.1999999999998696E-4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11"/>
      <c r="H17" s="10"/>
      <c r="I17" s="10">
        <f t="shared" si="5"/>
        <v>24722</v>
      </c>
      <c r="J17" s="10">
        <f t="shared" si="3"/>
        <v>161244834564.28503</v>
      </c>
      <c r="K17" s="11">
        <f t="shared" si="4"/>
        <v>-2.40000000000129E-4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11"/>
      <c r="H18" s="10"/>
      <c r="I18" s="10">
        <f t="shared" si="5"/>
        <v>24722</v>
      </c>
      <c r="J18" s="10">
        <f t="shared" si="3"/>
        <v>161283542614.51254</v>
      </c>
      <c r="K18" s="11">
        <f t="shared" si="4"/>
        <v>-1.2999999999998568E-3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11"/>
      <c r="H19" s="10"/>
      <c r="I19" s="10">
        <f t="shared" si="5"/>
        <v>24722</v>
      </c>
      <c r="J19" s="10">
        <f t="shared" si="3"/>
        <v>161493484143.8996</v>
      </c>
      <c r="K19" s="11">
        <f t="shared" si="4"/>
        <v>-7.2000000000016495E-4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11"/>
      <c r="H20" s="10"/>
      <c r="I20" s="10">
        <f t="shared" si="5"/>
        <v>24722</v>
      </c>
      <c r="J20" s="10">
        <f t="shared" si="3"/>
        <v>161609843231.02597</v>
      </c>
      <c r="K20" s="11">
        <f t="shared" si="4"/>
        <v>-4.1999999999997595E-4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11"/>
      <c r="H21" s="10"/>
      <c r="I21" s="10">
        <f t="shared" si="5"/>
        <v>24722</v>
      </c>
      <c r="J21" s="10">
        <f t="shared" si="3"/>
        <v>161677747885.13773</v>
      </c>
      <c r="K21" s="11">
        <f t="shared" si="4"/>
        <v>-1.3999999999991797E-4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11"/>
      <c r="H22" s="10"/>
      <c r="I22" s="10">
        <f t="shared" si="5"/>
        <v>24722</v>
      </c>
      <c r="J22" s="10">
        <f t="shared" si="3"/>
        <v>161700385939.16919</v>
      </c>
      <c r="K22" s="11">
        <f t="shared" si="4"/>
        <v>-1.4000000000002899E-4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11"/>
      <c r="H23" s="10"/>
      <c r="I23" s="10">
        <f t="shared" si="5"/>
        <v>24722</v>
      </c>
      <c r="J23" s="10">
        <f t="shared" si="3"/>
        <v>161723027162.97202</v>
      </c>
      <c r="K23" s="11">
        <f t="shared" si="4"/>
        <v>1.2099999999997113E-3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11"/>
      <c r="H24" s="10"/>
      <c r="I24" s="10">
        <f t="shared" si="5"/>
        <v>24722</v>
      </c>
      <c r="J24" s="10">
        <f t="shared" si="3"/>
        <v>161527578792.63297</v>
      </c>
      <c r="K24" s="11">
        <f t="shared" si="4"/>
        <v>1.3700000000000934E-3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11"/>
      <c r="H25" s="10"/>
      <c r="I25" s="10">
        <f t="shared" si="5"/>
        <v>24722</v>
      </c>
      <c r="J25" s="10">
        <f t="shared" si="3"/>
        <v>161306588766.0235</v>
      </c>
      <c r="K25" s="11">
        <f t="shared" si="4"/>
        <v>1.8299999999999983E-3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11"/>
      <c r="H26" s="10"/>
      <c r="I26" s="10">
        <f t="shared" si="5"/>
        <v>24722</v>
      </c>
      <c r="J26" s="10">
        <f t="shared" si="3"/>
        <v>161011936921.45721</v>
      </c>
      <c r="K26" s="11">
        <f t="shared" si="4"/>
        <v>2.3999999999999577E-3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11"/>
      <c r="H27" s="10"/>
      <c r="I27" s="10">
        <f t="shared" si="5"/>
        <v>24722</v>
      </c>
      <c r="J27" s="10">
        <f t="shared" si="3"/>
        <v>160626433481.10257</v>
      </c>
      <c r="K27" s="11">
        <f t="shared" si="4"/>
        <v>2.7200000000000557E-3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11"/>
      <c r="H28" s="10"/>
      <c r="I28" s="10">
        <f t="shared" si="5"/>
        <v>24722</v>
      </c>
      <c r="J28" s="10">
        <f t="shared" si="3"/>
        <v>160190714737.01788</v>
      </c>
      <c r="K28" s="11">
        <f t="shared" si="4"/>
        <v>3.4600000000002407E-3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11"/>
      <c r="H29" s="10"/>
      <c r="I29" s="10">
        <f t="shared" si="5"/>
        <v>24722</v>
      </c>
      <c r="J29" s="10">
        <f t="shared" si="3"/>
        <v>159638365990.69006</v>
      </c>
      <c r="K29" s="11">
        <f t="shared" si="4"/>
        <v>2.8900000000000592E-3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11"/>
      <c r="H30" s="10"/>
      <c r="I30" s="10">
        <f t="shared" si="5"/>
        <v>24722</v>
      </c>
      <c r="J30" s="10">
        <f t="shared" si="3"/>
        <v>159178340586.39539</v>
      </c>
      <c r="K30" s="11">
        <f t="shared" si="4"/>
        <v>5.1799999999999624E-3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11"/>
      <c r="H31" s="10"/>
      <c r="I31" s="10">
        <f t="shared" si="5"/>
        <v>24722</v>
      </c>
      <c r="J31" s="10">
        <f t="shared" si="3"/>
        <v>158358045908.5889</v>
      </c>
      <c r="K31" s="11">
        <f t="shared" si="4"/>
        <v>6.1700000000000088E-3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11"/>
      <c r="H32" s="10"/>
      <c r="I32" s="10">
        <f t="shared" si="5"/>
        <v>24722</v>
      </c>
      <c r="J32" s="10">
        <f t="shared" si="3"/>
        <v>157386968314.09094</v>
      </c>
      <c r="K32" s="11">
        <f t="shared" si="4"/>
        <v>7.3199999999999932E-3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11"/>
      <c r="H33" s="10"/>
      <c r="I33" s="10">
        <f t="shared" si="5"/>
        <v>24722</v>
      </c>
      <c r="J33" s="10">
        <f t="shared" si="3"/>
        <v>156243267595.2934</v>
      </c>
      <c r="K33" s="11">
        <f t="shared" si="4"/>
        <v>8.6100000000002286E-3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11"/>
      <c r="H34" s="10"/>
      <c r="I34" s="10">
        <f t="shared" si="5"/>
        <v>24722</v>
      </c>
      <c r="J34" s="10">
        <f t="shared" ref="J34:J65" si="6">IF(I34="","",I34*C34)</f>
        <v>154909496827.60767</v>
      </c>
      <c r="K34" s="11">
        <f t="shared" ref="K34:K65" si="7">IFERROR(J34/J35-1,"")</f>
        <v>9.4799999999999329E-3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11"/>
      <c r="H35" s="10"/>
      <c r="I35" s="10">
        <f t="shared" ref="I35:I66" si="8">IF(H35&lt;&gt;"",H35,I34/(1+IF(G34="",0,G34)))</f>
        <v>24722</v>
      </c>
      <c r="J35" s="10">
        <f t="shared" si="6"/>
        <v>153454745837.07224</v>
      </c>
      <c r="K35" s="11">
        <f t="shared" si="7"/>
        <v>9.220000000000228E-3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11"/>
      <c r="H36" s="10"/>
      <c r="I36" s="10">
        <f t="shared" si="8"/>
        <v>24722</v>
      </c>
      <c r="J36" s="10">
        <f t="shared" si="6"/>
        <v>152052818847.30011</v>
      </c>
      <c r="K36" s="11">
        <f t="shared" si="7"/>
        <v>9.220000000000228E-3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11"/>
      <c r="H37" s="10"/>
      <c r="I37" s="10">
        <f t="shared" si="8"/>
        <v>24722</v>
      </c>
      <c r="J37" s="10">
        <f t="shared" si="6"/>
        <v>150663699537.56375</v>
      </c>
      <c r="K37" s="11">
        <f t="shared" si="7"/>
        <v>8.9300000000001045E-3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11"/>
      <c r="H38" s="10"/>
      <c r="I38" s="10">
        <f t="shared" si="8"/>
        <v>24722</v>
      </c>
      <c r="J38" s="10">
        <f t="shared" si="6"/>
        <v>149330181021.04581</v>
      </c>
      <c r="K38" s="11">
        <f t="shared" si="7"/>
        <v>9.6099999999998964E-3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11"/>
      <c r="H39" s="10"/>
      <c r="I39" s="10">
        <f t="shared" si="8"/>
        <v>24722</v>
      </c>
      <c r="J39" s="10">
        <f t="shared" si="6"/>
        <v>147908777667.65961</v>
      </c>
      <c r="K39" s="11">
        <f t="shared" si="7"/>
        <v>8.2899999999996865E-3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11"/>
      <c r="H40" s="10"/>
      <c r="I40" s="10">
        <f t="shared" si="8"/>
        <v>24722</v>
      </c>
      <c r="J40" s="10">
        <f t="shared" si="6"/>
        <v>146692695224.25061</v>
      </c>
      <c r="K40" s="11">
        <f t="shared" si="7"/>
        <v>9.2900000000000205E-3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11"/>
      <c r="H41" s="10"/>
      <c r="I41" s="10">
        <f t="shared" si="8"/>
        <v>24722</v>
      </c>
      <c r="J41" s="10">
        <f t="shared" si="6"/>
        <v>145342463736.14185</v>
      </c>
      <c r="K41" s="11">
        <f t="shared" si="7"/>
        <v>9.9800000000000999E-3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11"/>
      <c r="H42" s="10"/>
      <c r="I42" s="10">
        <f t="shared" si="8"/>
        <v>24722</v>
      </c>
      <c r="J42" s="10">
        <f t="shared" si="6"/>
        <v>143906279071.01312</v>
      </c>
      <c r="K42" s="11">
        <f t="shared" si="7"/>
        <v>9.4899999999999984E-3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11"/>
      <c r="H43" s="10"/>
      <c r="I43" s="10">
        <f t="shared" si="8"/>
        <v>24722</v>
      </c>
      <c r="J43" s="10">
        <f t="shared" si="6"/>
        <v>142553446860.30878</v>
      </c>
      <c r="K43" s="11">
        <f t="shared" si="7"/>
        <v>9.5599999999997909E-3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11"/>
      <c r="H44" s="10"/>
      <c r="I44" s="10">
        <f t="shared" si="8"/>
        <v>24722</v>
      </c>
      <c r="J44" s="10">
        <f t="shared" si="6"/>
        <v>141203541008.26974</v>
      </c>
      <c r="K44" s="11">
        <f t="shared" si="7"/>
        <v>8.90000000000013E-3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11"/>
      <c r="H45" s="10"/>
      <c r="I45" s="10">
        <f t="shared" si="8"/>
        <v>24722</v>
      </c>
      <c r="J45" s="10">
        <f t="shared" si="6"/>
        <v>139957915559.78763</v>
      </c>
      <c r="K45" s="11">
        <f t="shared" si="7"/>
        <v>8.6500000000000465E-3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11"/>
      <c r="H46" s="10"/>
      <c r="I46" s="10">
        <f t="shared" si="8"/>
        <v>24722</v>
      </c>
      <c r="J46" s="10">
        <f t="shared" si="6"/>
        <v>138757661785.34439</v>
      </c>
      <c r="K46" s="11">
        <f t="shared" si="7"/>
        <v>7.7999999999998071E-3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11"/>
      <c r="H47" s="10"/>
      <c r="I47" s="10">
        <f t="shared" si="8"/>
        <v>24722</v>
      </c>
      <c r="J47" s="10">
        <f t="shared" si="6"/>
        <v>137683728701.47293</v>
      </c>
      <c r="K47" s="11">
        <f t="shared" si="7"/>
        <v>6.1999999999999833E-3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11"/>
      <c r="H48" s="10"/>
      <c r="I48" s="10">
        <f t="shared" si="8"/>
        <v>24722</v>
      </c>
      <c r="J48" s="10">
        <f t="shared" si="6"/>
        <v>136835349534.35989</v>
      </c>
      <c r="K48" s="11">
        <f t="shared" si="7"/>
        <v>7.3600000000002552E-3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11"/>
      <c r="H49" s="10"/>
      <c r="I49" s="10">
        <f t="shared" si="8"/>
        <v>24722</v>
      </c>
      <c r="J49" s="10">
        <f t="shared" si="6"/>
        <v>135835599521.87885</v>
      </c>
      <c r="K49" s="11">
        <f t="shared" si="7"/>
        <v>7.8199999999999381E-3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11"/>
      <c r="H50" s="10"/>
      <c r="I50" s="10">
        <f t="shared" si="8"/>
        <v>24722</v>
      </c>
      <c r="J50" s="10">
        <f t="shared" si="6"/>
        <v>134781607352.38322</v>
      </c>
      <c r="K50" s="11">
        <f t="shared" si="7"/>
        <v>7.8199999999999381E-3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11"/>
      <c r="H51" s="10"/>
      <c r="I51" s="10">
        <f t="shared" si="8"/>
        <v>24722</v>
      </c>
      <c r="J51" s="10">
        <f t="shared" si="6"/>
        <v>133735793447.62282</v>
      </c>
      <c r="K51" s="11">
        <f t="shared" si="7"/>
        <v>8.6100000000000065E-3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11"/>
      <c r="H52" s="10"/>
      <c r="I52" s="10">
        <f t="shared" si="8"/>
        <v>24722</v>
      </c>
      <c r="J52" s="10">
        <f t="shared" si="6"/>
        <v>132594157749.40048</v>
      </c>
      <c r="K52" s="11">
        <f t="shared" si="7"/>
        <v>9.200000000000097E-3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11"/>
      <c r="H53" s="10"/>
      <c r="I53" s="10">
        <f t="shared" si="8"/>
        <v>24722</v>
      </c>
      <c r="J53" s="10">
        <f t="shared" si="6"/>
        <v>131385411959.37424</v>
      </c>
      <c r="K53" s="11">
        <f t="shared" si="7"/>
        <v>9.7599999999999909E-3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11"/>
      <c r="H54" s="10"/>
      <c r="I54" s="10">
        <f t="shared" si="8"/>
        <v>24722</v>
      </c>
      <c r="J54" s="10">
        <f t="shared" si="6"/>
        <v>130115484827.45824</v>
      </c>
      <c r="K54" s="11">
        <f t="shared" si="7"/>
        <v>1.0950000000000015E-2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11"/>
      <c r="H55" s="10"/>
      <c r="I55" s="10">
        <f t="shared" si="8"/>
        <v>24722</v>
      </c>
      <c r="J55" s="10">
        <f t="shared" si="6"/>
        <v>128706152458.04266</v>
      </c>
      <c r="K55" s="11">
        <f t="shared" si="7"/>
        <v>1.1079999999999979E-2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11"/>
      <c r="H56" s="10"/>
      <c r="I56" s="10">
        <f t="shared" si="8"/>
        <v>24722</v>
      </c>
      <c r="J56" s="10">
        <f t="shared" si="6"/>
        <v>127295715925.58716</v>
      </c>
      <c r="K56" s="11">
        <f t="shared" si="7"/>
        <v>1.2699999999999712E-2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11"/>
      <c r="H57" s="10"/>
      <c r="I57" s="10">
        <f t="shared" si="8"/>
        <v>24722</v>
      </c>
      <c r="J57" s="10">
        <f t="shared" si="6"/>
        <v>125699334378.97421</v>
      </c>
      <c r="K57" s="11">
        <f t="shared" si="7"/>
        <v>1.4429999999999943E-2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11"/>
      <c r="H58" s="10"/>
      <c r="I58" s="10">
        <f t="shared" si="8"/>
        <v>24722</v>
      </c>
      <c r="J58" s="10">
        <f t="shared" si="6"/>
        <v>123911294400.77109</v>
      </c>
      <c r="K58" s="11">
        <f t="shared" si="7"/>
        <v>1.5800000000000036E-2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11"/>
      <c r="H59" s="10"/>
      <c r="I59" s="10">
        <f t="shared" si="8"/>
        <v>24722</v>
      </c>
      <c r="J59" s="10">
        <f t="shared" si="6"/>
        <v>121983948022.02312</v>
      </c>
      <c r="K59" s="11">
        <f t="shared" si="7"/>
        <v>1.807000000000003E-2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11"/>
      <c r="H60" s="10"/>
      <c r="I60" s="10">
        <f t="shared" si="8"/>
        <v>24722</v>
      </c>
      <c r="J60" s="10">
        <f t="shared" si="6"/>
        <v>119818821910.10747</v>
      </c>
      <c r="K60" s="11">
        <f t="shared" si="7"/>
        <v>2.1970000000000045E-2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11"/>
      <c r="H61" s="10"/>
      <c r="I61" s="10">
        <f t="shared" si="8"/>
        <v>24722</v>
      </c>
      <c r="J61" s="10">
        <f t="shared" si="6"/>
        <v>117242993346.28949</v>
      </c>
      <c r="K61" s="11">
        <f t="shared" si="7"/>
        <v>1.688999999999985E-2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11"/>
      <c r="H62" s="10"/>
      <c r="I62" s="10">
        <f t="shared" si="8"/>
        <v>24722</v>
      </c>
      <c r="J62" s="10">
        <f t="shared" si="6"/>
        <v>115295649820.81592</v>
      </c>
      <c r="K62" s="11">
        <f t="shared" si="7"/>
        <v>1.7690000000000206E-2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11"/>
      <c r="H63" s="10"/>
      <c r="I63" s="10">
        <f t="shared" si="8"/>
        <v>24722</v>
      </c>
      <c r="J63" s="10">
        <f t="shared" si="6"/>
        <v>113291522782.78838</v>
      </c>
      <c r="K63" s="11">
        <f t="shared" si="7"/>
        <v>1.7589999999999995E-2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11"/>
      <c r="H64" s="10"/>
      <c r="I64" s="10">
        <f t="shared" si="8"/>
        <v>24722</v>
      </c>
      <c r="J64" s="10">
        <f t="shared" si="6"/>
        <v>111333172282.34198</v>
      </c>
      <c r="K64" s="11">
        <f t="shared" si="7"/>
        <v>1.7619999999999969E-2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11"/>
      <c r="H65" s="10"/>
      <c r="I65" s="10">
        <f t="shared" si="8"/>
        <v>24722</v>
      </c>
      <c r="J65" s="10">
        <f t="shared" si="6"/>
        <v>109405448283.58522</v>
      </c>
      <c r="K65" s="11">
        <f t="shared" si="7"/>
        <v>1.74399999999999E-2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6">
        <f>SUM(F2)</f>
        <v>6524522</v>
      </c>
      <c r="G66" s="11"/>
      <c r="H66" s="10"/>
      <c r="I66" s="10">
        <f t="shared" si="8"/>
        <v>24722</v>
      </c>
      <c r="J66" s="10">
        <f t="shared" ref="J66:J97" si="9">IF(I66="","",I66*C66)</f>
        <v>107530122939.52</v>
      </c>
      <c r="K66" s="11">
        <f t="shared" ref="K66:K97" si="10">IFERROR(J66/J67-1,"")</f>
        <v>1.7919999999999936E-2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11"/>
      <c r="H67" s="10"/>
      <c r="I67" s="10">
        <f t="shared" ref="I67:I98" si="11">IF(H67&lt;&gt;"",H67,I66/(1+IF(G66="",0,G66)))</f>
        <v>24722</v>
      </c>
      <c r="J67" s="10">
        <f t="shared" si="9"/>
        <v>105637106000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5">
        <v>2170550</v>
      </c>
      <c r="G2" s="11"/>
      <c r="H2" s="10"/>
      <c r="I2" s="10">
        <f>IF(H2&lt;&gt;"",H2,8333)</f>
        <v>8333</v>
      </c>
      <c r="J2" s="10">
        <f t="shared" ref="J2:J33" si="3">IF(I2="","",I2*C2)</f>
        <v>18083427575.901176</v>
      </c>
      <c r="K2" s="11">
        <f t="shared" ref="K2:K33" si="4">IFERROR(J2/J3-1,"")</f>
        <v>8.6999999999992639E-4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11"/>
      <c r="H3" s="10"/>
      <c r="I3" s="10">
        <f t="shared" ref="I3:I34" si="5">IF(H3&lt;&gt;"",H3,I2/(1+IF(G2="",0,G2)))</f>
        <v>8333</v>
      </c>
      <c r="J3" s="10">
        <f t="shared" si="3"/>
        <v>18067708669.358837</v>
      </c>
      <c r="K3" s="11">
        <f t="shared" si="4"/>
        <v>1.3000000000003009E-3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11"/>
      <c r="H4" s="10"/>
      <c r="I4" s="10">
        <f t="shared" si="5"/>
        <v>8333</v>
      </c>
      <c r="J4" s="10">
        <f t="shared" si="3"/>
        <v>18044251142.873096</v>
      </c>
      <c r="K4" s="11">
        <f t="shared" si="4"/>
        <v>1.3900000000000023E-3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11"/>
      <c r="H5" s="10"/>
      <c r="I5" s="10">
        <f t="shared" si="5"/>
        <v>8333</v>
      </c>
      <c r="J5" s="10">
        <f t="shared" si="3"/>
        <v>18019204448.689419</v>
      </c>
      <c r="K5" s="11">
        <f t="shared" si="4"/>
        <v>1.7400000000000748E-3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11"/>
      <c r="H6" s="10"/>
      <c r="I6" s="10">
        <f t="shared" si="5"/>
        <v>8333</v>
      </c>
      <c r="J6" s="10">
        <f t="shared" si="3"/>
        <v>17987905493.131371</v>
      </c>
      <c r="K6" s="11">
        <f t="shared" si="4"/>
        <v>2.4800000000000377E-3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11"/>
      <c r="H7" s="10"/>
      <c r="I7" s="10">
        <f t="shared" si="5"/>
        <v>8333</v>
      </c>
      <c r="J7" s="10">
        <f t="shared" si="3"/>
        <v>17943405846.631721</v>
      </c>
      <c r="K7" s="11">
        <f t="shared" si="4"/>
        <v>3.1500000000002082E-3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11"/>
      <c r="H8" s="10"/>
      <c r="I8" s="10">
        <f t="shared" si="5"/>
        <v>8333</v>
      </c>
      <c r="J8" s="10">
        <f t="shared" si="3"/>
        <v>17887061602.58358</v>
      </c>
      <c r="K8" s="11">
        <f t="shared" si="4"/>
        <v>3.8400000000000656E-3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11"/>
      <c r="H9" s="10"/>
      <c r="I9" s="10">
        <f t="shared" si="5"/>
        <v>8333</v>
      </c>
      <c r="J9" s="10">
        <f t="shared" si="3"/>
        <v>17818638032.538631</v>
      </c>
      <c r="K9" s="11">
        <f t="shared" si="4"/>
        <v>4.6400000000001995E-3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11"/>
      <c r="H10" s="10"/>
      <c r="I10" s="10">
        <f t="shared" si="5"/>
        <v>8333</v>
      </c>
      <c r="J10" s="10">
        <f t="shared" si="3"/>
        <v>17736341408.403637</v>
      </c>
      <c r="K10" s="11">
        <f t="shared" si="4"/>
        <v>7.7299999999997926E-3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11"/>
      <c r="H11" s="10"/>
      <c r="I11" s="10">
        <f t="shared" si="5"/>
        <v>8333</v>
      </c>
      <c r="J11" s="10">
        <f t="shared" si="3"/>
        <v>17600291157.7542</v>
      </c>
      <c r="K11" s="11">
        <f t="shared" si="4"/>
        <v>8.98000000000021E-3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11"/>
      <c r="H12" s="10"/>
      <c r="I12" s="10">
        <f t="shared" si="5"/>
        <v>8333</v>
      </c>
      <c r="J12" s="10">
        <f t="shared" si="3"/>
        <v>17443647205.845703</v>
      </c>
      <c r="K12" s="11">
        <f t="shared" si="4"/>
        <v>9.0500000000000025E-3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11"/>
      <c r="H13" s="10"/>
      <c r="I13" s="10">
        <f t="shared" si="5"/>
        <v>8333</v>
      </c>
      <c r="J13" s="10">
        <f t="shared" si="3"/>
        <v>17287198063.372185</v>
      </c>
      <c r="K13" s="11">
        <f t="shared" si="4"/>
        <v>9.200000000000097E-3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11"/>
      <c r="H14" s="10"/>
      <c r="I14" s="10">
        <f t="shared" si="5"/>
        <v>8333</v>
      </c>
      <c r="J14" s="10">
        <f t="shared" si="3"/>
        <v>17129605691.014847</v>
      </c>
      <c r="K14" s="11">
        <f t="shared" si="4"/>
        <v>9.3700000000001005E-3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11"/>
      <c r="H15" s="10"/>
      <c r="I15" s="10">
        <f t="shared" si="5"/>
        <v>8333</v>
      </c>
      <c r="J15" s="10">
        <f t="shared" si="3"/>
        <v>16970591250.99304</v>
      </c>
      <c r="K15" s="11">
        <f t="shared" si="4"/>
        <v>9.7400000000000819E-3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11"/>
      <c r="H16" s="10"/>
      <c r="I16" s="10">
        <f t="shared" si="5"/>
        <v>8333</v>
      </c>
      <c r="J16" s="10">
        <f t="shared" si="3"/>
        <v>16806892121.727413</v>
      </c>
      <c r="K16" s="11">
        <f t="shared" si="4"/>
        <v>1.0059999999999958E-2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11"/>
      <c r="H17" s="10"/>
      <c r="I17" s="10">
        <f t="shared" si="5"/>
        <v>8333</v>
      </c>
      <c r="J17" s="10">
        <f t="shared" si="3"/>
        <v>16639498764.159964</v>
      </c>
      <c r="K17" s="11">
        <f t="shared" si="4"/>
        <v>1.0489999999999888E-2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11"/>
      <c r="H18" s="10"/>
      <c r="I18" s="10">
        <f t="shared" si="5"/>
        <v>8333</v>
      </c>
      <c r="J18" s="10">
        <f t="shared" si="3"/>
        <v>16466762426.307995</v>
      </c>
      <c r="K18" s="11">
        <f t="shared" si="4"/>
        <v>1.1230000000000073E-2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11"/>
      <c r="H19" s="10"/>
      <c r="I19" s="10">
        <f t="shared" si="5"/>
        <v>8333</v>
      </c>
      <c r="J19" s="10">
        <f t="shared" si="3"/>
        <v>16283894293.393188</v>
      </c>
      <c r="K19" s="11">
        <f t="shared" si="4"/>
        <v>1.1919999999999931E-2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11"/>
      <c r="H20" s="10"/>
      <c r="I20" s="10">
        <f t="shared" si="5"/>
        <v>8333</v>
      </c>
      <c r="J20" s="10">
        <f t="shared" si="3"/>
        <v>16092076738.668264</v>
      </c>
      <c r="K20" s="11">
        <f t="shared" si="4"/>
        <v>1.2850000000000028E-2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11"/>
      <c r="H21" s="10"/>
      <c r="I21" s="10">
        <f t="shared" si="5"/>
        <v>8333</v>
      </c>
      <c r="J21" s="10">
        <f t="shared" si="3"/>
        <v>15887917005.15206</v>
      </c>
      <c r="K21" s="11">
        <f t="shared" si="4"/>
        <v>7.7899999999999636E-3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11"/>
      <c r="H22" s="10"/>
      <c r="I22" s="10">
        <f t="shared" si="5"/>
        <v>8333</v>
      </c>
      <c r="J22" s="10">
        <f t="shared" si="3"/>
        <v>15765106823.000883</v>
      </c>
      <c r="K22" s="11">
        <f t="shared" si="4"/>
        <v>4.790000000000072E-3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11"/>
      <c r="H23" s="10"/>
      <c r="I23" s="10">
        <f t="shared" si="5"/>
        <v>8333</v>
      </c>
      <c r="J23" s="10">
        <f t="shared" si="3"/>
        <v>15689951953.145315</v>
      </c>
      <c r="K23" s="11">
        <f t="shared" si="4"/>
        <v>5.1900000000000279E-3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11"/>
      <c r="H24" s="10"/>
      <c r="I24" s="10">
        <f t="shared" si="5"/>
        <v>8333</v>
      </c>
      <c r="J24" s="10">
        <f t="shared" si="3"/>
        <v>15608941546.518881</v>
      </c>
      <c r="K24" s="11">
        <f t="shared" si="4"/>
        <v>5.9199999999999253E-3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11"/>
      <c r="H25" s="10"/>
      <c r="I25" s="10">
        <f t="shared" si="5"/>
        <v>8333</v>
      </c>
      <c r="J25" s="10">
        <f t="shared" si="3"/>
        <v>15517080430.371084</v>
      </c>
      <c r="K25" s="11">
        <f t="shared" si="4"/>
        <v>6.8399999999999572E-3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11"/>
      <c r="H26" s="10"/>
      <c r="I26" s="10">
        <f t="shared" si="5"/>
        <v>8333</v>
      </c>
      <c r="J26" s="10">
        <f t="shared" si="3"/>
        <v>15411664644.204725</v>
      </c>
      <c r="K26" s="11">
        <f t="shared" si="4"/>
        <v>7.7100000000001057E-3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11"/>
      <c r="H27" s="10"/>
      <c r="I27" s="10">
        <f t="shared" si="5"/>
        <v>8333</v>
      </c>
      <c r="J27" s="10">
        <f t="shared" si="3"/>
        <v>15293749832.992352</v>
      </c>
      <c r="K27" s="11">
        <f t="shared" si="4"/>
        <v>8.620000000000072E-3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11"/>
      <c r="H28" s="10"/>
      <c r="I28" s="10">
        <f t="shared" si="5"/>
        <v>8333</v>
      </c>
      <c r="J28" s="10">
        <f t="shared" si="3"/>
        <v>15163044390.347553</v>
      </c>
      <c r="K28" s="11">
        <f t="shared" si="4"/>
        <v>9.5499999999999474E-3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11"/>
      <c r="H29" s="10"/>
      <c r="I29" s="10">
        <f t="shared" si="5"/>
        <v>8333</v>
      </c>
      <c r="J29" s="10">
        <f t="shared" si="3"/>
        <v>15019607142.140116</v>
      </c>
      <c r="K29" s="11">
        <f t="shared" si="4"/>
        <v>1.045000000000007E-2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11"/>
      <c r="H30" s="10"/>
      <c r="I30" s="10">
        <f t="shared" si="5"/>
        <v>8333</v>
      </c>
      <c r="J30" s="10">
        <f t="shared" si="3"/>
        <v>14864275463.546059</v>
      </c>
      <c r="K30" s="11">
        <f t="shared" si="4"/>
        <v>1.1179999999999968E-2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11"/>
      <c r="H31" s="10"/>
      <c r="I31" s="10">
        <f t="shared" si="5"/>
        <v>8333</v>
      </c>
      <c r="J31" s="10">
        <f t="shared" si="3"/>
        <v>14699930243.424572</v>
      </c>
      <c r="K31" s="11">
        <f t="shared" si="4"/>
        <v>1.9050000000000011E-2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11"/>
      <c r="H32" s="10"/>
      <c r="I32" s="10">
        <f t="shared" si="5"/>
        <v>8333</v>
      </c>
      <c r="J32" s="10">
        <f t="shared" si="3"/>
        <v>14425131488.567364</v>
      </c>
      <c r="K32" s="11">
        <f t="shared" si="4"/>
        <v>2.3500000000000076E-2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11"/>
      <c r="H33" s="10"/>
      <c r="I33" s="10">
        <f t="shared" si="5"/>
        <v>8333</v>
      </c>
      <c r="J33" s="10">
        <f t="shared" si="3"/>
        <v>14093924268.263178</v>
      </c>
      <c r="K33" s="11">
        <f t="shared" si="4"/>
        <v>2.4170000000000025E-2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11"/>
      <c r="H34" s="10"/>
      <c r="I34" s="10">
        <f t="shared" si="5"/>
        <v>8333</v>
      </c>
      <c r="J34" s="10">
        <f t="shared" ref="J34:J65" si="6">IF(I34="","",I34*C34)</f>
        <v>13761313325.193256</v>
      </c>
      <c r="K34" s="11">
        <f t="shared" ref="K34:K65" si="7">IFERROR(J34/J35-1,"")</f>
        <v>2.418000000000009E-2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11"/>
      <c r="H35" s="10"/>
      <c r="I35" s="10">
        <f t="shared" ref="I35:I66" si="8">IF(H35&lt;&gt;"",H35,I34/(1+IF(G34="",0,G34)))</f>
        <v>8333</v>
      </c>
      <c r="J35" s="10">
        <f t="shared" si="6"/>
        <v>13436420673.312557</v>
      </c>
      <c r="K35" s="11">
        <f t="shared" si="7"/>
        <v>2.4000000000000243E-2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11"/>
      <c r="H36" s="10"/>
      <c r="I36" s="10">
        <f t="shared" si="8"/>
        <v>8333</v>
      </c>
      <c r="J36" s="10">
        <f t="shared" si="6"/>
        <v>13121504563.781792</v>
      </c>
      <c r="K36" s="11">
        <f t="shared" si="7"/>
        <v>2.3910000000000098E-2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11"/>
      <c r="H37" s="10"/>
      <c r="I37" s="10">
        <f t="shared" si="8"/>
        <v>8333</v>
      </c>
      <c r="J37" s="10">
        <f t="shared" si="6"/>
        <v>12815095627.332275</v>
      </c>
      <c r="K37" s="11">
        <f t="shared" si="7"/>
        <v>2.3789999999999978E-2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11"/>
      <c r="H38" s="10"/>
      <c r="I38" s="10">
        <f t="shared" si="8"/>
        <v>8333</v>
      </c>
      <c r="J38" s="10">
        <f t="shared" si="6"/>
        <v>12517308849.795637</v>
      </c>
      <c r="K38" s="11">
        <f t="shared" si="7"/>
        <v>2.3849999999999927E-2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11"/>
      <c r="H39" s="10"/>
      <c r="I39" s="10">
        <f t="shared" si="8"/>
        <v>8333</v>
      </c>
      <c r="J39" s="10">
        <f t="shared" si="6"/>
        <v>12225725301.358244</v>
      </c>
      <c r="K39" s="11">
        <f t="shared" si="7"/>
        <v>2.3840000000000083E-2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11"/>
      <c r="H40" s="10"/>
      <c r="I40" s="10">
        <f t="shared" si="8"/>
        <v>8333</v>
      </c>
      <c r="J40" s="10">
        <f t="shared" si="6"/>
        <v>11941050653.772312</v>
      </c>
      <c r="K40" s="11">
        <f t="shared" si="7"/>
        <v>2.3390000000000022E-2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11"/>
      <c r="H41" s="10"/>
      <c r="I41" s="10">
        <f t="shared" si="8"/>
        <v>8333</v>
      </c>
      <c r="J41" s="10">
        <f t="shared" si="6"/>
        <v>11668133022.37887</v>
      </c>
      <c r="K41" s="11">
        <f t="shared" si="7"/>
        <v>1.8040000000000056E-2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11"/>
      <c r="H42" s="10"/>
      <c r="I42" s="10">
        <f t="shared" si="8"/>
        <v>8333</v>
      </c>
      <c r="J42" s="10">
        <f t="shared" si="6"/>
        <v>11461369909.216602</v>
      </c>
      <c r="K42" s="11">
        <f t="shared" si="7"/>
        <v>1.5099999999999891E-2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11"/>
      <c r="H43" s="10"/>
      <c r="I43" s="10">
        <f t="shared" si="8"/>
        <v>8333</v>
      </c>
      <c r="J43" s="10">
        <f t="shared" si="6"/>
        <v>11290877656.601913</v>
      </c>
      <c r="K43" s="11">
        <f t="shared" si="7"/>
        <v>1.4350000000000085E-2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11"/>
      <c r="H44" s="10"/>
      <c r="I44" s="10">
        <f t="shared" si="8"/>
        <v>8333</v>
      </c>
      <c r="J44" s="10">
        <f t="shared" si="6"/>
        <v>11131145715.583292</v>
      </c>
      <c r="K44" s="11">
        <f t="shared" si="7"/>
        <v>1.5009999999999968E-2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11"/>
      <c r="H45" s="10"/>
      <c r="I45" s="10">
        <f t="shared" si="8"/>
        <v>8333</v>
      </c>
      <c r="J45" s="10">
        <f t="shared" si="6"/>
        <v>10966537980.496046</v>
      </c>
      <c r="K45" s="11">
        <f t="shared" si="7"/>
        <v>1.6450000000000076E-2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11"/>
      <c r="H46" s="10"/>
      <c r="I46" s="10">
        <f t="shared" si="8"/>
        <v>8333</v>
      </c>
      <c r="J46" s="10">
        <f t="shared" si="6"/>
        <v>10789057976.778046</v>
      </c>
      <c r="K46" s="11">
        <f t="shared" si="7"/>
        <v>1.7929999999999779E-2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11"/>
      <c r="H47" s="10"/>
      <c r="I47" s="10">
        <f t="shared" si="8"/>
        <v>8333</v>
      </c>
      <c r="J47" s="10">
        <f t="shared" si="6"/>
        <v>10599017591.364876</v>
      </c>
      <c r="K47" s="11">
        <f t="shared" si="7"/>
        <v>1.9140000000000157E-2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11"/>
      <c r="H48" s="10"/>
      <c r="I48" s="10">
        <f t="shared" si="8"/>
        <v>8333</v>
      </c>
      <c r="J48" s="10">
        <f t="shared" si="6"/>
        <v>10399962312.6998</v>
      </c>
      <c r="K48" s="11">
        <f t="shared" si="7"/>
        <v>2.0380000000000065E-2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11"/>
      <c r="H49" s="10"/>
      <c r="I49" s="10">
        <f t="shared" si="8"/>
        <v>8333</v>
      </c>
      <c r="J49" s="10">
        <f t="shared" si="6"/>
        <v>10192244372.390482</v>
      </c>
      <c r="K49" s="11">
        <f t="shared" si="7"/>
        <v>2.1519999999999984E-2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11"/>
      <c r="H50" s="10"/>
      <c r="I50" s="10">
        <f t="shared" si="8"/>
        <v>8333</v>
      </c>
      <c r="J50" s="10">
        <f t="shared" si="6"/>
        <v>9977527970.466053</v>
      </c>
      <c r="K50" s="11">
        <f t="shared" si="7"/>
        <v>2.2620000000000084E-2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11"/>
      <c r="H51" s="10"/>
      <c r="I51" s="10">
        <f t="shared" si="8"/>
        <v>8333</v>
      </c>
      <c r="J51" s="10">
        <f t="shared" si="6"/>
        <v>9756828509.5793667</v>
      </c>
      <c r="K51" s="11">
        <f t="shared" si="7"/>
        <v>2.7730000000000254E-2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11"/>
      <c r="H52" s="10"/>
      <c r="I52" s="10">
        <f t="shared" si="8"/>
        <v>8333</v>
      </c>
      <c r="J52" s="10">
        <f t="shared" si="6"/>
        <v>9493571764.5484371</v>
      </c>
      <c r="K52" s="11">
        <f t="shared" si="7"/>
        <v>3.0340000000000034E-2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11"/>
      <c r="H53" s="10"/>
      <c r="I53" s="10">
        <f t="shared" si="8"/>
        <v>8333</v>
      </c>
      <c r="J53" s="10">
        <f t="shared" si="6"/>
        <v>9214018444.9292831</v>
      </c>
      <c r="K53" s="11">
        <f t="shared" si="7"/>
        <v>3.0909999999999993E-2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11"/>
      <c r="H54" s="10"/>
      <c r="I54" s="10">
        <f t="shared" si="8"/>
        <v>8333</v>
      </c>
      <c r="J54" s="10">
        <f t="shared" si="6"/>
        <v>8937752514.6999092</v>
      </c>
      <c r="K54" s="11">
        <f t="shared" si="7"/>
        <v>3.1349999999999989E-2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11"/>
      <c r="H55" s="10"/>
      <c r="I55" s="10">
        <f t="shared" si="8"/>
        <v>8333</v>
      </c>
      <c r="J55" s="10">
        <f t="shared" si="6"/>
        <v>8666071183.1094284</v>
      </c>
      <c r="K55" s="11">
        <f t="shared" si="7"/>
        <v>3.1479999999999952E-2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11"/>
      <c r="H56" s="10"/>
      <c r="I56" s="10">
        <f t="shared" si="8"/>
        <v>8333</v>
      </c>
      <c r="J56" s="10">
        <f t="shared" si="6"/>
        <v>8401589156.4639435</v>
      </c>
      <c r="K56" s="11">
        <f t="shared" si="7"/>
        <v>3.0450000000000088E-2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11"/>
      <c r="H57" s="10"/>
      <c r="I57" s="10">
        <f t="shared" si="8"/>
        <v>8333</v>
      </c>
      <c r="J57" s="10">
        <f t="shared" si="6"/>
        <v>8153320545.8430223</v>
      </c>
      <c r="K57" s="11">
        <f t="shared" si="7"/>
        <v>3.0439999999999801E-2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11"/>
      <c r="H58" s="10"/>
      <c r="I58" s="10">
        <f t="shared" si="8"/>
        <v>8333</v>
      </c>
      <c r="J58" s="10">
        <f t="shared" si="6"/>
        <v>7912465107.9568176</v>
      </c>
      <c r="K58" s="11">
        <f t="shared" si="7"/>
        <v>3.0380000000000296E-2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11"/>
      <c r="H59" s="10"/>
      <c r="I59" s="10">
        <f t="shared" si="8"/>
        <v>8333</v>
      </c>
      <c r="J59" s="10">
        <f t="shared" si="6"/>
        <v>7679171866.6480484</v>
      </c>
      <c r="K59" s="11">
        <f t="shared" si="7"/>
        <v>3.0030000000000001E-2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11"/>
      <c r="H60" s="10"/>
      <c r="I60" s="10">
        <f t="shared" si="8"/>
        <v>8333</v>
      </c>
      <c r="J60" s="10">
        <f t="shared" si="6"/>
        <v>7455289522.2935724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11"/>
      <c r="H61" s="10"/>
      <c r="I61" s="10">
        <f t="shared" si="8"/>
        <v>8333</v>
      </c>
      <c r="J61" s="10">
        <f t="shared" si="6"/>
        <v>7242364020.1025562</v>
      </c>
      <c r="K61" s="11">
        <f t="shared" si="7"/>
        <v>2.9330000000000078E-2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11"/>
      <c r="H62" s="10"/>
      <c r="I62" s="10">
        <f t="shared" si="8"/>
        <v>8333</v>
      </c>
      <c r="J62" s="10">
        <f t="shared" si="6"/>
        <v>7035998193.0989637</v>
      </c>
      <c r="K62" s="11">
        <f t="shared" si="7"/>
        <v>2.7919999999999945E-2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11"/>
      <c r="H63" s="10"/>
      <c r="I63" s="10">
        <f t="shared" si="8"/>
        <v>8333</v>
      </c>
      <c r="J63" s="10">
        <f t="shared" si="6"/>
        <v>6844888895.1464748</v>
      </c>
      <c r="K63" s="11">
        <f t="shared" si="7"/>
        <v>2.6210000000000067E-2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11"/>
      <c r="H64" s="10"/>
      <c r="I64" s="10">
        <f t="shared" si="8"/>
        <v>8333</v>
      </c>
      <c r="J64" s="10">
        <f t="shared" si="6"/>
        <v>6670066453.4027872</v>
      </c>
      <c r="K64" s="11">
        <f t="shared" si="7"/>
        <v>2.4620000000000086E-2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11"/>
      <c r="H65" s="10"/>
      <c r="I65" s="10">
        <f t="shared" si="8"/>
        <v>8333</v>
      </c>
      <c r="J65" s="10">
        <f t="shared" si="6"/>
        <v>6509795293.2821798</v>
      </c>
      <c r="K65" s="11">
        <f t="shared" si="7"/>
        <v>2.3339999999999916E-2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6">
        <f>SUM(F2)</f>
        <v>2170550</v>
      </c>
      <c r="G66" s="11"/>
      <c r="H66" s="10"/>
      <c r="I66" s="10">
        <f t="shared" si="8"/>
        <v>8333</v>
      </c>
      <c r="J66" s="10">
        <f t="shared" ref="J66:J97" si="9">IF(I66="","",I66*C66)</f>
        <v>6361322036.9400005</v>
      </c>
      <c r="K66" s="11">
        <f t="shared" ref="K66:K97" si="10">IFERROR(J66/J67-1,"")</f>
        <v>2.1940000000000071E-2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11"/>
      <c r="H67" s="10"/>
      <c r="I67" s="10">
        <f t="shared" ref="I67:I98" si="11">IF(H67&lt;&gt;"",H67,I66/(1+IF(G66="",0,G66)))</f>
        <v>8333</v>
      </c>
      <c r="J67" s="10">
        <f t="shared" si="9"/>
        <v>6224751000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5">
        <v>76045</v>
      </c>
      <c r="G2" s="11"/>
      <c r="H2" s="10"/>
      <c r="I2" s="10">
        <f>IF(H2&lt;&gt;"",H2,1623)</f>
        <v>1623</v>
      </c>
      <c r="J2" s="10">
        <f t="shared" ref="J2:J33" si="3">IF(I2="","",I2*C2)</f>
        <v>123449601.13112609</v>
      </c>
      <c r="K2" s="11">
        <f t="shared" ref="K2:K33" si="4">IFERROR(J2/J3-1,"")</f>
        <v>-1.3800000000001589E-3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11"/>
      <c r="H3" s="10"/>
      <c r="I3" s="10">
        <f t="shared" ref="I3:I34" si="5">IF(H3&lt;&gt;"",H3,I2/(1+IF(G2="",0,G2)))</f>
        <v>1623</v>
      </c>
      <c r="J3" s="10">
        <f t="shared" si="3"/>
        <v>123620197.00299023</v>
      </c>
      <c r="K3" s="11">
        <f t="shared" si="4"/>
        <v>1.3239999999999919E-2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11"/>
      <c r="H4" s="10"/>
      <c r="I4" s="10">
        <f t="shared" si="5"/>
        <v>1623</v>
      </c>
      <c r="J4" s="10">
        <f t="shared" si="3"/>
        <v>122004852.75254652</v>
      </c>
      <c r="K4" s="11">
        <f t="shared" si="4"/>
        <v>4.1330000000000089E-2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11"/>
      <c r="H5" s="10"/>
      <c r="I5" s="10">
        <f t="shared" si="5"/>
        <v>1623</v>
      </c>
      <c r="J5" s="10">
        <f t="shared" si="3"/>
        <v>117162525.57070909</v>
      </c>
      <c r="K5" s="11">
        <f t="shared" si="4"/>
        <v>4.3609999999999927E-2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11"/>
      <c r="H6" s="10"/>
      <c r="I6" s="10">
        <f t="shared" si="5"/>
        <v>1623</v>
      </c>
      <c r="J6" s="10">
        <f t="shared" si="3"/>
        <v>112266580.01620251</v>
      </c>
      <c r="K6" s="11">
        <f t="shared" si="4"/>
        <v>6.4620000000000122E-2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11"/>
      <c r="H7" s="10"/>
      <c r="I7" s="10">
        <f t="shared" si="5"/>
        <v>1623</v>
      </c>
      <c r="J7" s="10">
        <f t="shared" si="3"/>
        <v>105452255.28000836</v>
      </c>
      <c r="K7" s="11">
        <f t="shared" si="4"/>
        <v>3.5849999999999937E-2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11"/>
      <c r="H8" s="10"/>
      <c r="I8" s="10">
        <f t="shared" si="5"/>
        <v>1623</v>
      </c>
      <c r="J8" s="10">
        <f t="shared" si="3"/>
        <v>101802630.96008918</v>
      </c>
      <c r="K8" s="11">
        <f t="shared" si="4"/>
        <v>3.6980000000000013E-2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11"/>
      <c r="H9" s="10"/>
      <c r="I9" s="10">
        <f t="shared" si="5"/>
        <v>1623</v>
      </c>
      <c r="J9" s="10">
        <f t="shared" si="3"/>
        <v>98172222.18373467</v>
      </c>
      <c r="K9" s="11">
        <f t="shared" si="4"/>
        <v>3.7549999999999972E-2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11"/>
      <c r="H10" s="10"/>
      <c r="I10" s="10">
        <f t="shared" si="5"/>
        <v>1623</v>
      </c>
      <c r="J10" s="10">
        <f t="shared" si="3"/>
        <v>94619268.646074563</v>
      </c>
      <c r="K10" s="11">
        <f t="shared" si="4"/>
        <v>3.8729999999999931E-2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11"/>
      <c r="H11" s="10"/>
      <c r="I11" s="10">
        <f t="shared" si="5"/>
        <v>1623</v>
      </c>
      <c r="J11" s="10">
        <f t="shared" si="3"/>
        <v>91091302.500240266</v>
      </c>
      <c r="K11" s="11">
        <f t="shared" si="4"/>
        <v>4.0010000000000101E-2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11"/>
      <c r="H12" s="10"/>
      <c r="I12" s="10">
        <f t="shared" si="5"/>
        <v>1623</v>
      </c>
      <c r="J12" s="10">
        <f t="shared" si="3"/>
        <v>87586948.683416754</v>
      </c>
      <c r="K12" s="11">
        <f t="shared" si="4"/>
        <v>4.011000000000009E-2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11"/>
      <c r="H13" s="10"/>
      <c r="I13" s="10">
        <f t="shared" si="5"/>
        <v>1623</v>
      </c>
      <c r="J13" s="10">
        <f t="shared" si="3"/>
        <v>84209313.133626968</v>
      </c>
      <c r="K13" s="11">
        <f t="shared" si="4"/>
        <v>4.1290000000000049E-2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11"/>
      <c r="H14" s="10"/>
      <c r="I14" s="10">
        <f t="shared" si="5"/>
        <v>1623</v>
      </c>
      <c r="J14" s="10">
        <f t="shared" si="3"/>
        <v>80870183.266551062</v>
      </c>
      <c r="K14" s="11">
        <f t="shared" si="4"/>
        <v>4.1429999999999856E-2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11"/>
      <c r="H15" s="10"/>
      <c r="I15" s="10">
        <f t="shared" si="5"/>
        <v>1623</v>
      </c>
      <c r="J15" s="10">
        <f t="shared" si="3"/>
        <v>77653018.70173806</v>
      </c>
      <c r="K15" s="11">
        <f t="shared" si="4"/>
        <v>4.1860000000000008E-2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11"/>
      <c r="H16" s="10"/>
      <c r="I16" s="10">
        <f t="shared" si="5"/>
        <v>1623</v>
      </c>
      <c r="J16" s="10">
        <f t="shared" si="3"/>
        <v>74533064.616875648</v>
      </c>
      <c r="K16" s="11">
        <f t="shared" si="4"/>
        <v>2.6070000000000038E-2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11"/>
      <c r="H17" s="10"/>
      <c r="I17" s="10">
        <f t="shared" si="5"/>
        <v>1623</v>
      </c>
      <c r="J17" s="10">
        <f t="shared" si="3"/>
        <v>72639356.590559751</v>
      </c>
      <c r="K17" s="11">
        <f t="shared" si="4"/>
        <v>1.1239999999999917E-2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11"/>
      <c r="H18" s="10"/>
      <c r="I18" s="10">
        <f t="shared" si="5"/>
        <v>1623</v>
      </c>
      <c r="J18" s="10">
        <f t="shared" si="3"/>
        <v>71831965.300581217</v>
      </c>
      <c r="K18" s="11">
        <f t="shared" si="4"/>
        <v>1.0229999999999961E-2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11"/>
      <c r="H19" s="10"/>
      <c r="I19" s="10">
        <f t="shared" si="5"/>
        <v>1623</v>
      </c>
      <c r="J19" s="10">
        <f t="shared" si="3"/>
        <v>71104565.594548985</v>
      </c>
      <c r="K19" s="11">
        <f t="shared" si="4"/>
        <v>1.0620000000000074E-2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11"/>
      <c r="H20" s="10"/>
      <c r="I20" s="10">
        <f t="shared" si="5"/>
        <v>1623</v>
      </c>
      <c r="J20" s="10">
        <f t="shared" si="3"/>
        <v>70357370.321732178</v>
      </c>
      <c r="K20" s="11">
        <f t="shared" si="4"/>
        <v>1.0620000000000074E-2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11"/>
      <c r="H21" s="10"/>
      <c r="I21" s="10">
        <f t="shared" si="5"/>
        <v>1623</v>
      </c>
      <c r="J21" s="10">
        <f t="shared" si="3"/>
        <v>69618026.876305804</v>
      </c>
      <c r="K21" s="11">
        <f t="shared" si="4"/>
        <v>1.0589999999999877E-2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11"/>
      <c r="H22" s="10"/>
      <c r="I22" s="10">
        <f t="shared" si="5"/>
        <v>1623</v>
      </c>
      <c r="J22" s="10">
        <f t="shared" si="3"/>
        <v>68888497.685813054</v>
      </c>
      <c r="K22" s="11">
        <f t="shared" si="4"/>
        <v>1.0330000000000172E-2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11"/>
      <c r="H23" s="10"/>
      <c r="I23" s="10">
        <f t="shared" si="5"/>
        <v>1623</v>
      </c>
      <c r="J23" s="10">
        <f t="shared" si="3"/>
        <v>68184155.360934585</v>
      </c>
      <c r="K23" s="11">
        <f t="shared" si="4"/>
        <v>9.6199999999999619E-3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11"/>
      <c r="H24" s="10"/>
      <c r="I24" s="10">
        <f t="shared" si="5"/>
        <v>1623</v>
      </c>
      <c r="J24" s="10">
        <f t="shared" si="3"/>
        <v>67534473.723712474</v>
      </c>
      <c r="K24" s="11">
        <f t="shared" si="4"/>
        <v>8.8900000000000645E-3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11"/>
      <c r="H25" s="10"/>
      <c r="I25" s="10">
        <f t="shared" si="5"/>
        <v>1623</v>
      </c>
      <c r="J25" s="10">
        <f t="shared" si="3"/>
        <v>66939382.61228922</v>
      </c>
      <c r="K25" s="11">
        <f t="shared" si="4"/>
        <v>7.9100000000000836E-3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11"/>
      <c r="H26" s="10"/>
      <c r="I26" s="10">
        <f t="shared" si="5"/>
        <v>1623</v>
      </c>
      <c r="J26" s="10">
        <f t="shared" si="3"/>
        <v>66414047.496591181</v>
      </c>
      <c r="K26" s="11">
        <f t="shared" si="4"/>
        <v>8.580000000000032E-3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11"/>
      <c r="H27" s="10"/>
      <c r="I27" s="10">
        <f t="shared" si="5"/>
        <v>1623</v>
      </c>
      <c r="J27" s="10">
        <f t="shared" si="3"/>
        <v>65849062.539997995</v>
      </c>
      <c r="K27" s="11">
        <f t="shared" si="4"/>
        <v>8.8900000000000645E-3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11"/>
      <c r="H28" s="10"/>
      <c r="I28" s="10">
        <f t="shared" si="5"/>
        <v>1623</v>
      </c>
      <c r="J28" s="10">
        <f t="shared" si="3"/>
        <v>65268822.706140406</v>
      </c>
      <c r="K28" s="11">
        <f t="shared" si="4"/>
        <v>9.5099999999999074E-3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11"/>
      <c r="H29" s="10"/>
      <c r="I29" s="10">
        <f t="shared" si="5"/>
        <v>1623</v>
      </c>
      <c r="J29" s="10">
        <f t="shared" si="3"/>
        <v>64653963.513130538</v>
      </c>
      <c r="K29" s="11">
        <f t="shared" si="4"/>
        <v>9.3700000000001005E-3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11"/>
      <c r="H30" s="10"/>
      <c r="I30" s="10">
        <f t="shared" si="5"/>
        <v>1623</v>
      </c>
      <c r="J30" s="10">
        <f t="shared" si="3"/>
        <v>64053779.598294519</v>
      </c>
      <c r="K30" s="11">
        <f t="shared" si="4"/>
        <v>9.220000000000006E-3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11"/>
      <c r="H31" s="10"/>
      <c r="I31" s="10">
        <f t="shared" si="5"/>
        <v>1623</v>
      </c>
      <c r="J31" s="10">
        <f t="shared" si="3"/>
        <v>63468599.114459209</v>
      </c>
      <c r="K31" s="11">
        <f t="shared" si="4"/>
        <v>8.5900000000000976E-3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11"/>
      <c r="H32" s="10"/>
      <c r="I32" s="10">
        <f t="shared" si="5"/>
        <v>1623</v>
      </c>
      <c r="J32" s="10">
        <f t="shared" si="3"/>
        <v>62928047.189104788</v>
      </c>
      <c r="K32" s="11">
        <f t="shared" si="4"/>
        <v>8.0199999999999161E-3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11"/>
      <c r="H33" s="10"/>
      <c r="I33" s="10">
        <f t="shared" si="5"/>
        <v>1623</v>
      </c>
      <c r="J33" s="10">
        <f t="shared" si="3"/>
        <v>62427379.604675293</v>
      </c>
      <c r="K33" s="11">
        <f t="shared" si="4"/>
        <v>8.8099999999999845E-3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11"/>
      <c r="H34" s="10"/>
      <c r="I34" s="10">
        <f t="shared" si="5"/>
        <v>1623</v>
      </c>
      <c r="J34" s="10">
        <f t="shared" ref="J34:J65" si="6">IF(I34="","",I34*C34)</f>
        <v>61882197.445183232</v>
      </c>
      <c r="K34" s="11">
        <f t="shared" ref="K34:K65" si="7">IFERROR(J34/J35-1,"")</f>
        <v>8.8900000000000645E-3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11"/>
      <c r="H35" s="10"/>
      <c r="I35" s="10">
        <f t="shared" ref="I35:I66" si="8">IF(H35&lt;&gt;"",H35,I34/(1+IF(G34="",0,G34)))</f>
        <v>1623</v>
      </c>
      <c r="J35" s="10">
        <f t="shared" si="6"/>
        <v>61336912.294881731</v>
      </c>
      <c r="K35" s="11">
        <f t="shared" si="7"/>
        <v>8.4699999999999775E-3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11"/>
      <c r="H36" s="10"/>
      <c r="I36" s="10">
        <f t="shared" si="8"/>
        <v>1623</v>
      </c>
      <c r="J36" s="10">
        <f t="shared" si="6"/>
        <v>60821752.054976083</v>
      </c>
      <c r="K36" s="11">
        <f t="shared" si="7"/>
        <v>8.5500000000000576E-3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11"/>
      <c r="H37" s="10"/>
      <c r="I37" s="10">
        <f t="shared" si="8"/>
        <v>1623</v>
      </c>
      <c r="J37" s="10">
        <f t="shared" si="6"/>
        <v>60306134.604110934</v>
      </c>
      <c r="K37" s="11">
        <f t="shared" si="7"/>
        <v>1.0469999999999979E-2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11"/>
      <c r="H38" s="10"/>
      <c r="I38" s="10">
        <f t="shared" si="8"/>
        <v>1623</v>
      </c>
      <c r="J38" s="10">
        <f t="shared" si="6"/>
        <v>59681271.689521648</v>
      </c>
      <c r="K38" s="11">
        <f t="shared" si="7"/>
        <v>1.5700000000000047E-2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11"/>
      <c r="H39" s="10"/>
      <c r="I39" s="10">
        <f t="shared" si="8"/>
        <v>1623</v>
      </c>
      <c r="J39" s="10">
        <f t="shared" si="6"/>
        <v>58758759.170544103</v>
      </c>
      <c r="K39" s="11">
        <f t="shared" si="7"/>
        <v>1.5870000000000051E-2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11"/>
      <c r="H40" s="10"/>
      <c r="I40" s="10">
        <f t="shared" si="8"/>
        <v>1623</v>
      </c>
      <c r="J40" s="10">
        <f t="shared" si="6"/>
        <v>57840825.273454376</v>
      </c>
      <c r="K40" s="11">
        <f t="shared" si="7"/>
        <v>1.6389999999999905E-2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11"/>
      <c r="H41" s="10"/>
      <c r="I41" s="10">
        <f t="shared" si="8"/>
        <v>1623</v>
      </c>
      <c r="J41" s="10">
        <f t="shared" si="6"/>
        <v>56908101.490032747</v>
      </c>
      <c r="K41" s="11">
        <f t="shared" si="7"/>
        <v>1.7470000000000097E-2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11"/>
      <c r="H42" s="10"/>
      <c r="I42" s="10">
        <f t="shared" si="8"/>
        <v>1623</v>
      </c>
      <c r="J42" s="10">
        <f t="shared" si="6"/>
        <v>55930987.144616298</v>
      </c>
      <c r="K42" s="11">
        <f t="shared" si="7"/>
        <v>1.6590000000000105E-2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11"/>
      <c r="H43" s="10"/>
      <c r="I43" s="10">
        <f t="shared" si="8"/>
        <v>1623</v>
      </c>
      <c r="J43" s="10">
        <f t="shared" si="6"/>
        <v>55018234.632070251</v>
      </c>
      <c r="K43" s="11">
        <f t="shared" si="7"/>
        <v>1.5479999999999938E-2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11"/>
      <c r="H44" s="10"/>
      <c r="I44" s="10">
        <f t="shared" si="8"/>
        <v>1623</v>
      </c>
      <c r="J44" s="10">
        <f t="shared" si="6"/>
        <v>54179535.423711203</v>
      </c>
      <c r="K44" s="11">
        <f t="shared" si="7"/>
        <v>1.4869999999999939E-2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11"/>
      <c r="H45" s="10"/>
      <c r="I45" s="10">
        <f t="shared" si="8"/>
        <v>1623</v>
      </c>
      <c r="J45" s="10">
        <f t="shared" si="6"/>
        <v>53385690.210284278</v>
      </c>
      <c r="K45" s="11">
        <f t="shared" si="7"/>
        <v>1.4140000000000041E-2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11"/>
      <c r="H46" s="10"/>
      <c r="I46" s="10">
        <f t="shared" si="8"/>
        <v>1623</v>
      </c>
      <c r="J46" s="10">
        <f t="shared" si="6"/>
        <v>52641341.639501721</v>
      </c>
      <c r="K46" s="11">
        <f t="shared" si="7"/>
        <v>2.0369999999999999E-2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11"/>
      <c r="H47" s="10"/>
      <c r="I47" s="10">
        <f t="shared" si="8"/>
        <v>1623</v>
      </c>
      <c r="J47" s="10">
        <f t="shared" si="6"/>
        <v>51590444.289328106</v>
      </c>
      <c r="K47" s="11">
        <f t="shared" si="7"/>
        <v>2.5390000000000024E-2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11"/>
      <c r="H48" s="10"/>
      <c r="I48" s="10">
        <f t="shared" si="8"/>
        <v>1623</v>
      </c>
      <c r="J48" s="10">
        <f t="shared" si="6"/>
        <v>50312997.288181186</v>
      </c>
      <c r="K48" s="11">
        <f t="shared" si="7"/>
        <v>2.6149999999999896E-2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11"/>
      <c r="H49" s="10"/>
      <c r="I49" s="10">
        <f t="shared" si="8"/>
        <v>1623</v>
      </c>
      <c r="J49" s="10">
        <f t="shared" si="6"/>
        <v>49030840.801229052</v>
      </c>
      <c r="K49" s="11">
        <f t="shared" si="7"/>
        <v>2.737999999999996E-2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11"/>
      <c r="H50" s="10"/>
      <c r="I50" s="10">
        <f t="shared" si="8"/>
        <v>1623</v>
      </c>
      <c r="J50" s="10">
        <f t="shared" si="6"/>
        <v>47724153.47897473</v>
      </c>
      <c r="K50" s="11">
        <f t="shared" si="7"/>
        <v>2.642000000000011E-2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11"/>
      <c r="H51" s="10"/>
      <c r="I51" s="10">
        <f t="shared" si="8"/>
        <v>1623</v>
      </c>
      <c r="J51" s="10">
        <f t="shared" si="6"/>
        <v>46495736.130409315</v>
      </c>
      <c r="K51" s="11">
        <f t="shared" si="7"/>
        <v>2.6350000000000096E-2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11"/>
      <c r="H52" s="10"/>
      <c r="I52" s="10">
        <f t="shared" si="8"/>
        <v>1623</v>
      </c>
      <c r="J52" s="10">
        <f t="shared" si="6"/>
        <v>45302027.700501107</v>
      </c>
      <c r="K52" s="11">
        <f t="shared" si="7"/>
        <v>2.5700000000000056E-2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11"/>
      <c r="H53" s="10"/>
      <c r="I53" s="10">
        <f t="shared" si="8"/>
        <v>1623</v>
      </c>
      <c r="J53" s="10">
        <f t="shared" si="6"/>
        <v>44166937.409087554</v>
      </c>
      <c r="K53" s="11">
        <f t="shared" si="7"/>
        <v>2.3919999999999941E-2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11"/>
      <c r="H54" s="10"/>
      <c r="I54" s="10">
        <f t="shared" si="8"/>
        <v>1623</v>
      </c>
      <c r="J54" s="10">
        <f t="shared" si="6"/>
        <v>43135144.746745408</v>
      </c>
      <c r="K54" s="11">
        <f t="shared" si="7"/>
        <v>2.389999999999981E-2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11"/>
      <c r="H55" s="10"/>
      <c r="I55" s="10">
        <f t="shared" si="8"/>
        <v>1623</v>
      </c>
      <c r="J55" s="10">
        <f t="shared" si="6"/>
        <v>42128278.881478086</v>
      </c>
      <c r="K55" s="11">
        <f t="shared" si="7"/>
        <v>2.0940000000000181E-2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11"/>
      <c r="H56" s="10"/>
      <c r="I56" s="10">
        <f t="shared" si="8"/>
        <v>1623</v>
      </c>
      <c r="J56" s="10">
        <f t="shared" si="6"/>
        <v>41264206.399473116</v>
      </c>
      <c r="K56" s="11">
        <f t="shared" si="7"/>
        <v>1.8389999999999684E-2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11"/>
      <c r="H57" s="10"/>
      <c r="I57" s="10">
        <f t="shared" si="8"/>
        <v>1623</v>
      </c>
      <c r="J57" s="10">
        <f t="shared" si="6"/>
        <v>40519060.870072491</v>
      </c>
      <c r="K57" s="11">
        <f t="shared" si="7"/>
        <v>1.6710000000000003E-2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11"/>
      <c r="H58" s="10"/>
      <c r="I58" s="10">
        <f t="shared" si="8"/>
        <v>1623</v>
      </c>
      <c r="J58" s="10">
        <f t="shared" si="6"/>
        <v>39853115.313189104</v>
      </c>
      <c r="K58" s="11">
        <f t="shared" si="7"/>
        <v>1.5570000000000306E-2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11"/>
      <c r="H59" s="10"/>
      <c r="I59" s="10">
        <f t="shared" si="8"/>
        <v>1623</v>
      </c>
      <c r="J59" s="10">
        <f t="shared" si="6"/>
        <v>39242115.573706485</v>
      </c>
      <c r="K59" s="11">
        <f t="shared" si="7"/>
        <v>8.920000000000039E-3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11"/>
      <c r="H60" s="10"/>
      <c r="I60" s="10">
        <f t="shared" si="8"/>
        <v>1623</v>
      </c>
      <c r="J60" s="10">
        <f t="shared" si="6"/>
        <v>38895170.651495151</v>
      </c>
      <c r="K60" s="11">
        <f t="shared" si="7"/>
        <v>7.1600000000002773E-3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11"/>
      <c r="H61" s="10"/>
      <c r="I61" s="10">
        <f t="shared" si="8"/>
        <v>1623</v>
      </c>
      <c r="J61" s="10">
        <f t="shared" si="6"/>
        <v>38618661.03845977</v>
      </c>
      <c r="K61" s="11">
        <f t="shared" si="7"/>
        <v>3.7999999999998035E-3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11"/>
      <c r="H62" s="10"/>
      <c r="I62" s="10">
        <f t="shared" si="8"/>
        <v>1623</v>
      </c>
      <c r="J62" s="10">
        <f t="shared" si="6"/>
        <v>38472465.668917887</v>
      </c>
      <c r="K62" s="11">
        <f t="shared" si="7"/>
        <v>1.9699999999998052E-3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11"/>
      <c r="H63" s="10"/>
      <c r="I63" s="10">
        <f t="shared" si="8"/>
        <v>1623</v>
      </c>
      <c r="J63" s="10">
        <f t="shared" si="6"/>
        <v>38396823.925784096</v>
      </c>
      <c r="K63" s="11">
        <f t="shared" si="7"/>
        <v>7.9000000000006843E-4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11"/>
      <c r="H64" s="10"/>
      <c r="I64" s="10">
        <f t="shared" si="8"/>
        <v>1623</v>
      </c>
      <c r="J64" s="10">
        <f t="shared" si="6"/>
        <v>38366514.379424348</v>
      </c>
      <c r="K64" s="11">
        <f t="shared" si="7"/>
        <v>4.247000000000023E-2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11"/>
      <c r="H65" s="10"/>
      <c r="I65" s="10">
        <f t="shared" si="8"/>
        <v>1623</v>
      </c>
      <c r="J65" s="10">
        <f t="shared" si="6"/>
        <v>36803470.967437282</v>
      </c>
      <c r="K65" s="11">
        <f t="shared" si="7"/>
        <v>1.5220000000000011E-2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6">
        <f>SUM(F2)</f>
        <v>76045</v>
      </c>
      <c r="G66" s="11"/>
      <c r="H66" s="10"/>
      <c r="I66" s="10">
        <f t="shared" si="8"/>
        <v>1623</v>
      </c>
      <c r="J66" s="10">
        <f t="shared" ref="J66:J97" si="9">IF(I66="","",I66*C66)</f>
        <v>36251719.792199999</v>
      </c>
      <c r="K66" s="11">
        <f t="shared" ref="K66:K97" si="10">IFERROR(J66/J67-1,"")</f>
        <v>1.6299999999999981E-2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11"/>
      <c r="H67" s="10"/>
      <c r="I67" s="10">
        <f t="shared" ref="I67:I98" si="11">IF(H67&lt;&gt;"",H67,I66/(1+IF(G66="",0,G66)))</f>
        <v>1623</v>
      </c>
      <c r="J67" s="10">
        <f t="shared" si="9"/>
        <v>35670294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5">
        <v>36478307</v>
      </c>
      <c r="G2" s="11"/>
      <c r="H2" s="10"/>
      <c r="I2" s="10">
        <f>IF(H2&lt;&gt;"",H2,929)</f>
        <v>929</v>
      </c>
      <c r="J2" s="10">
        <f t="shared" ref="J2:J33" si="3">IF(I2="","",I2*C2)</f>
        <v>33888112404.264488</v>
      </c>
      <c r="K2" s="11">
        <f t="shared" ref="K2:K33" si="4">IFERROR(J2/J3-1,"")</f>
        <v>3.1260000000000066E-2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11"/>
      <c r="H3" s="10"/>
      <c r="I3" s="10">
        <f t="shared" ref="I3:I34" si="5">IF(H3&lt;&gt;"",H3,I2/(1+IF(G2="",0,G2)))</f>
        <v>929</v>
      </c>
      <c r="J3" s="10">
        <f t="shared" si="3"/>
        <v>32860881256.195805</v>
      </c>
      <c r="K3" s="11">
        <f t="shared" si="4"/>
        <v>3.1320000000000014E-2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11"/>
      <c r="H4" s="10"/>
      <c r="I4" s="10">
        <f t="shared" si="5"/>
        <v>929</v>
      </c>
      <c r="J4" s="10">
        <f t="shared" si="3"/>
        <v>31862934158.356094</v>
      </c>
      <c r="K4" s="11">
        <f t="shared" si="4"/>
        <v>3.1900000000000039E-2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11"/>
      <c r="H5" s="10"/>
      <c r="I5" s="10">
        <f t="shared" si="5"/>
        <v>929</v>
      </c>
      <c r="J5" s="10">
        <f t="shared" si="3"/>
        <v>30877928247.268234</v>
      </c>
      <c r="K5" s="11">
        <f t="shared" si="4"/>
        <v>2.6440000000000019E-2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11"/>
      <c r="H6" s="10"/>
      <c r="I6" s="10">
        <f t="shared" si="5"/>
        <v>929</v>
      </c>
      <c r="J6" s="10">
        <f t="shared" si="3"/>
        <v>30082545737.956661</v>
      </c>
      <c r="K6" s="11">
        <f t="shared" si="4"/>
        <v>3.2049999999999912E-2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11"/>
      <c r="H7" s="10"/>
      <c r="I7" s="10">
        <f t="shared" si="5"/>
        <v>929</v>
      </c>
      <c r="J7" s="10">
        <f t="shared" si="3"/>
        <v>29148341396.208191</v>
      </c>
      <c r="K7" s="11">
        <f t="shared" si="4"/>
        <v>3.2610000000000028E-2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11"/>
      <c r="H8" s="10"/>
      <c r="I8" s="10">
        <f t="shared" si="5"/>
        <v>929</v>
      </c>
      <c r="J8" s="10">
        <f t="shared" si="3"/>
        <v>28227831801.171974</v>
      </c>
      <c r="K8" s="11">
        <f t="shared" si="4"/>
        <v>3.2350000000000101E-2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11"/>
      <c r="H9" s="10"/>
      <c r="I9" s="10">
        <f t="shared" si="5"/>
        <v>929</v>
      </c>
      <c r="J9" s="10">
        <f t="shared" si="3"/>
        <v>27343276796.795631</v>
      </c>
      <c r="K9" s="11">
        <f t="shared" si="4"/>
        <v>3.2810000000000006E-2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11"/>
      <c r="H10" s="10"/>
      <c r="I10" s="10">
        <f t="shared" si="5"/>
        <v>929</v>
      </c>
      <c r="J10" s="10">
        <f t="shared" si="3"/>
        <v>26474643735.823269</v>
      </c>
      <c r="K10" s="11">
        <f t="shared" si="4"/>
        <v>3.292000000000006E-2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11"/>
      <c r="H11" s="10"/>
      <c r="I11" s="10">
        <f t="shared" si="5"/>
        <v>929</v>
      </c>
      <c r="J11" s="10">
        <f t="shared" si="3"/>
        <v>25630875320.279659</v>
      </c>
      <c r="K11" s="11">
        <f t="shared" si="4"/>
        <v>3.283999999999998E-2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11"/>
      <c r="H12" s="10"/>
      <c r="I12" s="10">
        <f t="shared" si="5"/>
        <v>929</v>
      </c>
      <c r="J12" s="10">
        <f t="shared" si="3"/>
        <v>24815920491.343925</v>
      </c>
      <c r="K12" s="11">
        <f t="shared" si="4"/>
        <v>3.2769999999999966E-2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11"/>
      <c r="H13" s="10"/>
      <c r="I13" s="10">
        <f t="shared" si="5"/>
        <v>929</v>
      </c>
      <c r="J13" s="10">
        <f t="shared" si="3"/>
        <v>24028506338.627113</v>
      </c>
      <c r="K13" s="11">
        <f t="shared" si="4"/>
        <v>3.2739999999999991E-2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11"/>
      <c r="H14" s="10"/>
      <c r="I14" s="10">
        <f t="shared" si="5"/>
        <v>929</v>
      </c>
      <c r="J14" s="10">
        <f t="shared" si="3"/>
        <v>23266752850.308029</v>
      </c>
      <c r="K14" s="11">
        <f t="shared" si="4"/>
        <v>3.2010000000000094E-2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11"/>
      <c r="H15" s="10"/>
      <c r="I15" s="10">
        <f t="shared" si="5"/>
        <v>929</v>
      </c>
      <c r="J15" s="10">
        <f t="shared" si="3"/>
        <v>22545084689.400322</v>
      </c>
      <c r="K15" s="11">
        <f t="shared" si="4"/>
        <v>3.1560000000000032E-2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11"/>
      <c r="H16" s="10"/>
      <c r="I16" s="10">
        <f t="shared" si="5"/>
        <v>929</v>
      </c>
      <c r="J16" s="10">
        <f t="shared" si="3"/>
        <v>21855330460.080193</v>
      </c>
      <c r="K16" s="11">
        <f t="shared" si="4"/>
        <v>3.0559999999999699E-2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11"/>
      <c r="H17" s="10"/>
      <c r="I17" s="10">
        <f t="shared" si="5"/>
        <v>929</v>
      </c>
      <c r="J17" s="10">
        <f t="shared" si="3"/>
        <v>21207237288.542343</v>
      </c>
      <c r="K17" s="11">
        <f t="shared" si="4"/>
        <v>2.9570000000000096E-2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11"/>
      <c r="H18" s="10"/>
      <c r="I18" s="10">
        <f t="shared" si="5"/>
        <v>929</v>
      </c>
      <c r="J18" s="10">
        <f t="shared" si="3"/>
        <v>20598149993.242168</v>
      </c>
      <c r="K18" s="11">
        <f t="shared" si="4"/>
        <v>2.8680000000000039E-2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11"/>
      <c r="H19" s="10"/>
      <c r="I19" s="10">
        <f t="shared" si="5"/>
        <v>929</v>
      </c>
      <c r="J19" s="10">
        <f t="shared" si="3"/>
        <v>20023865529.84618</v>
      </c>
      <c r="K19" s="11">
        <f t="shared" si="4"/>
        <v>2.6899999999999702E-2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11"/>
      <c r="H20" s="10"/>
      <c r="I20" s="10">
        <f t="shared" si="5"/>
        <v>929</v>
      </c>
      <c r="J20" s="10">
        <f t="shared" si="3"/>
        <v>19499333459.778152</v>
      </c>
      <c r="K20" s="11">
        <f t="shared" si="4"/>
        <v>2.3709999999999898E-2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11"/>
      <c r="H21" s="10"/>
      <c r="I21" s="10">
        <f t="shared" si="5"/>
        <v>929</v>
      </c>
      <c r="J21" s="10">
        <f t="shared" si="3"/>
        <v>19047712203.434719</v>
      </c>
      <c r="K21" s="11">
        <f t="shared" si="4"/>
        <v>2.1709999999999896E-2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11"/>
      <c r="H22" s="10"/>
      <c r="I22" s="10">
        <f t="shared" si="5"/>
        <v>929</v>
      </c>
      <c r="J22" s="10">
        <f t="shared" si="3"/>
        <v>18642973254.088459</v>
      </c>
      <c r="K22" s="11">
        <f t="shared" si="4"/>
        <v>2.139000000000002E-2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11"/>
      <c r="H23" s="10"/>
      <c r="I23" s="10">
        <f t="shared" si="5"/>
        <v>929</v>
      </c>
      <c r="J23" s="10">
        <f t="shared" si="3"/>
        <v>18252551184.257198</v>
      </c>
      <c r="K23" s="11">
        <f t="shared" si="4"/>
        <v>2.195999999999998E-2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11"/>
      <c r="H24" s="10"/>
      <c r="I24" s="10">
        <f t="shared" si="5"/>
        <v>929</v>
      </c>
      <c r="J24" s="10">
        <f t="shared" si="3"/>
        <v>17860338158.300911</v>
      </c>
      <c r="K24" s="11">
        <f t="shared" si="4"/>
        <v>2.108000000000021E-2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11"/>
      <c r="H25" s="10"/>
      <c r="I25" s="10">
        <f t="shared" si="5"/>
        <v>929</v>
      </c>
      <c r="J25" s="10">
        <f t="shared" si="3"/>
        <v>17491614915.874279</v>
      </c>
      <c r="K25" s="11">
        <f t="shared" si="4"/>
        <v>2.059999999999973E-2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11"/>
      <c r="H26" s="10"/>
      <c r="I26" s="10">
        <f t="shared" si="5"/>
        <v>929</v>
      </c>
      <c r="J26" s="10">
        <f t="shared" si="3"/>
        <v>17138560568.169981</v>
      </c>
      <c r="K26" s="11">
        <f t="shared" si="4"/>
        <v>1.9700000000000051E-2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11"/>
      <c r="H27" s="10"/>
      <c r="I27" s="10">
        <f t="shared" si="5"/>
        <v>929</v>
      </c>
      <c r="J27" s="10">
        <f t="shared" si="3"/>
        <v>16807453729.694988</v>
      </c>
      <c r="K27" s="11">
        <f t="shared" si="4"/>
        <v>2.0010000000000083E-2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11"/>
      <c r="H28" s="10"/>
      <c r="I28" s="10">
        <f t="shared" si="5"/>
        <v>929</v>
      </c>
      <c r="J28" s="10">
        <f t="shared" si="3"/>
        <v>16477734267.012074</v>
      </c>
      <c r="K28" s="11">
        <f t="shared" si="4"/>
        <v>1.9349999999999756E-2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11"/>
      <c r="H29" s="10"/>
      <c r="I29" s="10">
        <f t="shared" si="5"/>
        <v>929</v>
      </c>
      <c r="J29" s="10">
        <f t="shared" si="3"/>
        <v>16164942627.176216</v>
      </c>
      <c r="K29" s="11">
        <f t="shared" si="4"/>
        <v>1.7859999999999987E-2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11"/>
      <c r="H30" s="10"/>
      <c r="I30" s="10">
        <f t="shared" si="5"/>
        <v>929</v>
      </c>
      <c r="J30" s="10">
        <f t="shared" si="3"/>
        <v>15881302563.393999</v>
      </c>
      <c r="K30" s="11">
        <f t="shared" si="4"/>
        <v>1.7039999999999944E-2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11"/>
      <c r="H31" s="10"/>
      <c r="I31" s="10">
        <f t="shared" si="5"/>
        <v>929</v>
      </c>
      <c r="J31" s="10">
        <f t="shared" si="3"/>
        <v>15615219227.753088</v>
      </c>
      <c r="K31" s="11">
        <f t="shared" si="4"/>
        <v>1.7800000000000038E-2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11"/>
      <c r="H32" s="10"/>
      <c r="I32" s="10">
        <f t="shared" si="5"/>
        <v>929</v>
      </c>
      <c r="J32" s="10">
        <f t="shared" si="3"/>
        <v>15342129325.754654</v>
      </c>
      <c r="K32" s="11">
        <f t="shared" si="4"/>
        <v>1.9269999999999898E-2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11"/>
      <c r="H33" s="10"/>
      <c r="I33" s="10">
        <f t="shared" si="5"/>
        <v>929</v>
      </c>
      <c r="J33" s="10">
        <f t="shared" si="3"/>
        <v>15052075824.614338</v>
      </c>
      <c r="K33" s="11">
        <f t="shared" si="4"/>
        <v>2.079999999999993E-2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11"/>
      <c r="H34" s="10"/>
      <c r="I34" s="10">
        <f t="shared" si="5"/>
        <v>929</v>
      </c>
      <c r="J34" s="10">
        <f t="shared" ref="J34:J65" si="6">IF(I34="","",I34*C34)</f>
        <v>14745372085.24132</v>
      </c>
      <c r="K34" s="11">
        <f t="shared" ref="K34:K65" si="7">IFERROR(J34/J35-1,"")</f>
        <v>2.2110000000000296E-2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11"/>
      <c r="H35" s="10"/>
      <c r="I35" s="10">
        <f t="shared" ref="I35:I66" si="8">IF(H35&lt;&gt;"",H35,I34/(1+IF(G34="",0,G34)))</f>
        <v>929</v>
      </c>
      <c r="J35" s="10">
        <f t="shared" si="6"/>
        <v>14426404286.46752</v>
      </c>
      <c r="K35" s="11">
        <f t="shared" si="7"/>
        <v>2.1729999999999805E-2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11"/>
      <c r="H36" s="10"/>
      <c r="I36" s="10">
        <f t="shared" si="8"/>
        <v>929</v>
      </c>
      <c r="J36" s="10">
        <f t="shared" si="6"/>
        <v>14119585689.436075</v>
      </c>
      <c r="K36" s="11">
        <f t="shared" si="7"/>
        <v>2.1330000000000071E-2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11"/>
      <c r="H37" s="10"/>
      <c r="I37" s="10">
        <f t="shared" si="8"/>
        <v>929</v>
      </c>
      <c r="J37" s="10">
        <f t="shared" si="6"/>
        <v>13824704737.387596</v>
      </c>
      <c r="K37" s="11">
        <f t="shared" si="7"/>
        <v>2.1300000000000097E-2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11"/>
      <c r="H38" s="10"/>
      <c r="I38" s="10">
        <f t="shared" si="8"/>
        <v>929</v>
      </c>
      <c r="J38" s="10">
        <f t="shared" si="6"/>
        <v>13536379846.653868</v>
      </c>
      <c r="K38" s="11">
        <f t="shared" si="7"/>
        <v>2.035000000000009E-2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11"/>
      <c r="H39" s="10"/>
      <c r="I39" s="10">
        <f t="shared" si="8"/>
        <v>929</v>
      </c>
      <c r="J39" s="10">
        <f t="shared" si="6"/>
        <v>13266408435.001585</v>
      </c>
      <c r="K39" s="11">
        <f t="shared" si="7"/>
        <v>1.9519999999999982E-2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11"/>
      <c r="H40" s="10"/>
      <c r="I40" s="10">
        <f t="shared" si="8"/>
        <v>929</v>
      </c>
      <c r="J40" s="10">
        <f t="shared" si="6"/>
        <v>13012406264.714361</v>
      </c>
      <c r="K40" s="11">
        <f t="shared" si="7"/>
        <v>1.9209999999999949E-2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11"/>
      <c r="H41" s="10"/>
      <c r="I41" s="10">
        <f t="shared" si="8"/>
        <v>929</v>
      </c>
      <c r="J41" s="10">
        <f t="shared" si="6"/>
        <v>12767149326.158852</v>
      </c>
      <c r="K41" s="11">
        <f t="shared" si="7"/>
        <v>1.7779999999999907E-2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11"/>
      <c r="H42" s="10"/>
      <c r="I42" s="10">
        <f t="shared" si="8"/>
        <v>929</v>
      </c>
      <c r="J42" s="10">
        <f t="shared" si="6"/>
        <v>12544114962.132143</v>
      </c>
      <c r="K42" s="11">
        <f t="shared" si="7"/>
        <v>1.8089999999999939E-2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11"/>
      <c r="H43" s="10"/>
      <c r="I43" s="10">
        <f t="shared" si="8"/>
        <v>929</v>
      </c>
      <c r="J43" s="10">
        <f t="shared" si="6"/>
        <v>12321224019.617268</v>
      </c>
      <c r="K43" s="11">
        <f t="shared" si="7"/>
        <v>1.7870000000000053E-2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11"/>
      <c r="H44" s="10"/>
      <c r="I44" s="10">
        <f t="shared" si="8"/>
        <v>929</v>
      </c>
      <c r="J44" s="10">
        <f t="shared" si="6"/>
        <v>12104909290.594345</v>
      </c>
      <c r="K44" s="11">
        <f t="shared" si="7"/>
        <v>1.7679999999999918E-2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11"/>
      <c r="H45" s="10"/>
      <c r="I45" s="10">
        <f t="shared" si="8"/>
        <v>929</v>
      </c>
      <c r="J45" s="10">
        <f t="shared" si="6"/>
        <v>11894612540.871735</v>
      </c>
      <c r="K45" s="11">
        <f t="shared" si="7"/>
        <v>1.6979999999999995E-2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11"/>
      <c r="H46" s="10"/>
      <c r="I46" s="10">
        <f t="shared" si="8"/>
        <v>929</v>
      </c>
      <c r="J46" s="10">
        <f t="shared" si="6"/>
        <v>11696014219.425882</v>
      </c>
      <c r="K46" s="11">
        <f t="shared" si="7"/>
        <v>1.5910000000000091E-2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11"/>
      <c r="H47" s="10"/>
      <c r="I47" s="10">
        <f t="shared" si="8"/>
        <v>929</v>
      </c>
      <c r="J47" s="10">
        <f t="shared" si="6"/>
        <v>11512844857.73925</v>
      </c>
      <c r="K47" s="11">
        <f t="shared" si="7"/>
        <v>1.6170000000000018E-2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11"/>
      <c r="H48" s="10"/>
      <c r="I48" s="10">
        <f t="shared" si="8"/>
        <v>929</v>
      </c>
      <c r="J48" s="10">
        <f t="shared" si="6"/>
        <v>11329644506.076</v>
      </c>
      <c r="K48" s="11">
        <f t="shared" si="7"/>
        <v>1.5549999999999953E-2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11"/>
      <c r="H49" s="10"/>
      <c r="I49" s="10">
        <f t="shared" si="8"/>
        <v>929</v>
      </c>
      <c r="J49" s="10">
        <f t="shared" si="6"/>
        <v>11156166122.865444</v>
      </c>
      <c r="K49" s="11">
        <f t="shared" si="7"/>
        <v>1.5349999999999975E-2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11"/>
      <c r="H50" s="10"/>
      <c r="I50" s="10">
        <f t="shared" si="8"/>
        <v>929</v>
      </c>
      <c r="J50" s="10">
        <f t="shared" si="6"/>
        <v>10987507876.954197</v>
      </c>
      <c r="K50" s="11">
        <f t="shared" si="7"/>
        <v>1.5149999999999997E-2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11"/>
      <c r="H51" s="10"/>
      <c r="I51" s="10">
        <f t="shared" si="8"/>
        <v>929</v>
      </c>
      <c r="J51" s="10">
        <f t="shared" si="6"/>
        <v>10823531376.598726</v>
      </c>
      <c r="K51" s="11">
        <f t="shared" si="7"/>
        <v>1.4680000000000026E-2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11"/>
      <c r="H52" s="10"/>
      <c r="I52" s="10">
        <f t="shared" si="8"/>
        <v>929</v>
      </c>
      <c r="J52" s="10">
        <f t="shared" si="6"/>
        <v>10666940687.309029</v>
      </c>
      <c r="K52" s="11">
        <f t="shared" si="7"/>
        <v>1.4920000000000044E-2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11"/>
      <c r="H53" s="10"/>
      <c r="I53" s="10">
        <f t="shared" si="8"/>
        <v>929</v>
      </c>
      <c r="J53" s="10">
        <f t="shared" si="6"/>
        <v>10510129554.358007</v>
      </c>
      <c r="K53" s="11">
        <f t="shared" si="7"/>
        <v>1.4650000000000052E-2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11"/>
      <c r="H54" s="10"/>
      <c r="I54" s="10">
        <f t="shared" si="8"/>
        <v>929</v>
      </c>
      <c r="J54" s="10">
        <f t="shared" si="6"/>
        <v>10358379297.64747</v>
      </c>
      <c r="K54" s="11">
        <f t="shared" si="7"/>
        <v>1.4720000000000066E-2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11"/>
      <c r="H55" s="10"/>
      <c r="I55" s="10">
        <f t="shared" si="8"/>
        <v>929</v>
      </c>
      <c r="J55" s="10">
        <f t="shared" si="6"/>
        <v>10208115832.591719</v>
      </c>
      <c r="K55" s="11">
        <f t="shared" si="7"/>
        <v>1.4790000000000081E-2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11"/>
      <c r="H56" s="10"/>
      <c r="I56" s="10">
        <f t="shared" si="8"/>
        <v>929</v>
      </c>
      <c r="J56" s="10">
        <f t="shared" si="6"/>
        <v>10059338220.313284</v>
      </c>
      <c r="K56" s="11">
        <f t="shared" si="7"/>
        <v>1.4769999999999728E-2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11"/>
      <c r="H57" s="10"/>
      <c r="I57" s="10">
        <f t="shared" si="8"/>
        <v>929</v>
      </c>
      <c r="J57" s="10">
        <f t="shared" si="6"/>
        <v>9912924327.9888897</v>
      </c>
      <c r="K57" s="11">
        <f t="shared" si="7"/>
        <v>1.4530000000000154E-2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11"/>
      <c r="H58" s="10"/>
      <c r="I58" s="10">
        <f t="shared" si="8"/>
        <v>929</v>
      </c>
      <c r="J58" s="10">
        <f t="shared" si="6"/>
        <v>9770952389.7655945</v>
      </c>
      <c r="K58" s="11">
        <f t="shared" si="7"/>
        <v>1.4149999999999885E-2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11"/>
      <c r="H59" s="10"/>
      <c r="I59" s="10">
        <f t="shared" si="8"/>
        <v>929</v>
      </c>
      <c r="J59" s="10">
        <f t="shared" si="6"/>
        <v>9634622481.6502438</v>
      </c>
      <c r="K59" s="11">
        <f t="shared" si="7"/>
        <v>1.3130000000000086E-2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11"/>
      <c r="H60" s="10"/>
      <c r="I60" s="10">
        <f t="shared" si="8"/>
        <v>929</v>
      </c>
      <c r="J60" s="10">
        <f t="shared" si="6"/>
        <v>9509759341.4963951</v>
      </c>
      <c r="K60" s="11">
        <f t="shared" si="7"/>
        <v>1.3830000000000009E-2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11"/>
      <c r="H61" s="10"/>
      <c r="I61" s="10">
        <f t="shared" si="8"/>
        <v>929</v>
      </c>
      <c r="J61" s="10">
        <f t="shared" si="6"/>
        <v>9380033478.4888935</v>
      </c>
      <c r="K61" s="11">
        <f t="shared" si="7"/>
        <v>1.3819999999999943E-2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11"/>
      <c r="H62" s="10"/>
      <c r="I62" s="10">
        <f t="shared" si="8"/>
        <v>929</v>
      </c>
      <c r="J62" s="10">
        <f t="shared" si="6"/>
        <v>9252168509.6850471</v>
      </c>
      <c r="K62" s="11">
        <f t="shared" si="7"/>
        <v>1.3779999999999903E-2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11"/>
      <c r="H63" s="10"/>
      <c r="I63" s="10">
        <f t="shared" si="8"/>
        <v>929</v>
      </c>
      <c r="J63" s="10">
        <f t="shared" si="6"/>
        <v>9126406626.3736191</v>
      </c>
      <c r="K63" s="11">
        <f t="shared" si="7"/>
        <v>1.3789999999999969E-2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11"/>
      <c r="H64" s="10"/>
      <c r="I64" s="10">
        <f t="shared" si="8"/>
        <v>929</v>
      </c>
      <c r="J64" s="10">
        <f t="shared" si="6"/>
        <v>9002265386.6911488</v>
      </c>
      <c r="K64" s="11">
        <f t="shared" si="7"/>
        <v>1.3789999999999969E-2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11"/>
      <c r="H65" s="10"/>
      <c r="I65" s="10">
        <f t="shared" si="8"/>
        <v>929</v>
      </c>
      <c r="J65" s="10">
        <f t="shared" si="6"/>
        <v>8879812768.61199</v>
      </c>
      <c r="K65" s="11">
        <f t="shared" si="7"/>
        <v>1.4319999999999888E-2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6">
        <f>SUM(F2)</f>
        <v>36478307</v>
      </c>
      <c r="G66" s="11"/>
      <c r="H66" s="10"/>
      <c r="I66" s="10">
        <f t="shared" si="8"/>
        <v>929</v>
      </c>
      <c r="J66" s="10">
        <f t="shared" ref="J66:J97" si="9">IF(I66="","",I66*C66)</f>
        <v>8754449058.0999985</v>
      </c>
      <c r="K66" s="11">
        <f t="shared" ref="K66:K97" si="10">IFERROR(J66/J67-1,"")</f>
        <v>1.4699999999999713E-2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11"/>
      <c r="H67" s="10"/>
      <c r="I67" s="10">
        <f t="shared" ref="I67:I98" si="11">IF(H67&lt;&gt;"",H67,I66/(1+IF(G66="",0,G66)))</f>
        <v>929</v>
      </c>
      <c r="J67" s="10">
        <f t="shared" si="9"/>
        <v>8627623000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5">
        <v>81313729</v>
      </c>
      <c r="G2" s="11"/>
      <c r="H2" s="10"/>
      <c r="I2" s="10">
        <f>IF(H2&lt;&gt;"",H2,20635)</f>
        <v>20635</v>
      </c>
      <c r="J2" s="10">
        <f t="shared" ref="J2:J33" si="3">IF(I2="","",I2*C2)</f>
        <v>1677980897357.4941</v>
      </c>
      <c r="K2" s="11">
        <f t="shared" ref="K2:K33" si="4">IFERROR(J2/J3-1,"")</f>
        <v>3.7000000000000366E-3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11"/>
      <c r="H3" s="10"/>
      <c r="I3" s="10">
        <f t="shared" ref="I3:I34" si="5">IF(H3&lt;&gt;"",H3,I2/(1+IF(G2="",0,G2)))</f>
        <v>20635</v>
      </c>
      <c r="J3" s="10">
        <f t="shared" si="3"/>
        <v>1671795254914.311</v>
      </c>
      <c r="K3" s="11">
        <f t="shared" si="4"/>
        <v>3.9999999999997815E-3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11"/>
      <c r="H4" s="10"/>
      <c r="I4" s="10">
        <f t="shared" si="5"/>
        <v>20635</v>
      </c>
      <c r="J4" s="10">
        <f t="shared" si="3"/>
        <v>1665134716050.1108</v>
      </c>
      <c r="K4" s="11">
        <f t="shared" si="4"/>
        <v>3.9200000000001456E-3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11"/>
      <c r="H5" s="10"/>
      <c r="I5" s="10">
        <f t="shared" si="5"/>
        <v>20635</v>
      </c>
      <c r="J5" s="10">
        <f t="shared" si="3"/>
        <v>1658632875179.4075</v>
      </c>
      <c r="K5" s="11">
        <f t="shared" si="4"/>
        <v>4.0199999999996905E-3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11"/>
      <c r="H6" s="10"/>
      <c r="I6" s="10">
        <f t="shared" si="5"/>
        <v>20635</v>
      </c>
      <c r="J6" s="10">
        <f t="shared" si="3"/>
        <v>1651991867870.5681</v>
      </c>
      <c r="K6" s="11">
        <f t="shared" si="4"/>
        <v>4.2999999999999705E-3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11"/>
      <c r="H7" s="10"/>
      <c r="I7" s="10">
        <f t="shared" si="5"/>
        <v>20635</v>
      </c>
      <c r="J7" s="10">
        <f t="shared" si="3"/>
        <v>1644918717385.8091</v>
      </c>
      <c r="K7" s="11">
        <f t="shared" si="4"/>
        <v>4.2199999999998905E-3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11"/>
      <c r="H8" s="10"/>
      <c r="I8" s="10">
        <f t="shared" si="5"/>
        <v>20635</v>
      </c>
      <c r="J8" s="10">
        <f t="shared" si="3"/>
        <v>1638006330670.3801</v>
      </c>
      <c r="K8" s="11">
        <f t="shared" si="4"/>
        <v>4.450000000000065E-3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11"/>
      <c r="H9" s="10"/>
      <c r="I9" s="10">
        <f t="shared" si="5"/>
        <v>20635</v>
      </c>
      <c r="J9" s="10">
        <f t="shared" si="3"/>
        <v>1630749495415.7798</v>
      </c>
      <c r="K9" s="11">
        <f t="shared" si="4"/>
        <v>6.7200000000000593E-3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11"/>
      <c r="H10" s="10"/>
      <c r="I10" s="10">
        <f t="shared" si="5"/>
        <v>20635</v>
      </c>
      <c r="J10" s="10">
        <f t="shared" si="3"/>
        <v>1619864009273.4622</v>
      </c>
      <c r="K10" s="11">
        <f t="shared" si="4"/>
        <v>5.2499999999999769E-3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11"/>
      <c r="H11" s="10"/>
      <c r="I11" s="10">
        <f t="shared" si="5"/>
        <v>20635</v>
      </c>
      <c r="J11" s="10">
        <f t="shared" si="3"/>
        <v>1611404137551.3179</v>
      </c>
      <c r="K11" s="11">
        <f t="shared" si="4"/>
        <v>3.7599999999999856E-3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11"/>
      <c r="H12" s="10"/>
      <c r="I12" s="10">
        <f t="shared" si="5"/>
        <v>20635</v>
      </c>
      <c r="J12" s="10">
        <f t="shared" si="3"/>
        <v>1605367954044.1121</v>
      </c>
      <c r="K12" s="11">
        <f t="shared" si="4"/>
        <v>4.2500000000003091E-3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11"/>
      <c r="H13" s="10"/>
      <c r="I13" s="10">
        <f t="shared" si="5"/>
        <v>20635</v>
      </c>
      <c r="J13" s="10">
        <f t="shared" si="3"/>
        <v>1598574014482.5608</v>
      </c>
      <c r="K13" s="11">
        <f t="shared" si="4"/>
        <v>7.5199999999999712E-3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11"/>
      <c r="H14" s="10"/>
      <c r="I14" s="10">
        <f t="shared" si="5"/>
        <v>20635</v>
      </c>
      <c r="J14" s="10">
        <f t="shared" si="3"/>
        <v>1586642463159.6006</v>
      </c>
      <c r="K14" s="11">
        <f t="shared" si="4"/>
        <v>7.5699999999998546E-3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11"/>
      <c r="H15" s="10"/>
      <c r="I15" s="10">
        <f t="shared" si="5"/>
        <v>20635</v>
      </c>
      <c r="J15" s="10">
        <f t="shared" si="3"/>
        <v>1574721818989.8477</v>
      </c>
      <c r="K15" s="11">
        <f t="shared" si="4"/>
        <v>3.5100000000001241E-3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11"/>
      <c r="H16" s="10"/>
      <c r="I16" s="10">
        <f t="shared" si="5"/>
        <v>20635</v>
      </c>
      <c r="J16" s="10">
        <f t="shared" si="3"/>
        <v>1569213878277.095</v>
      </c>
      <c r="K16" s="11">
        <f t="shared" si="4"/>
        <v>3.5000000000000586E-3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11"/>
      <c r="H17" s="10"/>
      <c r="I17" s="10">
        <f t="shared" si="5"/>
        <v>20635</v>
      </c>
      <c r="J17" s="10">
        <f t="shared" si="3"/>
        <v>1563740785527.7478</v>
      </c>
      <c r="K17" s="11">
        <f t="shared" si="4"/>
        <v>6.6999999999994841E-4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11"/>
      <c r="H18" s="10"/>
      <c r="I18" s="10">
        <f t="shared" si="5"/>
        <v>20635</v>
      </c>
      <c r="J18" s="10">
        <f t="shared" si="3"/>
        <v>1562693780694.6824</v>
      </c>
      <c r="K18" s="11">
        <f t="shared" si="4"/>
        <v>4.2000000000030902E-4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11"/>
      <c r="H19" s="10"/>
      <c r="I19" s="10">
        <f t="shared" si="5"/>
        <v>20635</v>
      </c>
      <c r="J19" s="10">
        <f t="shared" si="3"/>
        <v>1562037724850.2449</v>
      </c>
      <c r="K19" s="11">
        <f t="shared" si="4"/>
        <v>4.6999999999997044E-4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11"/>
      <c r="H20" s="10"/>
      <c r="I20" s="10">
        <f t="shared" si="5"/>
        <v>20635</v>
      </c>
      <c r="J20" s="10">
        <f t="shared" si="3"/>
        <v>1561303912011.5996</v>
      </c>
      <c r="K20" s="11">
        <f t="shared" si="4"/>
        <v>4.2999999999970839E-4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11"/>
      <c r="H21" s="10"/>
      <c r="I21" s="10">
        <f t="shared" si="5"/>
        <v>20635</v>
      </c>
      <c r="J21" s="10">
        <f t="shared" si="3"/>
        <v>1560632839890.447</v>
      </c>
      <c r="K21" s="11">
        <f t="shared" si="4"/>
        <v>5.2000000000007596E-4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11"/>
      <c r="H22" s="10"/>
      <c r="I22" s="10">
        <f t="shared" si="5"/>
        <v>20635</v>
      </c>
      <c r="J22" s="10">
        <f t="shared" si="3"/>
        <v>1559821732589.5002</v>
      </c>
      <c r="K22" s="11">
        <f t="shared" si="4"/>
        <v>3.4999999999985043E-4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11"/>
      <c r="H23" s="10"/>
      <c r="I23" s="10">
        <f t="shared" si="5"/>
        <v>20635</v>
      </c>
      <c r="J23" s="10">
        <f t="shared" si="3"/>
        <v>1559275985994.4023</v>
      </c>
      <c r="K23" s="11">
        <f t="shared" si="4"/>
        <v>1.3499999999999623E-3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11"/>
      <c r="H24" s="10"/>
      <c r="I24" s="10">
        <f t="shared" si="5"/>
        <v>20635</v>
      </c>
      <c r="J24" s="10">
        <f t="shared" si="3"/>
        <v>1557173801362.563</v>
      </c>
      <c r="K24" s="11">
        <f t="shared" si="4"/>
        <v>1.5000000000000568E-3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11"/>
      <c r="H25" s="10"/>
      <c r="I25" s="10">
        <f t="shared" si="5"/>
        <v>20635</v>
      </c>
      <c r="J25" s="10">
        <f t="shared" si="3"/>
        <v>1554841539053.9819</v>
      </c>
      <c r="K25" s="11">
        <f t="shared" si="4"/>
        <v>1.2499999999999734E-3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11"/>
      <c r="H26" s="10"/>
      <c r="I26" s="10">
        <f t="shared" si="5"/>
        <v>20635</v>
      </c>
      <c r="J26" s="10">
        <f t="shared" si="3"/>
        <v>1552900413537.0605</v>
      </c>
      <c r="K26" s="11">
        <f t="shared" si="4"/>
        <v>4.9000000000010147E-4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11"/>
      <c r="H27" s="10"/>
      <c r="I27" s="10">
        <f t="shared" si="5"/>
        <v>20635</v>
      </c>
      <c r="J27" s="10">
        <f t="shared" si="3"/>
        <v>1552139865003.209</v>
      </c>
      <c r="K27" s="11">
        <f t="shared" si="4"/>
        <v>1.0500000000002174E-3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11"/>
      <c r="H28" s="10"/>
      <c r="I28" s="10">
        <f t="shared" si="5"/>
        <v>20635</v>
      </c>
      <c r="J28" s="10">
        <f t="shared" si="3"/>
        <v>1550511827584.2454</v>
      </c>
      <c r="K28" s="11">
        <f t="shared" si="4"/>
        <v>8.6999999999992639E-4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11"/>
      <c r="H29" s="10"/>
      <c r="I29" s="10">
        <f t="shared" si="5"/>
        <v>20635</v>
      </c>
      <c r="J29" s="10">
        <f t="shared" si="3"/>
        <v>1549164054856.5203</v>
      </c>
      <c r="K29" s="11">
        <f t="shared" si="4"/>
        <v>8.2000000000004292E-4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11"/>
      <c r="H30" s="10"/>
      <c r="I30" s="10">
        <f t="shared" si="5"/>
        <v>20635</v>
      </c>
      <c r="J30" s="10">
        <f t="shared" si="3"/>
        <v>1547894781135.9888</v>
      </c>
      <c r="K30" s="11">
        <f t="shared" si="4"/>
        <v>4.8000000000003595E-4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11"/>
      <c r="H31" s="10"/>
      <c r="I31" s="10">
        <f t="shared" si="5"/>
        <v>20635</v>
      </c>
      <c r="J31" s="10">
        <f t="shared" si="3"/>
        <v>1547152148104.8982</v>
      </c>
      <c r="K31" s="11">
        <f t="shared" si="4"/>
        <v>8.9999999999923475E-5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11"/>
      <c r="H32" s="10"/>
      <c r="I32" s="10">
        <f t="shared" si="5"/>
        <v>20635</v>
      </c>
      <c r="J32" s="10">
        <f t="shared" si="3"/>
        <v>1547012916942.3735</v>
      </c>
      <c r="K32" s="11">
        <f t="shared" si="4"/>
        <v>6.3999999999997392E-4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11"/>
      <c r="H33" s="10"/>
      <c r="I33" s="10">
        <f t="shared" si="5"/>
        <v>20635</v>
      </c>
      <c r="J33" s="10">
        <f t="shared" si="3"/>
        <v>1546023461926.7405</v>
      </c>
      <c r="K33" s="11">
        <f t="shared" si="4"/>
        <v>9.5000000000000639E-4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11"/>
      <c r="H34" s="10"/>
      <c r="I34" s="10">
        <f t="shared" si="5"/>
        <v>20635</v>
      </c>
      <c r="J34" s="10">
        <f t="shared" ref="J34:J65" si="6">IF(I34="","",I34*C34)</f>
        <v>1544556133599.8208</v>
      </c>
      <c r="K34" s="11">
        <f t="shared" ref="K34:K65" si="7">IFERROR(J34/J35-1,"")</f>
        <v>5.9999999999993392E-4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11"/>
      <c r="H35" s="10"/>
      <c r="I35" s="10">
        <f t="shared" ref="I35:I66" si="8">IF(H35&lt;&gt;"",H35,I34/(1+IF(G34="",0,G34)))</f>
        <v>20635</v>
      </c>
      <c r="J35" s="10">
        <f t="shared" si="6"/>
        <v>1543629955626.4451</v>
      </c>
      <c r="K35" s="11">
        <f t="shared" si="7"/>
        <v>1.0499999999999954E-3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11"/>
      <c r="H36" s="10"/>
      <c r="I36" s="10">
        <f t="shared" si="8"/>
        <v>20635</v>
      </c>
      <c r="J36" s="10">
        <f t="shared" si="6"/>
        <v>1542010844239.9929</v>
      </c>
      <c r="K36" s="11">
        <f t="shared" si="7"/>
        <v>1.5099999999999003E-3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11"/>
      <c r="H37" s="10"/>
      <c r="I37" s="10">
        <f t="shared" si="8"/>
        <v>20635</v>
      </c>
      <c r="J37" s="10">
        <f t="shared" si="6"/>
        <v>1539685918503.0535</v>
      </c>
      <c r="K37" s="11">
        <f t="shared" si="7"/>
        <v>6.8099999999999827E-3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11"/>
      <c r="H38" s="10"/>
      <c r="I38" s="10">
        <f t="shared" si="8"/>
        <v>20635</v>
      </c>
      <c r="J38" s="10">
        <f t="shared" si="6"/>
        <v>1529271579049.7249</v>
      </c>
      <c r="K38" s="11">
        <f t="shared" si="7"/>
        <v>3.1200000000000117E-3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11"/>
      <c r="H39" s="10"/>
      <c r="I39" s="10">
        <f t="shared" si="8"/>
        <v>20635</v>
      </c>
      <c r="J39" s="10">
        <f t="shared" si="6"/>
        <v>1524515091962.8008</v>
      </c>
      <c r="K39" s="11">
        <f t="shared" si="7"/>
        <v>3.7799999999996725E-3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11"/>
      <c r="H40" s="10"/>
      <c r="I40" s="10">
        <f t="shared" si="8"/>
        <v>20635</v>
      </c>
      <c r="J40" s="10">
        <f t="shared" si="6"/>
        <v>1518774125767.4004</v>
      </c>
      <c r="K40" s="11">
        <f t="shared" si="7"/>
        <v>4.2599999999999305E-3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11"/>
      <c r="H41" s="10"/>
      <c r="I41" s="10">
        <f t="shared" si="8"/>
        <v>20635</v>
      </c>
      <c r="J41" s="10">
        <f t="shared" si="6"/>
        <v>1512331593180.4517</v>
      </c>
      <c r="K41" s="11">
        <f t="shared" si="7"/>
        <v>4.9200000000000355E-3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11"/>
      <c r="H42" s="10"/>
      <c r="I42" s="10">
        <f t="shared" si="8"/>
        <v>20635</v>
      </c>
      <c r="J42" s="10">
        <f t="shared" si="6"/>
        <v>1504927350615.4238</v>
      </c>
      <c r="K42" s="11">
        <f t="shared" si="7"/>
        <v>5.6899999999999729E-3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11"/>
      <c r="H43" s="10"/>
      <c r="I43" s="10">
        <f t="shared" si="8"/>
        <v>20635</v>
      </c>
      <c r="J43" s="10">
        <f t="shared" si="6"/>
        <v>1496412761999.6458</v>
      </c>
      <c r="K43" s="11">
        <f t="shared" si="7"/>
        <v>6.8600000000000882E-3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11"/>
      <c r="H44" s="10"/>
      <c r="I44" s="10">
        <f t="shared" si="8"/>
        <v>20635</v>
      </c>
      <c r="J44" s="10">
        <f t="shared" si="6"/>
        <v>1486217311244.5083</v>
      </c>
      <c r="K44" s="11">
        <f t="shared" si="7"/>
        <v>6.6999999999999282E-3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11"/>
      <c r="H45" s="10"/>
      <c r="I45" s="10">
        <f t="shared" si="8"/>
        <v>20635</v>
      </c>
      <c r="J45" s="10">
        <f t="shared" si="6"/>
        <v>1476325927530.0571</v>
      </c>
      <c r="K45" s="11">
        <f t="shared" si="7"/>
        <v>7.4200000000002042E-3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11"/>
      <c r="H46" s="10"/>
      <c r="I46" s="10">
        <f t="shared" si="8"/>
        <v>20635</v>
      </c>
      <c r="J46" s="10">
        <f t="shared" si="6"/>
        <v>1465452271674.2341</v>
      </c>
      <c r="K46" s="11">
        <f t="shared" si="7"/>
        <v>5.9299999999999908E-3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11"/>
      <c r="H47" s="10"/>
      <c r="I47" s="10">
        <f t="shared" si="8"/>
        <v>20635</v>
      </c>
      <c r="J47" s="10">
        <f t="shared" si="6"/>
        <v>1456813368399.6243</v>
      </c>
      <c r="K47" s="11">
        <f t="shared" si="7"/>
        <v>5.9299999999999908E-3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11"/>
      <c r="H48" s="10"/>
      <c r="I48" s="10">
        <f t="shared" si="8"/>
        <v>20635</v>
      </c>
      <c r="J48" s="10">
        <f t="shared" si="6"/>
        <v>1448225391826.0955</v>
      </c>
      <c r="K48" s="11">
        <f t="shared" si="7"/>
        <v>6.4800000000002633E-3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11"/>
      <c r="H49" s="10"/>
      <c r="I49" s="10">
        <f t="shared" si="8"/>
        <v>20635</v>
      </c>
      <c r="J49" s="10">
        <f t="shared" si="6"/>
        <v>1438901311328.6853</v>
      </c>
      <c r="K49" s="11">
        <f t="shared" si="7"/>
        <v>6.6800000000000193E-3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11"/>
      <c r="H50" s="10"/>
      <c r="I50" s="10">
        <f t="shared" si="8"/>
        <v>20635</v>
      </c>
      <c r="J50" s="10">
        <f t="shared" si="6"/>
        <v>1429353231740.6577</v>
      </c>
      <c r="K50" s="11">
        <f t="shared" si="7"/>
        <v>7.5499999999999456E-3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11"/>
      <c r="H51" s="10"/>
      <c r="I51" s="10">
        <f t="shared" si="8"/>
        <v>20635</v>
      </c>
      <c r="J51" s="10">
        <f t="shared" si="6"/>
        <v>1418642481009.0396</v>
      </c>
      <c r="K51" s="11">
        <f t="shared" si="7"/>
        <v>8.539999999999992E-3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11"/>
      <c r="H52" s="10"/>
      <c r="I52" s="10">
        <f t="shared" si="8"/>
        <v>20635</v>
      </c>
      <c r="J52" s="10">
        <f t="shared" si="6"/>
        <v>1406629861987.6648</v>
      </c>
      <c r="K52" s="11">
        <f t="shared" si="7"/>
        <v>8.4200000000000941E-3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11"/>
      <c r="H53" s="10"/>
      <c r="I53" s="10">
        <f t="shared" si="8"/>
        <v>20635</v>
      </c>
      <c r="J53" s="10">
        <f t="shared" si="6"/>
        <v>1394884930869.7415</v>
      </c>
      <c r="K53" s="11">
        <f t="shared" si="7"/>
        <v>9.5799999999999219E-3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11"/>
      <c r="H54" s="10"/>
      <c r="I54" s="10">
        <f t="shared" si="8"/>
        <v>20635</v>
      </c>
      <c r="J54" s="10">
        <f t="shared" si="6"/>
        <v>1381648735979.0623</v>
      </c>
      <c r="K54" s="11">
        <f t="shared" si="7"/>
        <v>8.0800000000000871E-3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11"/>
      <c r="H55" s="10"/>
      <c r="I55" s="10">
        <f t="shared" si="8"/>
        <v>20635</v>
      </c>
      <c r="J55" s="10">
        <f t="shared" si="6"/>
        <v>1370574494067.0007</v>
      </c>
      <c r="K55" s="11">
        <f t="shared" si="7"/>
        <v>7.8199999999999381E-3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11"/>
      <c r="H56" s="10"/>
      <c r="I56" s="10">
        <f t="shared" si="8"/>
        <v>20635</v>
      </c>
      <c r="J56" s="10">
        <f t="shared" si="6"/>
        <v>1359939765103.8884</v>
      </c>
      <c r="K56" s="11">
        <f t="shared" si="7"/>
        <v>6.3899999999998958E-3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11"/>
      <c r="H57" s="10"/>
      <c r="I57" s="10">
        <f t="shared" si="8"/>
        <v>20635</v>
      </c>
      <c r="J57" s="10">
        <f t="shared" si="6"/>
        <v>1351304926622.769</v>
      </c>
      <c r="K57" s="11">
        <f t="shared" si="7"/>
        <v>5.7199999999999473E-3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11"/>
      <c r="H58" s="10"/>
      <c r="I58" s="10">
        <f t="shared" si="8"/>
        <v>20635</v>
      </c>
      <c r="J58" s="10">
        <f t="shared" si="6"/>
        <v>1343619423520.2334</v>
      </c>
      <c r="K58" s="11">
        <f t="shared" si="7"/>
        <v>6.2400000000000233E-3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11"/>
      <c r="H59" s="10"/>
      <c r="I59" s="10">
        <f t="shared" si="8"/>
        <v>20635</v>
      </c>
      <c r="J59" s="10">
        <f t="shared" si="6"/>
        <v>1335287231197.5605</v>
      </c>
      <c r="K59" s="11">
        <f t="shared" si="7"/>
        <v>5.6700000000000639E-3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11"/>
      <c r="H60" s="10"/>
      <c r="I60" s="10">
        <f t="shared" si="8"/>
        <v>20635</v>
      </c>
      <c r="J60" s="10">
        <f t="shared" si="6"/>
        <v>1327758838582.7959</v>
      </c>
      <c r="K60" s="11">
        <f t="shared" si="7"/>
        <v>5.3999999999998494E-3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11"/>
      <c r="H61" s="10"/>
      <c r="I61" s="10">
        <f t="shared" si="8"/>
        <v>20635</v>
      </c>
      <c r="J61" s="10">
        <f t="shared" si="6"/>
        <v>1320627450350.9011</v>
      </c>
      <c r="K61" s="11">
        <f t="shared" si="7"/>
        <v>5.1200000000000134E-3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11"/>
      <c r="H62" s="10"/>
      <c r="I62" s="10">
        <f t="shared" si="8"/>
        <v>20635</v>
      </c>
      <c r="J62" s="10">
        <f t="shared" si="6"/>
        <v>1313900280912.6284</v>
      </c>
      <c r="K62" s="11">
        <f t="shared" si="7"/>
        <v>6.1199999999999033E-3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11"/>
      <c r="H63" s="10"/>
      <c r="I63" s="10">
        <f t="shared" si="8"/>
        <v>20635</v>
      </c>
      <c r="J63" s="10">
        <f t="shared" si="6"/>
        <v>1305908123198.6528</v>
      </c>
      <c r="K63" s="11">
        <f t="shared" si="7"/>
        <v>6.3200000000001033E-3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11"/>
      <c r="H64" s="10"/>
      <c r="I64" s="10">
        <f t="shared" si="8"/>
        <v>20635</v>
      </c>
      <c r="J64" s="10">
        <f t="shared" si="6"/>
        <v>1297706617376.8311</v>
      </c>
      <c r="K64" s="11">
        <f t="shared" si="7"/>
        <v>1.1390000000000011E-2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11"/>
      <c r="H65" s="10"/>
      <c r="I65" s="10">
        <f t="shared" si="8"/>
        <v>20635</v>
      </c>
      <c r="J65" s="10">
        <f t="shared" si="6"/>
        <v>1283092197250.1519</v>
      </c>
      <c r="K65" s="11">
        <f t="shared" si="7"/>
        <v>5.2099999999999369E-3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6">
        <f>SUM(F2)</f>
        <v>81313729</v>
      </c>
      <c r="G66" s="11"/>
      <c r="H66" s="10"/>
      <c r="I66" s="10">
        <f t="shared" si="8"/>
        <v>20635</v>
      </c>
      <c r="J66" s="10">
        <f t="shared" ref="J66:J97" si="9">IF(I66="","",I66*C66)</f>
        <v>1276441934770.0002</v>
      </c>
      <c r="K66" s="11">
        <f t="shared" ref="K66:K97" si="10">IFERROR(J66/J67-1,"")</f>
        <v>6.1500000000000998E-3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11"/>
      <c r="H67" s="10"/>
      <c r="I67" s="10">
        <f t="shared" ref="I67:I98" si="11">IF(H67&lt;&gt;"",H67,I66/(1+IF(G66="",0,G66)))</f>
        <v>20635</v>
      </c>
      <c r="J67" s="10">
        <f t="shared" si="9"/>
        <v>1268639800000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5">
        <v>18995781</v>
      </c>
      <c r="G2" s="11"/>
      <c r="H2" s="10"/>
      <c r="I2" s="10">
        <f>IF(H2&lt;&gt;"",H2,6468)</f>
        <v>6468</v>
      </c>
      <c r="J2" s="10">
        <f t="shared" ref="J2:J33" si="3">IF(I2="","",I2*C2)</f>
        <v>122856353829.69304</v>
      </c>
      <c r="K2" s="11">
        <f t="shared" ref="K2:K33" si="4">IFERROR(J2/J3-1,"")</f>
        <v>2.8200000000002667E-3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11"/>
      <c r="H3" s="10"/>
      <c r="I3" s="10">
        <f t="shared" ref="I3:I34" si="5">IF(H3&lt;&gt;"",H3,I2/(1+IF(G2="",0,G2)))</f>
        <v>6468</v>
      </c>
      <c r="J3" s="10">
        <f t="shared" si="3"/>
        <v>122510873167.36105</v>
      </c>
      <c r="K3" s="11">
        <f t="shared" si="4"/>
        <v>3.7700000000000511E-3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11"/>
      <c r="H4" s="10"/>
      <c r="I4" s="10">
        <f t="shared" si="5"/>
        <v>6468</v>
      </c>
      <c r="J4" s="10">
        <f t="shared" si="3"/>
        <v>122050741870.50923</v>
      </c>
      <c r="K4" s="11">
        <f t="shared" si="4"/>
        <v>4.529999999999923E-3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11"/>
      <c r="H5" s="10"/>
      <c r="I5" s="10">
        <f t="shared" si="5"/>
        <v>6468</v>
      </c>
      <c r="J5" s="10">
        <f t="shared" si="3"/>
        <v>121500345306.27182</v>
      </c>
      <c r="K5" s="11">
        <f t="shared" si="4"/>
        <v>4.709999999999992E-3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11"/>
      <c r="H6" s="10"/>
      <c r="I6" s="10">
        <f t="shared" si="5"/>
        <v>6468</v>
      </c>
      <c r="J6" s="10">
        <f t="shared" si="3"/>
        <v>120930761419.98369</v>
      </c>
      <c r="K6" s="11">
        <f t="shared" si="4"/>
        <v>4.8200000000000465E-3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11"/>
      <c r="H7" s="10"/>
      <c r="I7" s="10">
        <f t="shared" si="5"/>
        <v>6468</v>
      </c>
      <c r="J7" s="10">
        <f t="shared" si="3"/>
        <v>120350671184.8726</v>
      </c>
      <c r="K7" s="11">
        <f t="shared" si="4"/>
        <v>4.4399999999999995E-3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11"/>
      <c r="H8" s="10"/>
      <c r="I8" s="10">
        <f t="shared" si="5"/>
        <v>6468</v>
      </c>
      <c r="J8" s="10">
        <f t="shared" si="3"/>
        <v>119818676262.26814</v>
      </c>
      <c r="K8" s="11">
        <f t="shared" si="4"/>
        <v>4.709999999999992E-3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11"/>
      <c r="H9" s="10"/>
      <c r="I9" s="10">
        <f t="shared" si="5"/>
        <v>6468</v>
      </c>
      <c r="J9" s="10">
        <f t="shared" si="3"/>
        <v>119256975905.75206</v>
      </c>
      <c r="K9" s="11">
        <f t="shared" si="4"/>
        <v>4.8600000000000865E-3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11"/>
      <c r="H10" s="10"/>
      <c r="I10" s="10">
        <f t="shared" si="5"/>
        <v>6468</v>
      </c>
      <c r="J10" s="10">
        <f t="shared" si="3"/>
        <v>118680190181.47011</v>
      </c>
      <c r="K10" s="11">
        <f t="shared" si="4"/>
        <v>4.450000000000065E-3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11"/>
      <c r="H11" s="10"/>
      <c r="I11" s="10">
        <f t="shared" si="5"/>
        <v>6468</v>
      </c>
      <c r="J11" s="10">
        <f t="shared" si="3"/>
        <v>118154403087.72969</v>
      </c>
      <c r="K11" s="11">
        <f t="shared" si="4"/>
        <v>4.0599999999999525E-3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11"/>
      <c r="H12" s="10"/>
      <c r="I12" s="10">
        <f t="shared" si="5"/>
        <v>6468</v>
      </c>
      <c r="J12" s="10">
        <f t="shared" si="3"/>
        <v>117676635945.78978</v>
      </c>
      <c r="K12" s="11">
        <f t="shared" si="4"/>
        <v>3.6099999999998911E-3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11"/>
      <c r="H13" s="10"/>
      <c r="I13" s="10">
        <f t="shared" si="5"/>
        <v>6468</v>
      </c>
      <c r="J13" s="10">
        <f t="shared" si="3"/>
        <v>117253351347.4256</v>
      </c>
      <c r="K13" s="11">
        <f t="shared" si="4"/>
        <v>3.2399999999999096E-3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11"/>
      <c r="H14" s="10"/>
      <c r="I14" s="10">
        <f t="shared" si="5"/>
        <v>6468</v>
      </c>
      <c r="J14" s="10">
        <f t="shared" si="3"/>
        <v>116874677392.67336</v>
      </c>
      <c r="K14" s="11">
        <f t="shared" si="4"/>
        <v>2.5800000000000267E-3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11"/>
      <c r="H15" s="10"/>
      <c r="I15" s="10">
        <f t="shared" si="5"/>
        <v>6468</v>
      </c>
      <c r="J15" s="10">
        <f t="shared" si="3"/>
        <v>116573916687.61929</v>
      </c>
      <c r="K15" s="11">
        <f t="shared" si="4"/>
        <v>2.1899999999999142E-3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11"/>
      <c r="H16" s="10"/>
      <c r="I16" s="10">
        <f t="shared" si="5"/>
        <v>6468</v>
      </c>
      <c r="J16" s="10">
        <f t="shared" si="3"/>
        <v>116319177688.48152</v>
      </c>
      <c r="K16" s="11">
        <f t="shared" si="4"/>
        <v>2.6600000000001067E-3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11"/>
      <c r="H17" s="10"/>
      <c r="I17" s="10">
        <f t="shared" si="5"/>
        <v>6468</v>
      </c>
      <c r="J17" s="10">
        <f t="shared" si="3"/>
        <v>116010589520.35736</v>
      </c>
      <c r="K17" s="11">
        <f t="shared" si="4"/>
        <v>1.8800000000001038E-3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11"/>
      <c r="H18" s="10"/>
      <c r="I18" s="10">
        <f t="shared" si="5"/>
        <v>6468</v>
      </c>
      <c r="J18" s="10">
        <f t="shared" si="3"/>
        <v>115792898870.48083</v>
      </c>
      <c r="K18" s="11">
        <f t="shared" si="4"/>
        <v>2.2500000000000853E-3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11"/>
      <c r="H19" s="10"/>
      <c r="I19" s="10">
        <f t="shared" si="5"/>
        <v>6468</v>
      </c>
      <c r="J19" s="10">
        <f t="shared" si="3"/>
        <v>115532949733.58026</v>
      </c>
      <c r="K19" s="11">
        <f t="shared" si="4"/>
        <v>2.3899999999998922E-3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11"/>
      <c r="H20" s="10"/>
      <c r="I20" s="10">
        <f t="shared" si="5"/>
        <v>6468</v>
      </c>
      <c r="J20" s="10">
        <f t="shared" si="3"/>
        <v>115257484345.99335</v>
      </c>
      <c r="K20" s="11">
        <f t="shared" si="4"/>
        <v>2.8999999999999027E-3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11"/>
      <c r="H21" s="10"/>
      <c r="I21" s="10">
        <f t="shared" si="5"/>
        <v>6468</v>
      </c>
      <c r="J21" s="10">
        <f t="shared" si="3"/>
        <v>114924204153.94691</v>
      </c>
      <c r="K21" s="11">
        <f t="shared" si="4"/>
        <v>3.0200000000000227E-3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11"/>
      <c r="H22" s="10"/>
      <c r="I22" s="10">
        <f t="shared" si="5"/>
        <v>6468</v>
      </c>
      <c r="J22" s="10">
        <f t="shared" si="3"/>
        <v>114578178056.21715</v>
      </c>
      <c r="K22" s="11">
        <f t="shared" si="4"/>
        <v>3.5400000000000986E-3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11"/>
      <c r="H23" s="10"/>
      <c r="I23" s="10">
        <f t="shared" si="5"/>
        <v>6468</v>
      </c>
      <c r="J23" s="10">
        <f t="shared" si="3"/>
        <v>114174002088.82271</v>
      </c>
      <c r="K23" s="11">
        <f t="shared" si="4"/>
        <v>4.089999999999927E-3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11"/>
      <c r="H24" s="10"/>
      <c r="I24" s="10">
        <f t="shared" si="5"/>
        <v>6468</v>
      </c>
      <c r="J24" s="10">
        <f t="shared" si="3"/>
        <v>113708932554.6741</v>
      </c>
      <c r="K24" s="11">
        <f t="shared" si="4"/>
        <v>4.5200000000000795E-3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11"/>
      <c r="H25" s="10"/>
      <c r="I25" s="10">
        <f t="shared" si="5"/>
        <v>6468</v>
      </c>
      <c r="J25" s="10">
        <f t="shared" si="3"/>
        <v>113197280845.25354</v>
      </c>
      <c r="K25" s="11">
        <f t="shared" si="4"/>
        <v>5.1499999999997659E-3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11"/>
      <c r="H26" s="10"/>
      <c r="I26" s="10">
        <f t="shared" si="5"/>
        <v>6468</v>
      </c>
      <c r="J26" s="10">
        <f t="shared" si="3"/>
        <v>112617301741.28593</v>
      </c>
      <c r="K26" s="11">
        <f t="shared" si="4"/>
        <v>6.0899999999999288E-3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11"/>
      <c r="H27" s="10"/>
      <c r="I27" s="10">
        <f t="shared" si="5"/>
        <v>6468</v>
      </c>
      <c r="J27" s="10">
        <f t="shared" si="3"/>
        <v>111935613852.92165</v>
      </c>
      <c r="K27" s="11">
        <f t="shared" si="4"/>
        <v>4.8200000000002685E-3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11"/>
      <c r="H28" s="10"/>
      <c r="I28" s="10">
        <f t="shared" si="5"/>
        <v>6468</v>
      </c>
      <c r="J28" s="10">
        <f t="shared" si="3"/>
        <v>111398672252.66379</v>
      </c>
      <c r="K28" s="11">
        <f t="shared" si="4"/>
        <v>4.0400000000000436E-3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11"/>
      <c r="H29" s="10"/>
      <c r="I29" s="10">
        <f t="shared" si="5"/>
        <v>6468</v>
      </c>
      <c r="J29" s="10">
        <f t="shared" si="3"/>
        <v>110950432505.34221</v>
      </c>
      <c r="K29" s="11">
        <f t="shared" si="4"/>
        <v>3.1799999999999606E-3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11"/>
      <c r="H30" s="10"/>
      <c r="I30" s="10">
        <f t="shared" si="5"/>
        <v>6468</v>
      </c>
      <c r="J30" s="10">
        <f t="shared" si="3"/>
        <v>110598728548.5578</v>
      </c>
      <c r="K30" s="11">
        <f t="shared" si="4"/>
        <v>2.6299999999999102E-3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11"/>
      <c r="H31" s="10"/>
      <c r="I31" s="10">
        <f t="shared" si="5"/>
        <v>6468</v>
      </c>
      <c r="J31" s="10">
        <f t="shared" si="3"/>
        <v>110308616886.14723</v>
      </c>
      <c r="K31" s="11">
        <f t="shared" si="4"/>
        <v>3.0499999999999972E-3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11"/>
      <c r="H32" s="10"/>
      <c r="I32" s="10">
        <f t="shared" si="5"/>
        <v>6468</v>
      </c>
      <c r="J32" s="10">
        <f t="shared" si="3"/>
        <v>109973198630.32474</v>
      </c>
      <c r="K32" s="11">
        <f t="shared" si="4"/>
        <v>3.4599999999997966E-3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11"/>
      <c r="H33" s="10"/>
      <c r="I33" s="10">
        <f t="shared" si="5"/>
        <v>6468</v>
      </c>
      <c r="J33" s="10">
        <f t="shared" si="3"/>
        <v>109594003378.63467</v>
      </c>
      <c r="K33" s="11">
        <f t="shared" si="4"/>
        <v>4.890000000000061E-3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11"/>
      <c r="H34" s="10"/>
      <c r="I34" s="10">
        <f t="shared" si="5"/>
        <v>6468</v>
      </c>
      <c r="J34" s="10">
        <f t="shared" ref="J34:J65" si="6">IF(I34="","",I34*C34)</f>
        <v>109060696572.39566</v>
      </c>
      <c r="K34" s="11">
        <f t="shared" ref="K34:K65" si="7">IFERROR(J34/J35-1,"")</f>
        <v>5.8000000000000274E-3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11"/>
      <c r="H35" s="10"/>
      <c r="I35" s="10">
        <f t="shared" ref="I35:I66" si="8">IF(H35&lt;&gt;"",H35,I34/(1+IF(G34="",0,G34)))</f>
        <v>6468</v>
      </c>
      <c r="J35" s="10">
        <f t="shared" si="6"/>
        <v>108431792177.76462</v>
      </c>
      <c r="K35" s="11">
        <f t="shared" si="7"/>
        <v>6.1400000000000343E-3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11"/>
      <c r="H36" s="10"/>
      <c r="I36" s="10">
        <f t="shared" si="8"/>
        <v>6468</v>
      </c>
      <c r="J36" s="10">
        <f t="shared" si="6"/>
        <v>107770083862.84673</v>
      </c>
      <c r="K36" s="11">
        <f t="shared" si="7"/>
        <v>5.0900000000000389E-3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11"/>
      <c r="H37" s="10"/>
      <c r="I37" s="10">
        <f t="shared" si="8"/>
        <v>6468</v>
      </c>
      <c r="J37" s="10">
        <f t="shared" si="6"/>
        <v>107224312114.18552</v>
      </c>
      <c r="K37" s="11">
        <f t="shared" si="7"/>
        <v>3.4600000000000186E-3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11"/>
      <c r="H38" s="10"/>
      <c r="I38" s="10">
        <f t="shared" si="8"/>
        <v>6468</v>
      </c>
      <c r="J38" s="10">
        <f t="shared" si="6"/>
        <v>106854595214.74251</v>
      </c>
      <c r="K38" s="11">
        <f t="shared" si="7"/>
        <v>2.7800000000000047E-3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11"/>
      <c r="H39" s="10"/>
      <c r="I39" s="10">
        <f t="shared" si="8"/>
        <v>6468</v>
      </c>
      <c r="J39" s="10">
        <f t="shared" si="6"/>
        <v>106558362965.69786</v>
      </c>
      <c r="K39" s="11">
        <f t="shared" si="7"/>
        <v>2.3400000000000087E-3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11"/>
      <c r="H40" s="10"/>
      <c r="I40" s="10">
        <f t="shared" si="8"/>
        <v>6468</v>
      </c>
      <c r="J40" s="10">
        <f t="shared" si="6"/>
        <v>106309598505.19571</v>
      </c>
      <c r="K40" s="11">
        <f t="shared" si="7"/>
        <v>3.4199999999999786E-3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11"/>
      <c r="H41" s="10"/>
      <c r="I41" s="10">
        <f t="shared" si="8"/>
        <v>6468</v>
      </c>
      <c r="J41" s="10">
        <f t="shared" si="6"/>
        <v>105947258879.82671</v>
      </c>
      <c r="K41" s="11">
        <f t="shared" si="7"/>
        <v>2.1800000000000708E-3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11"/>
      <c r="H42" s="10"/>
      <c r="I42" s="10">
        <f t="shared" si="8"/>
        <v>6468</v>
      </c>
      <c r="J42" s="10">
        <f t="shared" si="6"/>
        <v>105716796263.97125</v>
      </c>
      <c r="K42" s="11">
        <f t="shared" si="7"/>
        <v>3.8300000000000001E-3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11"/>
      <c r="H43" s="10"/>
      <c r="I43" s="10">
        <f t="shared" si="8"/>
        <v>6468</v>
      </c>
      <c r="J43" s="10">
        <f t="shared" si="6"/>
        <v>105313445766.68484</v>
      </c>
      <c r="K43" s="11">
        <f t="shared" si="7"/>
        <v>5.03000000000009E-3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11"/>
      <c r="H44" s="10"/>
      <c r="I44" s="10">
        <f t="shared" si="8"/>
        <v>6468</v>
      </c>
      <c r="J44" s="10">
        <f t="shared" si="6"/>
        <v>104786370323.95534</v>
      </c>
      <c r="K44" s="11">
        <f t="shared" si="7"/>
        <v>5.4199999999999804E-3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11"/>
      <c r="H45" s="10"/>
      <c r="I45" s="10">
        <f t="shared" si="8"/>
        <v>6468</v>
      </c>
      <c r="J45" s="10">
        <f t="shared" si="6"/>
        <v>104221489848.97389</v>
      </c>
      <c r="K45" s="11">
        <f t="shared" si="7"/>
        <v>5.9100000000000819E-3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11"/>
      <c r="H46" s="10"/>
      <c r="I46" s="10">
        <f t="shared" si="8"/>
        <v>6468</v>
      </c>
      <c r="J46" s="10">
        <f t="shared" si="6"/>
        <v>103609159715.05789</v>
      </c>
      <c r="K46" s="11">
        <f t="shared" si="7"/>
        <v>5.9399999999998343E-3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11"/>
      <c r="H47" s="10"/>
      <c r="I47" s="10">
        <f t="shared" si="8"/>
        <v>6468</v>
      </c>
      <c r="J47" s="10">
        <f t="shared" si="6"/>
        <v>102997355423.84029</v>
      </c>
      <c r="K47" s="11">
        <f t="shared" si="7"/>
        <v>-3.4200000000000896E-3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11"/>
      <c r="H48" s="10"/>
      <c r="I48" s="10">
        <f t="shared" si="8"/>
        <v>6468</v>
      </c>
      <c r="J48" s="10">
        <f t="shared" si="6"/>
        <v>103350815211.86487</v>
      </c>
      <c r="K48" s="11">
        <f t="shared" si="7"/>
        <v>-4.2799999999999505E-3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11"/>
      <c r="H49" s="10"/>
      <c r="I49" s="10">
        <f t="shared" si="8"/>
        <v>6468</v>
      </c>
      <c r="J49" s="10">
        <f t="shared" si="6"/>
        <v>103795058060.36322</v>
      </c>
      <c r="K49" s="11">
        <f t="shared" si="7"/>
        <v>2.8699999999999282E-3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11"/>
      <c r="H50" s="10"/>
      <c r="I50" s="10">
        <f t="shared" si="8"/>
        <v>6468</v>
      </c>
      <c r="J50" s="10">
        <f t="shared" si="6"/>
        <v>103498018746.56059</v>
      </c>
      <c r="K50" s="11">
        <f t="shared" si="7"/>
        <v>6.0999999999999943E-3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11"/>
      <c r="H51" s="10"/>
      <c r="I51" s="10">
        <f t="shared" si="8"/>
        <v>6468</v>
      </c>
      <c r="J51" s="10">
        <f t="shared" si="6"/>
        <v>102870508643.83322</v>
      </c>
      <c r="K51" s="11">
        <f t="shared" si="7"/>
        <v>4.8699999999999299E-3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11"/>
      <c r="H52" s="10"/>
      <c r="I52" s="10">
        <f t="shared" si="8"/>
        <v>6468</v>
      </c>
      <c r="J52" s="10">
        <f t="shared" si="6"/>
        <v>102371957212.20976</v>
      </c>
      <c r="K52" s="11">
        <f t="shared" si="7"/>
        <v>2.6900000000000812E-3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11"/>
      <c r="H53" s="10"/>
      <c r="I53" s="10">
        <f t="shared" si="8"/>
        <v>6468</v>
      </c>
      <c r="J53" s="10">
        <f t="shared" si="6"/>
        <v>102097315433.69313</v>
      </c>
      <c r="K53" s="11">
        <f t="shared" si="7"/>
        <v>3.9199999999999235E-3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11"/>
      <c r="H54" s="10"/>
      <c r="I54" s="10">
        <f t="shared" si="8"/>
        <v>6468</v>
      </c>
      <c r="J54" s="10">
        <f t="shared" si="6"/>
        <v>101698656699.43137</v>
      </c>
      <c r="K54" s="11">
        <f t="shared" si="7"/>
        <v>7.0799999999999752E-3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11"/>
      <c r="H55" s="10"/>
      <c r="I55" s="10">
        <f t="shared" si="8"/>
        <v>6468</v>
      </c>
      <c r="J55" s="10">
        <f t="shared" si="6"/>
        <v>100983692158.94603</v>
      </c>
      <c r="K55" s="11">
        <f t="shared" si="7"/>
        <v>7.1900000000000297E-3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11"/>
      <c r="H56" s="10"/>
      <c r="I56" s="10">
        <f t="shared" si="8"/>
        <v>6468</v>
      </c>
      <c r="J56" s="10">
        <f t="shared" si="6"/>
        <v>100262802608.19312</v>
      </c>
      <c r="K56" s="11">
        <f t="shared" si="7"/>
        <v>6.6500000000000448E-3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11"/>
      <c r="H57" s="10"/>
      <c r="I57" s="10">
        <f t="shared" si="8"/>
        <v>6468</v>
      </c>
      <c r="J57" s="10">
        <f t="shared" si="6"/>
        <v>99600459552.171173</v>
      </c>
      <c r="K57" s="11">
        <f t="shared" si="7"/>
        <v>7.4700000000000877E-3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11"/>
      <c r="H58" s="10"/>
      <c r="I58" s="10">
        <f t="shared" si="8"/>
        <v>6468</v>
      </c>
      <c r="J58" s="10">
        <f t="shared" si="6"/>
        <v>98861960705.699585</v>
      </c>
      <c r="K58" s="11">
        <f t="shared" si="7"/>
        <v>8.3500000000000796E-3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11"/>
      <c r="H59" s="10"/>
      <c r="I59" s="10">
        <f t="shared" si="8"/>
        <v>6468</v>
      </c>
      <c r="J59" s="10">
        <f t="shared" si="6"/>
        <v>98043299157.732513</v>
      </c>
      <c r="K59" s="11">
        <f t="shared" si="7"/>
        <v>7.5799999999996981E-3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11"/>
      <c r="H60" s="10"/>
      <c r="I60" s="10">
        <f t="shared" si="8"/>
        <v>6468</v>
      </c>
      <c r="J60" s="10">
        <f t="shared" si="6"/>
        <v>97305721786.590179</v>
      </c>
      <c r="K60" s="11">
        <f t="shared" si="7"/>
        <v>8.8699999999999335E-3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11"/>
      <c r="H61" s="10"/>
      <c r="I61" s="10">
        <f t="shared" si="8"/>
        <v>6468</v>
      </c>
      <c r="J61" s="10">
        <f t="shared" si="6"/>
        <v>96450208437.74736</v>
      </c>
      <c r="K61" s="11">
        <f t="shared" si="7"/>
        <v>1.0780000000000012E-2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11"/>
      <c r="H62" s="10"/>
      <c r="I62" s="10">
        <f t="shared" si="8"/>
        <v>6468</v>
      </c>
      <c r="J62" s="10">
        <f t="shared" si="6"/>
        <v>95421563978.063828</v>
      </c>
      <c r="K62" s="11">
        <f t="shared" si="7"/>
        <v>1.1169999999999902E-2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11"/>
      <c r="H63" s="10"/>
      <c r="I63" s="10">
        <f t="shared" si="8"/>
        <v>6468</v>
      </c>
      <c r="J63" s="10">
        <f t="shared" si="6"/>
        <v>94367479235.008789</v>
      </c>
      <c r="K63" s="11">
        <f t="shared" si="7"/>
        <v>1.1600000000000055E-2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11"/>
      <c r="H64" s="10"/>
      <c r="I64" s="10">
        <f t="shared" si="8"/>
        <v>6468</v>
      </c>
      <c r="J64" s="10">
        <f t="shared" si="6"/>
        <v>93285368955.129288</v>
      </c>
      <c r="K64" s="11">
        <f t="shared" si="7"/>
        <v>1.1209999999999942E-2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11"/>
      <c r="H65" s="10"/>
      <c r="I65" s="10">
        <f t="shared" si="8"/>
        <v>6468</v>
      </c>
      <c r="J65" s="10">
        <f t="shared" si="6"/>
        <v>92251232637.265549</v>
      </c>
      <c r="K65" s="11">
        <f t="shared" si="7"/>
        <v>1.2580000000000036E-2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6">
        <f>SUM(F2)</f>
        <v>18995781</v>
      </c>
      <c r="G66" s="11"/>
      <c r="H66" s="10"/>
      <c r="I66" s="10">
        <f t="shared" si="8"/>
        <v>6468</v>
      </c>
      <c r="J66" s="10">
        <f t="shared" ref="J66:J97" si="9">IF(I66="","",I66*C66)</f>
        <v>91105130100.599991</v>
      </c>
      <c r="K66" s="11">
        <f t="shared" ref="K66:K97" si="10">IFERROR(J66/J67-1,"")</f>
        <v>8.6299999999999155E-3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11"/>
      <c r="H67" s="10"/>
      <c r="I67" s="10">
        <f t="shared" ref="I67:I98" si="11">IF(H67&lt;&gt;"",H67,I66/(1+IF(G66="",0,G66)))</f>
        <v>6468</v>
      </c>
      <c r="J67" s="10">
        <f t="shared" si="9"/>
        <v>90325620000</v>
      </c>
      <c r="K67" s="11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5">
        <v>22501433</v>
      </c>
      <c r="G2" s="11"/>
      <c r="H2" s="10"/>
      <c r="I2" s="10">
        <f>IF(H2&lt;&gt;"",H2,3254)</f>
        <v>3254</v>
      </c>
      <c r="J2" s="10">
        <f t="shared" ref="J2:J33" si="3">IF(I2="","",I2*C2)</f>
        <v>73219894407.128311</v>
      </c>
      <c r="K2" s="11">
        <f t="shared" ref="K2:K33" si="4">IFERROR(J2/J3-1,"")</f>
        <v>8.639999999999981E-3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11"/>
      <c r="H3" s="10"/>
      <c r="I3" s="10">
        <f t="shared" ref="I3:I34" si="5">IF(H3&lt;&gt;"",H3,I2/(1+IF(G2="",0,G2)))</f>
        <v>3254</v>
      </c>
      <c r="J3" s="10">
        <f t="shared" si="3"/>
        <v>72592693534.986038</v>
      </c>
      <c r="K3" s="11">
        <f t="shared" si="4"/>
        <v>8.65999999999989E-3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11"/>
      <c r="H4" s="10"/>
      <c r="I4" s="10">
        <f t="shared" si="5"/>
        <v>3254</v>
      </c>
      <c r="J4" s="10">
        <f t="shared" si="3"/>
        <v>71969438200.172546</v>
      </c>
      <c r="K4" s="11">
        <f t="shared" si="4"/>
        <v>9.1899999999998094E-3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11"/>
      <c r="H5" s="10"/>
      <c r="I5" s="10">
        <f t="shared" si="5"/>
        <v>3254</v>
      </c>
      <c r="J5" s="10">
        <f t="shared" si="3"/>
        <v>71314061970.66217</v>
      </c>
      <c r="K5" s="11">
        <f t="shared" si="4"/>
        <v>9.7799999999998999E-3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11"/>
      <c r="H6" s="10"/>
      <c r="I6" s="10">
        <f t="shared" si="5"/>
        <v>3254</v>
      </c>
      <c r="J6" s="10">
        <f t="shared" si="3"/>
        <v>70623365456.497635</v>
      </c>
      <c r="K6" s="11">
        <f t="shared" si="4"/>
        <v>1.0280000000000289E-2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11"/>
      <c r="H7" s="10"/>
      <c r="I7" s="10">
        <f t="shared" si="5"/>
        <v>3254</v>
      </c>
      <c r="J7" s="10">
        <f t="shared" si="3"/>
        <v>69904744681.17514</v>
      </c>
      <c r="K7" s="11">
        <f t="shared" si="4"/>
        <v>1.1149999999999993E-2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11"/>
      <c r="H8" s="10"/>
      <c r="I8" s="10">
        <f t="shared" si="5"/>
        <v>3254</v>
      </c>
      <c r="J8" s="10">
        <f t="shared" si="3"/>
        <v>69133901677.471329</v>
      </c>
      <c r="K8" s="11">
        <f t="shared" si="4"/>
        <v>1.157000000000008E-2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11"/>
      <c r="H9" s="10"/>
      <c r="I9" s="10">
        <f t="shared" si="5"/>
        <v>3254</v>
      </c>
      <c r="J9" s="10">
        <f t="shared" si="3"/>
        <v>68343171186.839584</v>
      </c>
      <c r="K9" s="11">
        <f t="shared" si="4"/>
        <v>1.1730000000000018E-2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11"/>
      <c r="H10" s="10"/>
      <c r="I10" s="10">
        <f t="shared" si="5"/>
        <v>3254</v>
      </c>
      <c r="J10" s="10">
        <f t="shared" si="3"/>
        <v>67550800299.328461</v>
      </c>
      <c r="K10" s="11">
        <f t="shared" si="4"/>
        <v>1.2340000000000018E-2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11"/>
      <c r="H11" s="10"/>
      <c r="I11" s="10">
        <f t="shared" si="5"/>
        <v>3254</v>
      </c>
      <c r="J11" s="10">
        <f t="shared" si="3"/>
        <v>66727384376.127052</v>
      </c>
      <c r="K11" s="11">
        <f t="shared" si="4"/>
        <v>1.2999999999999901E-2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11"/>
      <c r="H12" s="10"/>
      <c r="I12" s="10">
        <f t="shared" si="5"/>
        <v>3254</v>
      </c>
      <c r="J12" s="10">
        <f t="shared" si="3"/>
        <v>65871060588.47686</v>
      </c>
      <c r="K12" s="11">
        <f t="shared" si="4"/>
        <v>1.3509999999999911E-2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11"/>
      <c r="H13" s="10"/>
      <c r="I13" s="10">
        <f t="shared" si="5"/>
        <v>3254</v>
      </c>
      <c r="J13" s="10">
        <f t="shared" si="3"/>
        <v>64993005089.714813</v>
      </c>
      <c r="K13" s="11">
        <f t="shared" si="4"/>
        <v>1.4499999999999957E-2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11"/>
      <c r="H14" s="10"/>
      <c r="I14" s="10">
        <f t="shared" si="5"/>
        <v>3254</v>
      </c>
      <c r="J14" s="10">
        <f t="shared" si="3"/>
        <v>64064075987.890404</v>
      </c>
      <c r="K14" s="11">
        <f t="shared" si="4"/>
        <v>1.4880000000000226E-2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11"/>
      <c r="H15" s="10"/>
      <c r="I15" s="10">
        <f t="shared" si="5"/>
        <v>3254</v>
      </c>
      <c r="J15" s="10">
        <f t="shared" si="3"/>
        <v>63124779272.318298</v>
      </c>
      <c r="K15" s="11">
        <f t="shared" si="4"/>
        <v>1.5290000000000026E-2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11"/>
      <c r="H16" s="10"/>
      <c r="I16" s="10">
        <f t="shared" si="5"/>
        <v>3254</v>
      </c>
      <c r="J16" s="10">
        <f t="shared" si="3"/>
        <v>62174136721.841347</v>
      </c>
      <c r="K16" s="11">
        <f t="shared" si="4"/>
        <v>1.5469999999999873E-2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11"/>
      <c r="H17" s="10"/>
      <c r="I17" s="10">
        <f t="shared" si="5"/>
        <v>3254</v>
      </c>
      <c r="J17" s="10">
        <f t="shared" si="3"/>
        <v>61226955716.900894</v>
      </c>
      <c r="K17" s="11">
        <f t="shared" si="4"/>
        <v>1.597000000000004E-2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11"/>
      <c r="H18" s="10"/>
      <c r="I18" s="10">
        <f t="shared" si="5"/>
        <v>3254</v>
      </c>
      <c r="J18" s="10">
        <f t="shared" si="3"/>
        <v>60264531154.365677</v>
      </c>
      <c r="K18" s="11">
        <f t="shared" si="4"/>
        <v>1.6799999999999926E-2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11"/>
      <c r="H19" s="10"/>
      <c r="I19" s="10">
        <f t="shared" si="5"/>
        <v>3254</v>
      </c>
      <c r="J19" s="10">
        <f t="shared" si="3"/>
        <v>59268815061.335243</v>
      </c>
      <c r="K19" s="11">
        <f t="shared" si="4"/>
        <v>1.7980000000000107E-2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11"/>
      <c r="H20" s="10"/>
      <c r="I20" s="10">
        <f t="shared" si="5"/>
        <v>3254</v>
      </c>
      <c r="J20" s="10">
        <f t="shared" si="3"/>
        <v>58221983792.741737</v>
      </c>
      <c r="K20" s="11">
        <f t="shared" si="4"/>
        <v>1.7849999999999699E-2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11"/>
      <c r="H21" s="10"/>
      <c r="I21" s="10">
        <f t="shared" si="5"/>
        <v>3254</v>
      </c>
      <c r="J21" s="10">
        <f t="shared" si="3"/>
        <v>57200946890.742004</v>
      </c>
      <c r="K21" s="11">
        <f t="shared" si="4"/>
        <v>1.794999999999991E-2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11"/>
      <c r="H22" s="10"/>
      <c r="I22" s="10">
        <f t="shared" si="5"/>
        <v>3254</v>
      </c>
      <c r="J22" s="10">
        <f t="shared" si="3"/>
        <v>56192295192.044807</v>
      </c>
      <c r="K22" s="11">
        <f t="shared" si="4"/>
        <v>1.8489999999999895E-2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11"/>
      <c r="H23" s="10"/>
      <c r="I23" s="10">
        <f t="shared" si="5"/>
        <v>3254</v>
      </c>
      <c r="J23" s="10">
        <f t="shared" si="3"/>
        <v>55172161918.177711</v>
      </c>
      <c r="K23" s="11">
        <f t="shared" si="4"/>
        <v>1.971999999999996E-2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11"/>
      <c r="H24" s="10"/>
      <c r="I24" s="10">
        <f t="shared" si="5"/>
        <v>3254</v>
      </c>
      <c r="J24" s="10">
        <f t="shared" si="3"/>
        <v>54105207231.571136</v>
      </c>
      <c r="K24" s="11">
        <f t="shared" si="4"/>
        <v>1.971999999999996E-2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11"/>
      <c r="H25" s="10"/>
      <c r="I25" s="10">
        <f t="shared" si="5"/>
        <v>3254</v>
      </c>
      <c r="J25" s="10">
        <f t="shared" si="3"/>
        <v>53058885999.657883</v>
      </c>
      <c r="K25" s="11">
        <f t="shared" si="4"/>
        <v>2.0219999999999905E-2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11"/>
      <c r="H26" s="10"/>
      <c r="I26" s="10">
        <f t="shared" si="5"/>
        <v>3254</v>
      </c>
      <c r="J26" s="10">
        <f t="shared" si="3"/>
        <v>52007298425.494392</v>
      </c>
      <c r="K26" s="11">
        <f t="shared" si="4"/>
        <v>1.9390000000000018E-2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11"/>
      <c r="H27" s="10"/>
      <c r="I27" s="10">
        <f t="shared" si="5"/>
        <v>3254</v>
      </c>
      <c r="J27" s="10">
        <f t="shared" si="3"/>
        <v>51018058275.53183</v>
      </c>
      <c r="K27" s="11">
        <f t="shared" si="4"/>
        <v>2.079999999999993E-2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11"/>
      <c r="H28" s="10"/>
      <c r="I28" s="10">
        <f t="shared" si="5"/>
        <v>3254</v>
      </c>
      <c r="J28" s="10">
        <f t="shared" si="3"/>
        <v>49978505363.961433</v>
      </c>
      <c r="K28" s="11">
        <f t="shared" si="4"/>
        <v>2.0540000000000003E-2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11"/>
      <c r="H29" s="10"/>
      <c r="I29" s="10">
        <f t="shared" si="5"/>
        <v>3254</v>
      </c>
      <c r="J29" s="10">
        <f t="shared" si="3"/>
        <v>48972607995.729156</v>
      </c>
      <c r="K29" s="11">
        <f t="shared" si="4"/>
        <v>2.0520000000000094E-2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11"/>
      <c r="H30" s="10"/>
      <c r="I30" s="10">
        <f t="shared" si="5"/>
        <v>3254</v>
      </c>
      <c r="J30" s="10">
        <f t="shared" si="3"/>
        <v>47987896362.373253</v>
      </c>
      <c r="K30" s="11">
        <f t="shared" si="4"/>
        <v>2.0440000000000014E-2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11"/>
      <c r="H31" s="10"/>
      <c r="I31" s="10">
        <f t="shared" si="5"/>
        <v>3254</v>
      </c>
      <c r="J31" s="10">
        <f t="shared" si="3"/>
        <v>47026671202.984253</v>
      </c>
      <c r="K31" s="11">
        <f t="shared" si="4"/>
        <v>2.0659999999999901E-2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11"/>
      <c r="H32" s="10"/>
      <c r="I32" s="10">
        <f t="shared" si="5"/>
        <v>3254</v>
      </c>
      <c r="J32" s="10">
        <f t="shared" si="3"/>
        <v>46074766526.545822</v>
      </c>
      <c r="K32" s="11">
        <f t="shared" si="4"/>
        <v>2.0639999999999992E-2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11"/>
      <c r="H33" s="10"/>
      <c r="I33" s="10">
        <f t="shared" si="5"/>
        <v>3254</v>
      </c>
      <c r="J33" s="10">
        <f t="shared" si="3"/>
        <v>45143014703.074371</v>
      </c>
      <c r="K33" s="11">
        <f t="shared" si="4"/>
        <v>2.2610000000000019E-2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11"/>
      <c r="H34" s="10"/>
      <c r="I34" s="10">
        <f t="shared" si="5"/>
        <v>3254</v>
      </c>
      <c r="J34" s="10">
        <f t="shared" ref="J34:J65" si="6">IF(I34="","",I34*C34)</f>
        <v>44144898546.928322</v>
      </c>
      <c r="K34" s="11">
        <f t="shared" ref="K34:K65" si="7">IFERROR(J34/J35-1,"")</f>
        <v>2.363000000000004E-2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11"/>
      <c r="H35" s="10"/>
      <c r="I35" s="10">
        <f t="shared" ref="I35:I66" si="8">IF(H35&lt;&gt;"",H35,I34/(1+IF(G34="",0,G34)))</f>
        <v>3254</v>
      </c>
      <c r="J35" s="10">
        <f t="shared" si="6"/>
        <v>43125835064.357552</v>
      </c>
      <c r="K35" s="11">
        <f t="shared" si="7"/>
        <v>2.3350000000000204E-2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11"/>
      <c r="H36" s="10"/>
      <c r="I36" s="10">
        <f t="shared" si="8"/>
        <v>3254</v>
      </c>
      <c r="J36" s="10">
        <f t="shared" si="6"/>
        <v>42141823485.960373</v>
      </c>
      <c r="K36" s="11">
        <f t="shared" si="7"/>
        <v>2.2909999999999986E-2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11"/>
      <c r="H37" s="10"/>
      <c r="I37" s="10">
        <f t="shared" si="8"/>
        <v>3254</v>
      </c>
      <c r="J37" s="10">
        <f t="shared" si="6"/>
        <v>41197977814.236221</v>
      </c>
      <c r="K37" s="11">
        <f t="shared" si="7"/>
        <v>2.3200000000000109E-2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11"/>
      <c r="H38" s="10"/>
      <c r="I38" s="10">
        <f t="shared" si="8"/>
        <v>3254</v>
      </c>
      <c r="J38" s="10">
        <f t="shared" si="6"/>
        <v>40263856346.986137</v>
      </c>
      <c r="K38" s="11">
        <f t="shared" si="7"/>
        <v>2.2420000000000107E-2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11"/>
      <c r="H39" s="10"/>
      <c r="I39" s="10">
        <f t="shared" si="8"/>
        <v>3254</v>
      </c>
      <c r="J39" s="10">
        <f t="shared" si="6"/>
        <v>39380935767.08802</v>
      </c>
      <c r="K39" s="11">
        <f t="shared" si="7"/>
        <v>2.238999999999991E-2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11"/>
      <c r="H40" s="10"/>
      <c r="I40" s="10">
        <f t="shared" si="8"/>
        <v>3254</v>
      </c>
      <c r="J40" s="10">
        <f t="shared" si="6"/>
        <v>38518506408.59948</v>
      </c>
      <c r="K40" s="11">
        <f t="shared" si="7"/>
        <v>2.2760000000000113E-2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11"/>
      <c r="H41" s="10"/>
      <c r="I41" s="10">
        <f t="shared" si="8"/>
        <v>3254</v>
      </c>
      <c r="J41" s="10">
        <f t="shared" si="6"/>
        <v>37661334436.817513</v>
      </c>
      <c r="K41" s="11">
        <f t="shared" si="7"/>
        <v>2.1549999999999736E-2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11"/>
      <c r="H42" s="10"/>
      <c r="I42" s="10">
        <f t="shared" si="8"/>
        <v>3254</v>
      </c>
      <c r="J42" s="10">
        <f t="shared" si="6"/>
        <v>36866853738.747513</v>
      </c>
      <c r="K42" s="11">
        <f t="shared" si="7"/>
        <v>2.2020000000000151E-2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11"/>
      <c r="H43" s="10"/>
      <c r="I43" s="10">
        <f t="shared" si="8"/>
        <v>3254</v>
      </c>
      <c r="J43" s="10">
        <f t="shared" si="6"/>
        <v>36072536485.340317</v>
      </c>
      <c r="K43" s="11">
        <f t="shared" si="7"/>
        <v>2.2259999999999946E-2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11"/>
      <c r="H44" s="10"/>
      <c r="I44" s="10">
        <f t="shared" si="8"/>
        <v>3254</v>
      </c>
      <c r="J44" s="10">
        <f t="shared" si="6"/>
        <v>35287046823.059021</v>
      </c>
      <c r="K44" s="11">
        <f t="shared" si="7"/>
        <v>2.2749999999999826E-2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11"/>
      <c r="H45" s="10"/>
      <c r="I45" s="10">
        <f t="shared" si="8"/>
        <v>3254</v>
      </c>
      <c r="J45" s="10">
        <f t="shared" si="6"/>
        <v>34502123513.135201</v>
      </c>
      <c r="K45" s="11">
        <f t="shared" si="7"/>
        <v>2.3080000000000211E-2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11"/>
      <c r="H46" s="10"/>
      <c r="I46" s="10">
        <f t="shared" si="8"/>
        <v>3254</v>
      </c>
      <c r="J46" s="10">
        <f t="shared" si="6"/>
        <v>33723778700.722519</v>
      </c>
      <c r="K46" s="11">
        <f t="shared" si="7"/>
        <v>2.3330000000000073E-2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11"/>
      <c r="H47" s="10"/>
      <c r="I47" s="10">
        <f t="shared" si="8"/>
        <v>3254</v>
      </c>
      <c r="J47" s="10">
        <f t="shared" si="6"/>
        <v>32954939951.650513</v>
      </c>
      <c r="K47" s="11">
        <f t="shared" si="7"/>
        <v>2.4860000000000326E-2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11"/>
      <c r="H48" s="10"/>
      <c r="I48" s="10">
        <f t="shared" si="8"/>
        <v>3254</v>
      </c>
      <c r="J48" s="10">
        <f t="shared" si="6"/>
        <v>32155552906.397465</v>
      </c>
      <c r="K48" s="11">
        <f t="shared" si="7"/>
        <v>2.5740000000000096E-2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11"/>
      <c r="H49" s="10"/>
      <c r="I49" s="10">
        <f t="shared" si="8"/>
        <v>3254</v>
      </c>
      <c r="J49" s="10">
        <f t="shared" si="6"/>
        <v>31348638940.079807</v>
      </c>
      <c r="K49" s="11">
        <f t="shared" si="7"/>
        <v>2.6710000000000012E-2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11"/>
      <c r="H50" s="10"/>
      <c r="I50" s="10">
        <f t="shared" si="8"/>
        <v>3254</v>
      </c>
      <c r="J50" s="10">
        <f t="shared" si="6"/>
        <v>30533099843.266167</v>
      </c>
      <c r="K50" s="11">
        <f t="shared" si="7"/>
        <v>2.7779999999999916E-2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11"/>
      <c r="H51" s="10"/>
      <c r="I51" s="10">
        <f t="shared" si="8"/>
        <v>3254</v>
      </c>
      <c r="J51" s="10">
        <f t="shared" si="6"/>
        <v>29707816695.466122</v>
      </c>
      <c r="K51" s="11">
        <f t="shared" si="7"/>
        <v>2.8420000000000334E-2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11"/>
      <c r="H52" s="10"/>
      <c r="I52" s="10">
        <f t="shared" si="8"/>
        <v>3254</v>
      </c>
      <c r="J52" s="10">
        <f t="shared" si="6"/>
        <v>28886852351.632713</v>
      </c>
      <c r="K52" s="11">
        <f t="shared" si="7"/>
        <v>2.9490000000000016E-2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11"/>
      <c r="H53" s="10"/>
      <c r="I53" s="10">
        <f t="shared" si="8"/>
        <v>3254</v>
      </c>
      <c r="J53" s="10">
        <f t="shared" si="6"/>
        <v>28059381200.043434</v>
      </c>
      <c r="K53" s="11">
        <f t="shared" si="7"/>
        <v>2.9910000000000103E-2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11"/>
      <c r="H54" s="10"/>
      <c r="I54" s="10">
        <f t="shared" si="8"/>
        <v>3254</v>
      </c>
      <c r="J54" s="10">
        <f t="shared" si="6"/>
        <v>27244498257.171436</v>
      </c>
      <c r="K54" s="11">
        <f t="shared" si="7"/>
        <v>3.0370000000000008E-2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11"/>
      <c r="H55" s="10"/>
      <c r="I55" s="10">
        <f t="shared" si="8"/>
        <v>3254</v>
      </c>
      <c r="J55" s="10">
        <f t="shared" si="6"/>
        <v>26441470789.300381</v>
      </c>
      <c r="K55" s="11">
        <f t="shared" si="7"/>
        <v>3.0720000000000081E-2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11"/>
      <c r="H56" s="10"/>
      <c r="I56" s="10">
        <f t="shared" si="8"/>
        <v>3254</v>
      </c>
      <c r="J56" s="10">
        <f t="shared" si="6"/>
        <v>25653398390.736942</v>
      </c>
      <c r="K56" s="11">
        <f t="shared" si="7"/>
        <v>3.0929999999999902E-2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11"/>
      <c r="H57" s="10"/>
      <c r="I57" s="10">
        <f t="shared" si="8"/>
        <v>3254</v>
      </c>
      <c r="J57" s="10">
        <f t="shared" si="6"/>
        <v>24883744183.15205</v>
      </c>
      <c r="K57" s="11">
        <f t="shared" si="7"/>
        <v>3.0769999999999964E-2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11"/>
      <c r="H58" s="10"/>
      <c r="I58" s="10">
        <f t="shared" si="8"/>
        <v>3254</v>
      </c>
      <c r="J58" s="10">
        <f t="shared" si="6"/>
        <v>24140927833.708832</v>
      </c>
      <c r="K58" s="11">
        <f t="shared" si="7"/>
        <v>3.0380000000000074E-2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11"/>
      <c r="H59" s="10"/>
      <c r="I59" s="10">
        <f t="shared" si="8"/>
        <v>3254</v>
      </c>
      <c r="J59" s="10">
        <f t="shared" si="6"/>
        <v>23429150249.139957</v>
      </c>
      <c r="K59" s="11">
        <f t="shared" si="7"/>
        <v>2.8999999999999693E-2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11"/>
      <c r="H60" s="10"/>
      <c r="I60" s="10">
        <f t="shared" si="8"/>
        <v>3254</v>
      </c>
      <c r="J60" s="10">
        <f t="shared" si="6"/>
        <v>22768853497.706474</v>
      </c>
      <c r="K60" s="11">
        <f t="shared" si="7"/>
        <v>2.9430000000000289E-2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11"/>
      <c r="H61" s="10"/>
      <c r="I61" s="10">
        <f t="shared" si="8"/>
        <v>3254</v>
      </c>
      <c r="J61" s="10">
        <f t="shared" si="6"/>
        <v>22117923023.13559</v>
      </c>
      <c r="K61" s="11">
        <f t="shared" si="7"/>
        <v>2.8639999999999999E-2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11"/>
      <c r="H62" s="10"/>
      <c r="I62" s="10">
        <f t="shared" si="8"/>
        <v>3254</v>
      </c>
      <c r="J62" s="10">
        <f t="shared" si="6"/>
        <v>21502102798.973003</v>
      </c>
      <c r="K62" s="11">
        <f t="shared" si="7"/>
        <v>2.8240000000000043E-2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11"/>
      <c r="H63" s="10"/>
      <c r="I63" s="10">
        <f t="shared" si="8"/>
        <v>3254</v>
      </c>
      <c r="J63" s="10">
        <f t="shared" si="6"/>
        <v>20911560335.109509</v>
      </c>
      <c r="K63" s="11">
        <f t="shared" si="7"/>
        <v>2.7779999999999916E-2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11"/>
      <c r="H64" s="10"/>
      <c r="I64" s="10">
        <f t="shared" si="8"/>
        <v>3254</v>
      </c>
      <c r="J64" s="10">
        <f t="shared" si="6"/>
        <v>20346339036.670795</v>
      </c>
      <c r="K64" s="11">
        <f t="shared" si="7"/>
        <v>2.7120000000000033E-2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11"/>
      <c r="H65" s="10"/>
      <c r="I65" s="10">
        <f t="shared" si="8"/>
        <v>3254</v>
      </c>
      <c r="J65" s="10">
        <f t="shared" si="6"/>
        <v>19809115815.747719</v>
      </c>
      <c r="K65" s="11">
        <f t="shared" si="7"/>
        <v>2.6980000000000004E-2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6">
        <f>SUM(F2)</f>
        <v>22501433</v>
      </c>
      <c r="G66" s="11"/>
      <c r="H66" s="10"/>
      <c r="I66" s="10">
        <f t="shared" si="8"/>
        <v>3254</v>
      </c>
      <c r="J66" s="10">
        <f t="shared" ref="J66:J97" si="9">IF(I66="","",I66*C66)</f>
        <v>19288706514</v>
      </c>
      <c r="K66" s="11">
        <f t="shared" ref="K66:K97" si="10">IFERROR(J66/J67-1,"")</f>
        <v>2.6440000000000019E-2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11"/>
      <c r="H67" s="10"/>
      <c r="I67" s="10">
        <f t="shared" ref="I67:I98" si="11">IF(H67&lt;&gt;"",H67,I66/(1+IF(G66="",0,G66)))</f>
        <v>3254</v>
      </c>
      <c r="J67" s="10">
        <f t="shared" si="9"/>
        <v>18791850000</v>
      </c>
      <c r="K67" s="11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5">
        <v>11019227</v>
      </c>
      <c r="G2" s="11"/>
      <c r="H2" s="10"/>
      <c r="I2" s="10">
        <f>IF(H2&lt;&gt;"",H2,6310)</f>
        <v>6310</v>
      </c>
      <c r="J2" s="10">
        <f t="shared" ref="J2:J33" si="3">IF(I2="","",I2*C2)</f>
        <v>69527449323.246231</v>
      </c>
      <c r="K2" s="11">
        <f t="shared" ref="K2:K33" si="4">IFERROR(J2/J3-1,"")</f>
        <v>1.0340000000000016E-2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11"/>
      <c r="H3" s="10"/>
      <c r="I3" s="10">
        <f t="shared" ref="I3:I34" si="5">IF(H3&lt;&gt;"",H3,I2/(1+IF(G2="",0,G2)))</f>
        <v>6310</v>
      </c>
      <c r="J3" s="10">
        <f t="shared" si="3"/>
        <v>68815892989.732391</v>
      </c>
      <c r="K3" s="11">
        <f t="shared" si="4"/>
        <v>1.0599999999999943E-2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11"/>
      <c r="H4" s="10"/>
      <c r="I4" s="10">
        <f t="shared" si="5"/>
        <v>6310</v>
      </c>
      <c r="J4" s="10">
        <f t="shared" si="3"/>
        <v>68094095576.620224</v>
      </c>
      <c r="K4" s="11">
        <f t="shared" si="4"/>
        <v>1.0029999999999983E-2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11"/>
      <c r="H5" s="10"/>
      <c r="I5" s="10">
        <f t="shared" si="5"/>
        <v>6310</v>
      </c>
      <c r="J5" s="10">
        <f t="shared" si="3"/>
        <v>67417894098.809166</v>
      </c>
      <c r="K5" s="11">
        <f t="shared" si="4"/>
        <v>9.8300000000000054E-3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11"/>
      <c r="H6" s="10"/>
      <c r="I6" s="10">
        <f t="shared" si="5"/>
        <v>6310</v>
      </c>
      <c r="J6" s="10">
        <f t="shared" si="3"/>
        <v>66761627302.426315</v>
      </c>
      <c r="K6" s="11">
        <f t="shared" si="4"/>
        <v>1.0729999999999906E-2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11"/>
      <c r="H7" s="10"/>
      <c r="I7" s="10">
        <f t="shared" si="5"/>
        <v>6310</v>
      </c>
      <c r="J7" s="10">
        <f t="shared" si="3"/>
        <v>66052879901.087646</v>
      </c>
      <c r="K7" s="11">
        <f t="shared" si="4"/>
        <v>1.0569999999999746E-2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11"/>
      <c r="H8" s="10"/>
      <c r="I8" s="10">
        <f t="shared" si="5"/>
        <v>6310</v>
      </c>
      <c r="J8" s="10">
        <f t="shared" si="3"/>
        <v>65362003523.84066</v>
      </c>
      <c r="K8" s="11">
        <f t="shared" si="4"/>
        <v>1.0559999999999903E-2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11"/>
      <c r="H9" s="10"/>
      <c r="I9" s="10">
        <f t="shared" si="5"/>
        <v>6310</v>
      </c>
      <c r="J9" s="10">
        <f t="shared" si="3"/>
        <v>64678993354.022194</v>
      </c>
      <c r="K9" s="11">
        <f t="shared" si="4"/>
        <v>1.0640000000000205E-2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11"/>
      <c r="H10" s="10"/>
      <c r="I10" s="10">
        <f t="shared" si="5"/>
        <v>6310</v>
      </c>
      <c r="J10" s="10">
        <f t="shared" si="3"/>
        <v>63998054058.836166</v>
      </c>
      <c r="K10" s="11">
        <f t="shared" si="4"/>
        <v>9.6199999999999619E-3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11"/>
      <c r="H11" s="10"/>
      <c r="I11" s="10">
        <f t="shared" si="5"/>
        <v>6310</v>
      </c>
      <c r="J11" s="10">
        <f t="shared" si="3"/>
        <v>63388259007.187035</v>
      </c>
      <c r="K11" s="11">
        <f t="shared" si="4"/>
        <v>1.0210000000000052E-2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11"/>
      <c r="H12" s="10"/>
      <c r="I12" s="10">
        <f t="shared" si="5"/>
        <v>6310</v>
      </c>
      <c r="J12" s="10">
        <f t="shared" si="3"/>
        <v>62747605950.433113</v>
      </c>
      <c r="K12" s="11">
        <f t="shared" si="4"/>
        <v>1.0359999999999925E-2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11"/>
      <c r="H13" s="10"/>
      <c r="I13" s="10">
        <f t="shared" si="5"/>
        <v>6310</v>
      </c>
      <c r="J13" s="10">
        <f t="shared" si="3"/>
        <v>62104206372.414894</v>
      </c>
      <c r="K13" s="11">
        <f t="shared" si="4"/>
        <v>1.0190000000000143E-2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11"/>
      <c r="H14" s="10"/>
      <c r="I14" s="10">
        <f t="shared" si="5"/>
        <v>6310</v>
      </c>
      <c r="J14" s="10">
        <f t="shared" si="3"/>
        <v>61477748119.081451</v>
      </c>
      <c r="K14" s="11">
        <f t="shared" si="4"/>
        <v>1.0089999999999932E-2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11"/>
      <c r="H15" s="10"/>
      <c r="I15" s="10">
        <f t="shared" si="5"/>
        <v>6310</v>
      </c>
      <c r="J15" s="10">
        <f t="shared" si="3"/>
        <v>60863634051.501801</v>
      </c>
      <c r="K15" s="11">
        <f t="shared" si="4"/>
        <v>1.0580000000000034E-2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11"/>
      <c r="H16" s="10"/>
      <c r="I16" s="10">
        <f t="shared" si="5"/>
        <v>6310</v>
      </c>
      <c r="J16" s="10">
        <f t="shared" si="3"/>
        <v>60226438333.928825</v>
      </c>
      <c r="K16" s="11">
        <f t="shared" si="4"/>
        <v>1.0809999999999986E-2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11"/>
      <c r="H17" s="10"/>
      <c r="I17" s="10">
        <f t="shared" si="5"/>
        <v>6310</v>
      </c>
      <c r="J17" s="10">
        <f t="shared" si="3"/>
        <v>59582353096.95079</v>
      </c>
      <c r="K17" s="11">
        <f t="shared" si="4"/>
        <v>1.1149999999999993E-2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11"/>
      <c r="H18" s="10"/>
      <c r="I18" s="10">
        <f t="shared" si="5"/>
        <v>6310</v>
      </c>
      <c r="J18" s="10">
        <f t="shared" si="3"/>
        <v>58925335604.955536</v>
      </c>
      <c r="K18" s="11">
        <f t="shared" si="4"/>
        <v>1.1519999999999975E-2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11"/>
      <c r="H19" s="10"/>
      <c r="I19" s="10">
        <f t="shared" si="5"/>
        <v>6310</v>
      </c>
      <c r="J19" s="10">
        <f t="shared" si="3"/>
        <v>58254246683.165466</v>
      </c>
      <c r="K19" s="11">
        <f t="shared" si="4"/>
        <v>1.1540000000000328E-2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11"/>
      <c r="H20" s="10"/>
      <c r="I20" s="10">
        <f t="shared" si="5"/>
        <v>6310</v>
      </c>
      <c r="J20" s="10">
        <f t="shared" si="3"/>
        <v>57589661983.871574</v>
      </c>
      <c r="K20" s="11">
        <f t="shared" si="4"/>
        <v>1.1970000000000036E-2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11"/>
      <c r="H21" s="10"/>
      <c r="I21" s="10">
        <f t="shared" si="5"/>
        <v>6310</v>
      </c>
      <c r="J21" s="10">
        <f t="shared" si="3"/>
        <v>56908467626.383759</v>
      </c>
      <c r="K21" s="11">
        <f t="shared" si="4"/>
        <v>1.2329999999999952E-2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11"/>
      <c r="H22" s="10"/>
      <c r="I22" s="10">
        <f t="shared" si="5"/>
        <v>6310</v>
      </c>
      <c r="J22" s="10">
        <f t="shared" si="3"/>
        <v>56215332575.725075</v>
      </c>
      <c r="K22" s="11">
        <f t="shared" si="4"/>
        <v>1.2829999999999897E-2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11"/>
      <c r="H23" s="10"/>
      <c r="I23" s="10">
        <f t="shared" si="5"/>
        <v>6310</v>
      </c>
      <c r="J23" s="10">
        <f t="shared" si="3"/>
        <v>55503226183.787094</v>
      </c>
      <c r="K23" s="11">
        <f t="shared" si="4"/>
        <v>1.3379999999999947E-2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11"/>
      <c r="H24" s="10"/>
      <c r="I24" s="10">
        <f t="shared" si="5"/>
        <v>6310</v>
      </c>
      <c r="J24" s="10">
        <f t="shared" si="3"/>
        <v>54770398255.133408</v>
      </c>
      <c r="K24" s="11">
        <f t="shared" si="4"/>
        <v>1.3419999999999987E-2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11"/>
      <c r="H25" s="10"/>
      <c r="I25" s="10">
        <f t="shared" si="5"/>
        <v>6310</v>
      </c>
      <c r="J25" s="10">
        <f t="shared" si="3"/>
        <v>54045112840.809738</v>
      </c>
      <c r="K25" s="11">
        <f t="shared" si="4"/>
        <v>1.364999999999994E-2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11"/>
      <c r="H26" s="10"/>
      <c r="I26" s="10">
        <f t="shared" si="5"/>
        <v>6310</v>
      </c>
      <c r="J26" s="10">
        <f t="shared" si="3"/>
        <v>53317331268.988052</v>
      </c>
      <c r="K26" s="11">
        <f t="shared" si="4"/>
        <v>1.4040000000000052E-2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11"/>
      <c r="H27" s="10"/>
      <c r="I27" s="10">
        <f t="shared" si="5"/>
        <v>6310</v>
      </c>
      <c r="J27" s="10">
        <f t="shared" si="3"/>
        <v>52579120418.314903</v>
      </c>
      <c r="K27" s="11">
        <f t="shared" si="4"/>
        <v>1.4729999999999688E-2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11"/>
      <c r="H28" s="10"/>
      <c r="I28" s="10">
        <f t="shared" si="5"/>
        <v>6310</v>
      </c>
      <c r="J28" s="10">
        <f t="shared" si="3"/>
        <v>51815872614.700378</v>
      </c>
      <c r="K28" s="11">
        <f t="shared" si="4"/>
        <v>1.5109999999999957E-2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11"/>
      <c r="H29" s="10"/>
      <c r="I29" s="10">
        <f t="shared" si="5"/>
        <v>6310</v>
      </c>
      <c r="J29" s="10">
        <f t="shared" si="3"/>
        <v>51044588876.772354</v>
      </c>
      <c r="K29" s="11">
        <f t="shared" si="4"/>
        <v>1.5519999999999978E-2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11"/>
      <c r="H30" s="10"/>
      <c r="I30" s="10">
        <f t="shared" si="5"/>
        <v>6310</v>
      </c>
      <c r="J30" s="10">
        <f t="shared" si="3"/>
        <v>50264484083.791901</v>
      </c>
      <c r="K30" s="11">
        <f t="shared" si="4"/>
        <v>1.5479999999999938E-2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11"/>
      <c r="H31" s="10"/>
      <c r="I31" s="10">
        <f t="shared" si="5"/>
        <v>6310</v>
      </c>
      <c r="J31" s="10">
        <f t="shared" si="3"/>
        <v>49498251155.898598</v>
      </c>
      <c r="K31" s="11">
        <f t="shared" si="4"/>
        <v>1.5430000000000055E-2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11"/>
      <c r="H32" s="10"/>
      <c r="I32" s="10">
        <f t="shared" si="5"/>
        <v>6310</v>
      </c>
      <c r="J32" s="10">
        <f t="shared" si="3"/>
        <v>48746098850.633324</v>
      </c>
      <c r="K32" s="11">
        <f t="shared" si="4"/>
        <v>1.5679999999999916E-2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11"/>
      <c r="H33" s="10"/>
      <c r="I33" s="10">
        <f t="shared" si="5"/>
        <v>6310</v>
      </c>
      <c r="J33" s="10">
        <f t="shared" si="3"/>
        <v>47993559832.46035</v>
      </c>
      <c r="K33" s="11">
        <f t="shared" si="4"/>
        <v>1.5770000000000062E-2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11"/>
      <c r="H34" s="10"/>
      <c r="I34" s="10">
        <f t="shared" si="5"/>
        <v>6310</v>
      </c>
      <c r="J34" s="10">
        <f t="shared" ref="J34:J65" si="6">IF(I34="","",I34*C34)</f>
        <v>47248451748.38826</v>
      </c>
      <c r="K34" s="11">
        <f t="shared" ref="K34:K65" si="7">IFERROR(J34/J35-1,"")</f>
        <v>1.6080000000000094E-2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11"/>
      <c r="H35" s="10"/>
      <c r="I35" s="10">
        <f t="shared" ref="I35:I66" si="8">IF(H35&lt;&gt;"",H35,I34/(1+IF(G34="",0,G34)))</f>
        <v>6310</v>
      </c>
      <c r="J35" s="10">
        <f t="shared" si="6"/>
        <v>46500720168.085442</v>
      </c>
      <c r="K35" s="11">
        <f t="shared" si="7"/>
        <v>1.5959999999999974E-2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11"/>
      <c r="H36" s="10"/>
      <c r="I36" s="10">
        <f t="shared" si="8"/>
        <v>6310</v>
      </c>
      <c r="J36" s="10">
        <f t="shared" si="6"/>
        <v>45770227339.743141</v>
      </c>
      <c r="K36" s="11">
        <f t="shared" si="7"/>
        <v>1.6129999999999978E-2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11"/>
      <c r="H37" s="10"/>
      <c r="I37" s="10">
        <f t="shared" si="8"/>
        <v>6310</v>
      </c>
      <c r="J37" s="10">
        <f t="shared" si="6"/>
        <v>45043672895.931763</v>
      </c>
      <c r="K37" s="11">
        <f t="shared" si="7"/>
        <v>1.5910000000000091E-2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11"/>
      <c r="H38" s="10"/>
      <c r="I38" s="10">
        <f t="shared" si="8"/>
        <v>6310</v>
      </c>
      <c r="J38" s="10">
        <f t="shared" si="6"/>
        <v>44338251317.470795</v>
      </c>
      <c r="K38" s="11">
        <f t="shared" si="7"/>
        <v>1.5949999999999909E-2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11"/>
      <c r="H39" s="10"/>
      <c r="I39" s="10">
        <f t="shared" si="8"/>
        <v>6310</v>
      </c>
      <c r="J39" s="10">
        <f t="shared" si="6"/>
        <v>43642158883.282448</v>
      </c>
      <c r="K39" s="11">
        <f t="shared" si="7"/>
        <v>1.5989999999999949E-2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11"/>
      <c r="H40" s="10"/>
      <c r="I40" s="10">
        <f t="shared" si="8"/>
        <v>6310</v>
      </c>
      <c r="J40" s="10">
        <f t="shared" si="6"/>
        <v>42955303579.053383</v>
      </c>
      <c r="K40" s="11">
        <f t="shared" si="7"/>
        <v>1.5989999999999949E-2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11"/>
      <c r="H41" s="10"/>
      <c r="I41" s="10">
        <f t="shared" si="8"/>
        <v>6310</v>
      </c>
      <c r="J41" s="10">
        <f t="shared" si="6"/>
        <v>42279258239.799004</v>
      </c>
      <c r="K41" s="11">
        <f t="shared" si="7"/>
        <v>1.5680000000000138E-2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11"/>
      <c r="H42" s="10"/>
      <c r="I42" s="10">
        <f t="shared" si="8"/>
        <v>6310</v>
      </c>
      <c r="J42" s="10">
        <f t="shared" si="6"/>
        <v>41626553875.038399</v>
      </c>
      <c r="K42" s="11">
        <f t="shared" si="7"/>
        <v>1.5619999999999967E-2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11"/>
      <c r="H43" s="10"/>
      <c r="I43" s="10">
        <f t="shared" si="8"/>
        <v>6310</v>
      </c>
      <c r="J43" s="10">
        <f t="shared" si="6"/>
        <v>40986347132.823692</v>
      </c>
      <c r="K43" s="11">
        <f t="shared" si="7"/>
        <v>1.6539999999999999E-2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11"/>
      <c r="H44" s="10"/>
      <c r="I44" s="10">
        <f t="shared" si="8"/>
        <v>6310</v>
      </c>
      <c r="J44" s="10">
        <f t="shared" si="6"/>
        <v>40319463211.308647</v>
      </c>
      <c r="K44" s="11">
        <f t="shared" si="7"/>
        <v>1.6350000000000087E-2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11"/>
      <c r="H45" s="10"/>
      <c r="I45" s="10">
        <f t="shared" si="8"/>
        <v>6310</v>
      </c>
      <c r="J45" s="10">
        <f t="shared" si="6"/>
        <v>39670844897.238792</v>
      </c>
      <c r="K45" s="11">
        <f t="shared" si="7"/>
        <v>1.5980000000000105E-2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11"/>
      <c r="H46" s="10"/>
      <c r="I46" s="10">
        <f t="shared" si="8"/>
        <v>6310</v>
      </c>
      <c r="J46" s="10">
        <f t="shared" si="6"/>
        <v>39046875821.609467</v>
      </c>
      <c r="K46" s="11">
        <f t="shared" si="7"/>
        <v>1.5680000000000138E-2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11"/>
      <c r="H47" s="10"/>
      <c r="I47" s="10">
        <f t="shared" si="8"/>
        <v>6310</v>
      </c>
      <c r="J47" s="10">
        <f t="shared" si="6"/>
        <v>38444072760.721352</v>
      </c>
      <c r="K47" s="11">
        <f t="shared" si="7"/>
        <v>1.580999999999988E-2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11"/>
      <c r="H48" s="10"/>
      <c r="I48" s="10">
        <f t="shared" si="8"/>
        <v>6310</v>
      </c>
      <c r="J48" s="10">
        <f t="shared" si="6"/>
        <v>37845731741.882195</v>
      </c>
      <c r="K48" s="11">
        <f t="shared" si="7"/>
        <v>1.5390000000000015E-2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11"/>
      <c r="H49" s="10"/>
      <c r="I49" s="10">
        <f t="shared" si="8"/>
        <v>6310</v>
      </c>
      <c r="J49" s="10">
        <f t="shared" si="6"/>
        <v>37272113908.825371</v>
      </c>
      <c r="K49" s="11">
        <f t="shared" si="7"/>
        <v>1.5309999999999935E-2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11"/>
      <c r="H50" s="10"/>
      <c r="I50" s="10">
        <f t="shared" si="8"/>
        <v>6310</v>
      </c>
      <c r="J50" s="10">
        <f t="shared" si="6"/>
        <v>36710082545.060493</v>
      </c>
      <c r="K50" s="11">
        <f t="shared" si="7"/>
        <v>1.5289999999999804E-2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11"/>
      <c r="H51" s="10"/>
      <c r="I51" s="10">
        <f t="shared" si="8"/>
        <v>6310</v>
      </c>
      <c r="J51" s="10">
        <f t="shared" si="6"/>
        <v>36157238370.377426</v>
      </c>
      <c r="K51" s="11">
        <f t="shared" si="7"/>
        <v>1.5220000000000011E-2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11"/>
      <c r="H52" s="10"/>
      <c r="I52" s="10">
        <f t="shared" si="8"/>
        <v>6310</v>
      </c>
      <c r="J52" s="10">
        <f t="shared" si="6"/>
        <v>35615175400.777588</v>
      </c>
      <c r="K52" s="11">
        <f t="shared" si="7"/>
        <v>1.5409999999999702E-2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11"/>
      <c r="H53" s="10"/>
      <c r="I53" s="10">
        <f t="shared" si="8"/>
        <v>6310</v>
      </c>
      <c r="J53" s="10">
        <f t="shared" si="6"/>
        <v>35074674664.20224</v>
      </c>
      <c r="K53" s="11">
        <f t="shared" si="7"/>
        <v>1.5870000000000051E-2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11"/>
      <c r="H54" s="10"/>
      <c r="I54" s="10">
        <f t="shared" si="8"/>
        <v>6310</v>
      </c>
      <c r="J54" s="10">
        <f t="shared" si="6"/>
        <v>34526735373.819717</v>
      </c>
      <c r="K54" s="11">
        <f t="shared" si="7"/>
        <v>1.6340000000000021E-2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11"/>
      <c r="H55" s="10"/>
      <c r="I55" s="10">
        <f t="shared" si="8"/>
        <v>6310</v>
      </c>
      <c r="J55" s="10">
        <f t="shared" si="6"/>
        <v>33971638795.894798</v>
      </c>
      <c r="K55" s="11">
        <f t="shared" si="7"/>
        <v>1.6529999999999934E-2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11"/>
      <c r="H56" s="10"/>
      <c r="I56" s="10">
        <f t="shared" si="8"/>
        <v>6310</v>
      </c>
      <c r="J56" s="10">
        <f t="shared" si="6"/>
        <v>33419219104.103962</v>
      </c>
      <c r="K56" s="11">
        <f t="shared" si="7"/>
        <v>1.6599999999999948E-2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11"/>
      <c r="H57" s="10"/>
      <c r="I57" s="10">
        <f t="shared" si="8"/>
        <v>6310</v>
      </c>
      <c r="J57" s="10">
        <f t="shared" si="6"/>
        <v>32873518693.787098</v>
      </c>
      <c r="K57" s="11">
        <f t="shared" si="7"/>
        <v>1.6499999999999959E-2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11"/>
      <c r="H58" s="10"/>
      <c r="I58" s="10">
        <f t="shared" si="8"/>
        <v>6310</v>
      </c>
      <c r="J58" s="10">
        <f t="shared" si="6"/>
        <v>32339910175.884995</v>
      </c>
      <c r="K58" s="11">
        <f t="shared" si="7"/>
        <v>1.6790000000000083E-2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11"/>
      <c r="H59" s="10"/>
      <c r="I59" s="10">
        <f t="shared" si="8"/>
        <v>6310</v>
      </c>
      <c r="J59" s="10">
        <f t="shared" si="6"/>
        <v>31805889294.628185</v>
      </c>
      <c r="K59" s="11">
        <f t="shared" si="7"/>
        <v>1.6950000000000021E-2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11"/>
      <c r="H60" s="10"/>
      <c r="I60" s="10">
        <f t="shared" si="8"/>
        <v>6310</v>
      </c>
      <c r="J60" s="10">
        <f t="shared" si="6"/>
        <v>31275765076.580154</v>
      </c>
      <c r="K60" s="11">
        <f t="shared" si="7"/>
        <v>1.6939999999999955E-2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11"/>
      <c r="H61" s="10"/>
      <c r="I61" s="10">
        <f t="shared" si="8"/>
        <v>6310</v>
      </c>
      <c r="J61" s="10">
        <f t="shared" si="6"/>
        <v>30754779118.315884</v>
      </c>
      <c r="K61" s="11">
        <f t="shared" si="7"/>
        <v>1.7740000000000089E-2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11"/>
      <c r="H62" s="10"/>
      <c r="I62" s="10">
        <f t="shared" si="8"/>
        <v>6310</v>
      </c>
      <c r="J62" s="10">
        <f t="shared" si="6"/>
        <v>30218699391.117458</v>
      </c>
      <c r="K62" s="11">
        <f t="shared" si="7"/>
        <v>1.7630000000000035E-2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11"/>
      <c r="H63" s="10"/>
      <c r="I63" s="10">
        <f t="shared" si="8"/>
        <v>6310</v>
      </c>
      <c r="J63" s="10">
        <f t="shared" si="6"/>
        <v>29695173482.618885</v>
      </c>
      <c r="K63" s="11">
        <f t="shared" si="7"/>
        <v>1.8480000000000052E-2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11"/>
      <c r="H64" s="10"/>
      <c r="I64" s="10">
        <f t="shared" si="8"/>
        <v>6310</v>
      </c>
      <c r="J64" s="10">
        <f t="shared" si="6"/>
        <v>29156363878.150661</v>
      </c>
      <c r="K64" s="11">
        <f t="shared" si="7"/>
        <v>1.8860000000000099E-2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11"/>
      <c r="H65" s="10"/>
      <c r="I65" s="10">
        <f t="shared" si="8"/>
        <v>6310</v>
      </c>
      <c r="J65" s="10">
        <f t="shared" si="6"/>
        <v>28616653787.714363</v>
      </c>
      <c r="K65" s="11">
        <f t="shared" si="7"/>
        <v>1.9470000000000098E-2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6">
        <f>SUM(F2)</f>
        <v>11019227</v>
      </c>
      <c r="G66" s="11"/>
      <c r="H66" s="10"/>
      <c r="I66" s="10">
        <f t="shared" si="8"/>
        <v>6310</v>
      </c>
      <c r="J66" s="10">
        <f t="shared" ref="J66:J97" si="9">IF(I66="","",I66*C66)</f>
        <v>28070128388</v>
      </c>
      <c r="K66" s="11">
        <f t="shared" ref="K66:K97" si="10">IFERROR(J66/J67-1,"")</f>
        <v>1.9600000000000062E-2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11"/>
      <c r="H67" s="10"/>
      <c r="I67" s="10">
        <f t="shared" ref="I67:I98" si="11">IF(H67&lt;&gt;"",H67,I66/(1+IF(G66="",0,G66)))</f>
        <v>6310</v>
      </c>
      <c r="J67" s="10">
        <f t="shared" si="9"/>
        <v>27530530000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5">
        <v>23361657</v>
      </c>
      <c r="G2" s="11"/>
      <c r="H2" s="10"/>
      <c r="I2" s="10">
        <f>IF(H2&lt;&gt;"",H2,14206)</f>
        <v>14206</v>
      </c>
      <c r="J2" s="10">
        <f t="shared" ref="J2:J33" si="3">IF(I2="","",I2*C2)</f>
        <v>331867402086.98047</v>
      </c>
      <c r="K2" s="11">
        <f t="shared" ref="K2:K33" si="4">IFERROR(J2/J3-1,"")</f>
        <v>1.0569999999999746E-2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11"/>
      <c r="H3" s="10"/>
      <c r="I3" s="10">
        <f t="shared" ref="I3:I34" si="5">IF(H3&lt;&gt;"",H3,I2/(1+IF(G2="",0,G2)))</f>
        <v>14206</v>
      </c>
      <c r="J3" s="10">
        <f t="shared" si="3"/>
        <v>328396253685.52454</v>
      </c>
      <c r="K3" s="11">
        <f t="shared" si="4"/>
        <v>1.0569999999999968E-2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11"/>
      <c r="H4" s="10"/>
      <c r="I4" s="10">
        <f t="shared" si="5"/>
        <v>14206</v>
      </c>
      <c r="J4" s="10">
        <f t="shared" si="3"/>
        <v>324961411565.27954</v>
      </c>
      <c r="K4" s="11">
        <f t="shared" si="4"/>
        <v>9.279999999999955E-3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11"/>
      <c r="H5" s="10"/>
      <c r="I5" s="10">
        <f t="shared" si="5"/>
        <v>14206</v>
      </c>
      <c r="J5" s="10">
        <f t="shared" si="3"/>
        <v>321973497508.40161</v>
      </c>
      <c r="K5" s="11">
        <f t="shared" si="4"/>
        <v>7.6799999999999091E-3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11"/>
      <c r="H6" s="10"/>
      <c r="I6" s="10">
        <f t="shared" si="5"/>
        <v>14206</v>
      </c>
      <c r="J6" s="10">
        <f t="shared" si="3"/>
        <v>319519587079.63007</v>
      </c>
      <c r="K6" s="11">
        <f t="shared" si="4"/>
        <v>7.1199999999997932E-3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11"/>
      <c r="H7" s="10"/>
      <c r="I7" s="10">
        <f t="shared" si="5"/>
        <v>14206</v>
      </c>
      <c r="J7" s="10">
        <f t="shared" si="3"/>
        <v>317260690959.99493</v>
      </c>
      <c r="K7" s="11">
        <f t="shared" si="4"/>
        <v>7.9700000000002547E-3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11"/>
      <c r="H8" s="10"/>
      <c r="I8" s="10">
        <f t="shared" si="5"/>
        <v>14206</v>
      </c>
      <c r="J8" s="10">
        <f t="shared" si="3"/>
        <v>314752116590.76648</v>
      </c>
      <c r="K8" s="11">
        <f t="shared" si="4"/>
        <v>9.060000000000068E-3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11"/>
      <c r="H9" s="10"/>
      <c r="I9" s="10">
        <f t="shared" si="5"/>
        <v>14206</v>
      </c>
      <c r="J9" s="10">
        <f t="shared" si="3"/>
        <v>311926066428.92041</v>
      </c>
      <c r="K9" s="11">
        <f t="shared" si="4"/>
        <v>7.9699999999998106E-3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11"/>
      <c r="H10" s="10"/>
      <c r="I10" s="10">
        <f t="shared" si="5"/>
        <v>14206</v>
      </c>
      <c r="J10" s="10">
        <f t="shared" si="3"/>
        <v>309459672836.41425</v>
      </c>
      <c r="K10" s="11">
        <f t="shared" si="4"/>
        <v>7.6300000000000257E-3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11"/>
      <c r="H11" s="10"/>
      <c r="I11" s="10">
        <f t="shared" si="5"/>
        <v>14206</v>
      </c>
      <c r="J11" s="10">
        <f t="shared" si="3"/>
        <v>307116374895.95807</v>
      </c>
      <c r="K11" s="11">
        <f t="shared" si="4"/>
        <v>7.2099999999999387E-3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11"/>
      <c r="H12" s="10"/>
      <c r="I12" s="10">
        <f t="shared" si="5"/>
        <v>14206</v>
      </c>
      <c r="J12" s="10">
        <f t="shared" si="3"/>
        <v>304917916716.43262</v>
      </c>
      <c r="K12" s="11">
        <f t="shared" si="4"/>
        <v>4.0100000000000691E-3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11"/>
      <c r="H13" s="10"/>
      <c r="I13" s="10">
        <f t="shared" si="5"/>
        <v>14206</v>
      </c>
      <c r="J13" s="10">
        <f t="shared" si="3"/>
        <v>303700079398.04645</v>
      </c>
      <c r="K13" s="11">
        <f t="shared" si="4"/>
        <v>3.9700000000000291E-3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11"/>
      <c r="H14" s="10"/>
      <c r="I14" s="10">
        <f t="shared" si="5"/>
        <v>14206</v>
      </c>
      <c r="J14" s="10">
        <f t="shared" si="3"/>
        <v>302499157741.81146</v>
      </c>
      <c r="K14" s="11">
        <f t="shared" si="4"/>
        <v>3.9100000000000801E-3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11"/>
      <c r="H15" s="10"/>
      <c r="I15" s="10">
        <f t="shared" si="5"/>
        <v>14206</v>
      </c>
      <c r="J15" s="10">
        <f t="shared" si="3"/>
        <v>301320992660.50885</v>
      </c>
      <c r="K15" s="11">
        <f t="shared" si="4"/>
        <v>3.5600000000000076E-3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11"/>
      <c r="H16" s="10"/>
      <c r="I16" s="10">
        <f t="shared" si="5"/>
        <v>14206</v>
      </c>
      <c r="J16" s="10">
        <f t="shared" si="3"/>
        <v>300252095201.59119</v>
      </c>
      <c r="K16" s="11">
        <f t="shared" si="4"/>
        <v>2.9600000000002957E-3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11"/>
      <c r="H17" s="10"/>
      <c r="I17" s="10">
        <f t="shared" si="5"/>
        <v>14206</v>
      </c>
      <c r="J17" s="10">
        <f t="shared" si="3"/>
        <v>299365971924.69403</v>
      </c>
      <c r="K17" s="11">
        <f t="shared" si="4"/>
        <v>2.4299999999999322E-3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11"/>
      <c r="H18" s="10"/>
      <c r="I18" s="10">
        <f t="shared" si="5"/>
        <v>14206</v>
      </c>
      <c r="J18" s="10">
        <f t="shared" si="3"/>
        <v>298640276053.88312</v>
      </c>
      <c r="K18" s="11">
        <f t="shared" si="4"/>
        <v>8.2000000000004292E-4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11"/>
      <c r="H19" s="10"/>
      <c r="I19" s="10">
        <f t="shared" si="5"/>
        <v>14206</v>
      </c>
      <c r="J19" s="10">
        <f t="shared" si="3"/>
        <v>298395591668.71478</v>
      </c>
      <c r="K19" s="11">
        <f t="shared" si="4"/>
        <v>7.699999999999374E-4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11"/>
      <c r="H20" s="10"/>
      <c r="I20" s="10">
        <f t="shared" si="5"/>
        <v>14206</v>
      </c>
      <c r="J20" s="10">
        <f t="shared" si="3"/>
        <v>298166003845.75354</v>
      </c>
      <c r="K20" s="11">
        <f t="shared" si="4"/>
        <v>3.6999999999998145E-4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11"/>
      <c r="H21" s="10"/>
      <c r="I21" s="10">
        <f t="shared" si="5"/>
        <v>14206</v>
      </c>
      <c r="J21" s="10">
        <f t="shared" si="3"/>
        <v>298055723228.15912</v>
      </c>
      <c r="K21" s="11">
        <f t="shared" si="4"/>
        <v>7.9999999999991189E-4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11"/>
      <c r="H22" s="10"/>
      <c r="I22" s="10">
        <f t="shared" si="5"/>
        <v>14206</v>
      </c>
      <c r="J22" s="10">
        <f t="shared" si="3"/>
        <v>297817469252.75696</v>
      </c>
      <c r="K22" s="11">
        <f t="shared" si="4"/>
        <v>2.3800000000000487E-3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11"/>
      <c r="H23" s="10"/>
      <c r="I23" s="10">
        <f t="shared" si="5"/>
        <v>14206</v>
      </c>
      <c r="J23" s="10">
        <f t="shared" si="3"/>
        <v>297110346627.78284</v>
      </c>
      <c r="K23" s="11">
        <f t="shared" si="4"/>
        <v>8.1100000000002836E-3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11"/>
      <c r="H24" s="10"/>
      <c r="I24" s="10">
        <f t="shared" si="5"/>
        <v>14206</v>
      </c>
      <c r="J24" s="10">
        <f t="shared" si="3"/>
        <v>294720166080.86694</v>
      </c>
      <c r="K24" s="11">
        <f t="shared" si="4"/>
        <v>6.0899999999999288E-3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11"/>
      <c r="H25" s="10"/>
      <c r="I25" s="10">
        <f t="shared" si="5"/>
        <v>14206</v>
      </c>
      <c r="J25" s="10">
        <f t="shared" si="3"/>
        <v>292936184715.94684</v>
      </c>
      <c r="K25" s="11">
        <f t="shared" si="4"/>
        <v>5.5199999999999694E-3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11"/>
      <c r="H26" s="10"/>
      <c r="I26" s="10">
        <f t="shared" si="5"/>
        <v>14206</v>
      </c>
      <c r="J26" s="10">
        <f t="shared" si="3"/>
        <v>291328053858.64709</v>
      </c>
      <c r="K26" s="11">
        <f t="shared" si="4"/>
        <v>6.1899999999999178E-3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11"/>
      <c r="H27" s="10"/>
      <c r="I27" s="10">
        <f t="shared" si="5"/>
        <v>14206</v>
      </c>
      <c r="J27" s="10">
        <f t="shared" si="3"/>
        <v>289535827088.96643</v>
      </c>
      <c r="K27" s="11">
        <f t="shared" si="4"/>
        <v>7.4100000000001387E-3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11"/>
      <c r="H28" s="10"/>
      <c r="I28" s="10">
        <f t="shared" si="5"/>
        <v>14206</v>
      </c>
      <c r="J28" s="10">
        <f t="shared" si="3"/>
        <v>287406147535.72668</v>
      </c>
      <c r="K28" s="11">
        <f t="shared" si="4"/>
        <v>8.0200000000001381E-3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11"/>
      <c r="H29" s="10"/>
      <c r="I29" s="10">
        <f t="shared" si="5"/>
        <v>14206</v>
      </c>
      <c r="J29" s="10">
        <f t="shared" si="3"/>
        <v>285119489232.08533</v>
      </c>
      <c r="K29" s="11">
        <f t="shared" si="4"/>
        <v>5.3199999999997694E-3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11"/>
      <c r="H30" s="10"/>
      <c r="I30" s="10">
        <f t="shared" si="5"/>
        <v>14206</v>
      </c>
      <c r="J30" s="10">
        <f t="shared" si="3"/>
        <v>283610680412.29199</v>
      </c>
      <c r="K30" s="11">
        <f t="shared" si="4"/>
        <v>3.8800000000001056E-3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11"/>
      <c r="H31" s="10"/>
      <c r="I31" s="10">
        <f t="shared" si="5"/>
        <v>14206</v>
      </c>
      <c r="J31" s="10">
        <f t="shared" si="3"/>
        <v>282514524058.94324</v>
      </c>
      <c r="K31" s="11">
        <f t="shared" si="4"/>
        <v>2.7899999999998482E-3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11"/>
      <c r="H32" s="10"/>
      <c r="I32" s="10">
        <f t="shared" si="5"/>
        <v>14206</v>
      </c>
      <c r="J32" s="10">
        <f t="shared" si="3"/>
        <v>281728501539.64764</v>
      </c>
      <c r="K32" s="11">
        <f t="shared" si="4"/>
        <v>1.8600000000001948E-3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11"/>
      <c r="H33" s="10"/>
      <c r="I33" s="10">
        <f t="shared" si="5"/>
        <v>14206</v>
      </c>
      <c r="J33" s="10">
        <f t="shared" si="3"/>
        <v>281205459385.19116</v>
      </c>
      <c r="K33" s="11">
        <f t="shared" si="4"/>
        <v>1.4400000000001079E-3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11"/>
      <c r="H34" s="10"/>
      <c r="I34" s="10">
        <f t="shared" si="5"/>
        <v>14206</v>
      </c>
      <c r="J34" s="10">
        <f t="shared" ref="J34:J65" si="6">IF(I34="","",I34*C34)</f>
        <v>280801105792.84943</v>
      </c>
      <c r="K34" s="11">
        <f t="shared" ref="K34:K65" si="7">IFERROR(J34/J35-1,"")</f>
        <v>3.6999999999998145E-4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11"/>
      <c r="H35" s="10"/>
      <c r="I35" s="10">
        <f t="shared" ref="I35:I66" si="8">IF(H35&lt;&gt;"",H35,I34/(1+IF(G34="",0,G34)))</f>
        <v>14206</v>
      </c>
      <c r="J35" s="10">
        <f t="shared" si="6"/>
        <v>280697247811.1593</v>
      </c>
      <c r="K35" s="11">
        <f t="shared" si="7"/>
        <v>5.2000000000007596E-4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11"/>
      <c r="H36" s="10"/>
      <c r="I36" s="10">
        <f t="shared" si="8"/>
        <v>14206</v>
      </c>
      <c r="J36" s="10">
        <f t="shared" si="6"/>
        <v>280551361103.3855</v>
      </c>
      <c r="K36" s="11">
        <f t="shared" si="7"/>
        <v>6.0999999999999943E-4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11"/>
      <c r="H37" s="10"/>
      <c r="I37" s="10">
        <f t="shared" si="8"/>
        <v>14206</v>
      </c>
      <c r="J37" s="10">
        <f t="shared" si="6"/>
        <v>280380329102.63287</v>
      </c>
      <c r="K37" s="11">
        <f t="shared" si="7"/>
        <v>1.7899999999999583E-3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11"/>
      <c r="H38" s="10"/>
      <c r="I38" s="10">
        <f t="shared" si="8"/>
        <v>14206</v>
      </c>
      <c r="J38" s="10">
        <f t="shared" si="6"/>
        <v>279879345074.94873</v>
      </c>
      <c r="K38" s="11">
        <f t="shared" si="7"/>
        <v>2.2400000000002418E-3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11"/>
      <c r="H39" s="10"/>
      <c r="I39" s="10">
        <f t="shared" si="8"/>
        <v>14206</v>
      </c>
      <c r="J39" s="10">
        <f t="shared" si="6"/>
        <v>279253816525.9306</v>
      </c>
      <c r="K39" s="11">
        <f t="shared" si="7"/>
        <v>2.0999999999997687E-3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11"/>
      <c r="H40" s="10"/>
      <c r="I40" s="10">
        <f t="shared" si="8"/>
        <v>14206</v>
      </c>
      <c r="J40" s="10">
        <f t="shared" si="6"/>
        <v>278668612439.80707</v>
      </c>
      <c r="K40" s="11">
        <f t="shared" si="7"/>
        <v>3.7400000000002986E-3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11"/>
      <c r="H41" s="10"/>
      <c r="I41" s="10">
        <f t="shared" si="8"/>
        <v>14206</v>
      </c>
      <c r="J41" s="10">
        <f t="shared" si="6"/>
        <v>277630275210.51965</v>
      </c>
      <c r="K41" s="11">
        <f t="shared" si="7"/>
        <v>3.3799999999997166E-3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11"/>
      <c r="H42" s="10"/>
      <c r="I42" s="10">
        <f t="shared" si="8"/>
        <v>14206</v>
      </c>
      <c r="J42" s="10">
        <f t="shared" si="6"/>
        <v>276695045955.19116</v>
      </c>
      <c r="K42" s="11">
        <f t="shared" si="7"/>
        <v>3.8700000000000401E-3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11"/>
      <c r="H43" s="10"/>
      <c r="I43" s="10">
        <f t="shared" si="8"/>
        <v>14206</v>
      </c>
      <c r="J43" s="10">
        <f t="shared" si="6"/>
        <v>275628364185.79211</v>
      </c>
      <c r="K43" s="11">
        <f t="shared" si="7"/>
        <v>3.949999999999898E-3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11"/>
      <c r="H44" s="10"/>
      <c r="I44" s="10">
        <f t="shared" si="8"/>
        <v>14206</v>
      </c>
      <c r="J44" s="10">
        <f t="shared" si="6"/>
        <v>274543915718.70328</v>
      </c>
      <c r="K44" s="11">
        <f t="shared" si="7"/>
        <v>1.8000000000000238E-3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11"/>
      <c r="H45" s="10"/>
      <c r="I45" s="10">
        <f t="shared" si="8"/>
        <v>14206</v>
      </c>
      <c r="J45" s="10">
        <f t="shared" si="6"/>
        <v>274050624594.43329</v>
      </c>
      <c r="K45" s="11">
        <f t="shared" si="7"/>
        <v>1.8199999999999328E-3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11"/>
      <c r="H46" s="10"/>
      <c r="I46" s="10">
        <f t="shared" si="8"/>
        <v>14206</v>
      </c>
      <c r="J46" s="10">
        <f t="shared" si="6"/>
        <v>273552758573.82895</v>
      </c>
      <c r="K46" s="11">
        <f t="shared" si="7"/>
        <v>4.1800000000002946E-3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11"/>
      <c r="H47" s="10"/>
      <c r="I47" s="10">
        <f t="shared" si="8"/>
        <v>14206</v>
      </c>
      <c r="J47" s="10">
        <f t="shared" si="6"/>
        <v>272414067770.548</v>
      </c>
      <c r="K47" s="11">
        <f t="shared" si="7"/>
        <v>9.5499999999999474E-3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11"/>
      <c r="H48" s="10"/>
      <c r="I48" s="10">
        <f t="shared" si="8"/>
        <v>14206</v>
      </c>
      <c r="J48" s="10">
        <f t="shared" si="6"/>
        <v>269837123243.57193</v>
      </c>
      <c r="K48" s="11">
        <f t="shared" si="7"/>
        <v>9.1300000000000825E-3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11"/>
      <c r="H49" s="10"/>
      <c r="I49" s="10">
        <f t="shared" si="8"/>
        <v>14206</v>
      </c>
      <c r="J49" s="10">
        <f t="shared" si="6"/>
        <v>267395799593.28522</v>
      </c>
      <c r="K49" s="11">
        <f t="shared" si="7"/>
        <v>4.930000000000101E-3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11"/>
      <c r="H50" s="10"/>
      <c r="I50" s="10">
        <f t="shared" si="8"/>
        <v>14206</v>
      </c>
      <c r="J50" s="10">
        <f t="shared" si="6"/>
        <v>266084005446.43427</v>
      </c>
      <c r="K50" s="11">
        <f t="shared" si="7"/>
        <v>6.6600000000001103E-3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11"/>
      <c r="H51" s="10"/>
      <c r="I51" s="10">
        <f t="shared" si="8"/>
        <v>14206</v>
      </c>
      <c r="J51" s="10">
        <f t="shared" si="6"/>
        <v>264323610202.48569</v>
      </c>
      <c r="K51" s="11">
        <f t="shared" si="7"/>
        <v>8.8699999999999335E-3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11"/>
      <c r="H52" s="10"/>
      <c r="I52" s="10">
        <f t="shared" si="8"/>
        <v>14206</v>
      </c>
      <c r="J52" s="10">
        <f t="shared" si="6"/>
        <v>261999673102.07031</v>
      </c>
      <c r="K52" s="11">
        <f t="shared" si="7"/>
        <v>9.8199999999999399E-3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11"/>
      <c r="H53" s="10"/>
      <c r="I53" s="10">
        <f t="shared" si="8"/>
        <v>14206</v>
      </c>
      <c r="J53" s="10">
        <f t="shared" si="6"/>
        <v>259451855877.35471</v>
      </c>
      <c r="K53" s="11">
        <f t="shared" si="7"/>
        <v>8.8299999999998935E-3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11"/>
      <c r="H54" s="10"/>
      <c r="I54" s="10">
        <f t="shared" si="8"/>
        <v>14206</v>
      </c>
      <c r="J54" s="10">
        <f t="shared" si="6"/>
        <v>257180948105.58243</v>
      </c>
      <c r="K54" s="11">
        <f t="shared" si="7"/>
        <v>6.0899999999997068E-3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11"/>
      <c r="H55" s="10"/>
      <c r="I55" s="10">
        <f t="shared" si="8"/>
        <v>14206</v>
      </c>
      <c r="J55" s="10">
        <f t="shared" si="6"/>
        <v>255624196747.39087</v>
      </c>
      <c r="K55" s="11">
        <f t="shared" si="7"/>
        <v>5.1699999999998969E-3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11"/>
      <c r="H56" s="10"/>
      <c r="I56" s="10">
        <f t="shared" si="8"/>
        <v>14206</v>
      </c>
      <c r="J56" s="10">
        <f t="shared" si="6"/>
        <v>254309417061.18457</v>
      </c>
      <c r="K56" s="11">
        <f t="shared" si="7"/>
        <v>5.8499999999999108E-3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11"/>
      <c r="H57" s="10"/>
      <c r="I57" s="10">
        <f t="shared" si="8"/>
        <v>14206</v>
      </c>
      <c r="J57" s="10">
        <f t="shared" si="6"/>
        <v>252830359458.35321</v>
      </c>
      <c r="K57" s="11">
        <f t="shared" si="7"/>
        <v>3.5899999999999821E-3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11"/>
      <c r="H58" s="10"/>
      <c r="I58" s="10">
        <f t="shared" si="8"/>
        <v>14206</v>
      </c>
      <c r="J58" s="10">
        <f t="shared" si="6"/>
        <v>251925945314.67355</v>
      </c>
      <c r="K58" s="11">
        <f t="shared" si="7"/>
        <v>4.729999999999901E-3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11"/>
      <c r="H59" s="10"/>
      <c r="I59" s="10">
        <f t="shared" si="8"/>
        <v>14206</v>
      </c>
      <c r="J59" s="10">
        <f t="shared" si="6"/>
        <v>250739945373.05899</v>
      </c>
      <c r="K59" s="11">
        <f t="shared" si="7"/>
        <v>5.8199999999999363E-3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11"/>
      <c r="H60" s="10"/>
      <c r="I60" s="10">
        <f t="shared" si="8"/>
        <v>14206</v>
      </c>
      <c r="J60" s="10">
        <f t="shared" si="6"/>
        <v>249289082910.51978</v>
      </c>
      <c r="K60" s="11">
        <f t="shared" si="7"/>
        <v>7.0300000000000917E-3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11"/>
      <c r="H61" s="10"/>
      <c r="I61" s="10">
        <f t="shared" si="8"/>
        <v>14206</v>
      </c>
      <c r="J61" s="10">
        <f t="shared" si="6"/>
        <v>247548814742.87732</v>
      </c>
      <c r="K61" s="11">
        <f t="shared" si="7"/>
        <v>6.9700000000001427E-3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11"/>
      <c r="H62" s="10"/>
      <c r="I62" s="10">
        <f t="shared" si="8"/>
        <v>14206</v>
      </c>
      <c r="J62" s="10">
        <f t="shared" si="6"/>
        <v>245835342406.30536</v>
      </c>
      <c r="K62" s="11">
        <f t="shared" si="7"/>
        <v>7.6300000000000257E-3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11"/>
      <c r="H63" s="10"/>
      <c r="I63" s="10">
        <f t="shared" si="8"/>
        <v>14206</v>
      </c>
      <c r="J63" s="10">
        <f t="shared" si="6"/>
        <v>243973822143.35159</v>
      </c>
      <c r="K63" s="11">
        <f t="shared" si="7"/>
        <v>5.8700000000000419E-3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11"/>
      <c r="H64" s="10"/>
      <c r="I64" s="10">
        <f t="shared" si="8"/>
        <v>14206</v>
      </c>
      <c r="J64" s="10">
        <f t="shared" si="6"/>
        <v>242550053330.3027</v>
      </c>
      <c r="K64" s="11">
        <f t="shared" si="7"/>
        <v>5.8199999999999363E-3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11"/>
      <c r="H65" s="10"/>
      <c r="I65" s="10">
        <f t="shared" si="8"/>
        <v>14206</v>
      </c>
      <c r="J65" s="10">
        <f t="shared" si="6"/>
        <v>241146580233.34467</v>
      </c>
      <c r="K65" s="11">
        <f t="shared" si="7"/>
        <v>7.2700000000001097E-3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6">
        <f>SUM(F2)</f>
        <v>23361657</v>
      </c>
      <c r="G66" s="11"/>
      <c r="H66" s="10"/>
      <c r="I66" s="10">
        <f t="shared" si="8"/>
        <v>14206</v>
      </c>
      <c r="J66" s="10">
        <f t="shared" ref="J66:J97" si="9">IF(I66="","",I66*C66)</f>
        <v>239406097901.60001</v>
      </c>
      <c r="K66" s="11">
        <f t="shared" ref="K66:K97" si="10">IFERROR(J66/J67-1,"")</f>
        <v>7.3199999999999932E-3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11"/>
      <c r="H67" s="10"/>
      <c r="I67" s="10">
        <f t="shared" ref="I67:I98" si="11">IF(H67&lt;&gt;"",H67,I66/(1+IF(G66="",0,G66)))</f>
        <v>14206</v>
      </c>
      <c r="J67" s="10">
        <f t="shared" si="9"/>
        <v>237666380000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5">
        <v>2048851</v>
      </c>
      <c r="G2" s="11"/>
      <c r="H2" s="10"/>
      <c r="I2" s="10">
        <f>IF(H2&lt;&gt;"",H2,23452)</f>
        <v>23452</v>
      </c>
      <c r="J2" s="10">
        <f t="shared" ref="J2:J33" si="3">IF(I2="","",I2*C2)</f>
        <v>48049590104.147568</v>
      </c>
      <c r="K2" s="11">
        <f t="shared" ref="K2:K33" si="4">IFERROR(J2/J3-1,"")</f>
        <v>1.1799999999999589E-3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11"/>
      <c r="H3" s="10"/>
      <c r="I3" s="10">
        <f t="shared" ref="I3:I34" si="5">IF(H3&lt;&gt;"",H3,I2/(1+IF(G2="",0,G2)))</f>
        <v>23452</v>
      </c>
      <c r="J3" s="10">
        <f t="shared" si="3"/>
        <v>47992958413.219971</v>
      </c>
      <c r="K3" s="11">
        <f t="shared" si="4"/>
        <v>-6.5899999999999848E-3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11"/>
      <c r="H4" s="10"/>
      <c r="I4" s="10">
        <f t="shared" si="5"/>
        <v>23452</v>
      </c>
      <c r="J4" s="10">
        <f t="shared" si="3"/>
        <v>48311330078.436867</v>
      </c>
      <c r="K4" s="11">
        <f t="shared" si="4"/>
        <v>-5.4900000000001059E-3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11"/>
      <c r="H5" s="10"/>
      <c r="I5" s="10">
        <f t="shared" si="5"/>
        <v>23452</v>
      </c>
      <c r="J5" s="10">
        <f t="shared" si="3"/>
        <v>48578023427.051384</v>
      </c>
      <c r="K5" s="11">
        <f t="shared" si="4"/>
        <v>-3.8700000000000401E-3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11"/>
      <c r="H6" s="10"/>
      <c r="I6" s="10">
        <f t="shared" si="5"/>
        <v>23452</v>
      </c>
      <c r="J6" s="10">
        <f t="shared" si="3"/>
        <v>48766750752.463417</v>
      </c>
      <c r="K6" s="11">
        <f t="shared" si="4"/>
        <v>1.8800000000001038E-3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11"/>
      <c r="H7" s="10"/>
      <c r="I7" s="10">
        <f t="shared" si="5"/>
        <v>23452</v>
      </c>
      <c r="J7" s="10">
        <f t="shared" si="3"/>
        <v>48675241298.821625</v>
      </c>
      <c r="K7" s="11">
        <f t="shared" si="4"/>
        <v>5.8800000000001074E-3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11"/>
      <c r="H8" s="10"/>
      <c r="I8" s="10">
        <f t="shared" si="5"/>
        <v>23452</v>
      </c>
      <c r="J8" s="10">
        <f t="shared" si="3"/>
        <v>48390703959.539528</v>
      </c>
      <c r="K8" s="11">
        <f t="shared" si="4"/>
        <v>-2.5999999999999357E-3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11"/>
      <c r="H9" s="10"/>
      <c r="I9" s="10">
        <f t="shared" si="5"/>
        <v>23452</v>
      </c>
      <c r="J9" s="10">
        <f t="shared" si="3"/>
        <v>48516847763.725212</v>
      </c>
      <c r="K9" s="11">
        <f t="shared" si="4"/>
        <v>-2.3300000000000542E-3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11"/>
      <c r="H10" s="10"/>
      <c r="I10" s="10">
        <f t="shared" si="5"/>
        <v>23452</v>
      </c>
      <c r="J10" s="10">
        <f t="shared" si="3"/>
        <v>48630156027.268753</v>
      </c>
      <c r="K10" s="11">
        <f t="shared" si="4"/>
        <v>-1.9400000000000528E-3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11"/>
      <c r="H11" s="10"/>
      <c r="I11" s="10">
        <f t="shared" si="5"/>
        <v>23452</v>
      </c>
      <c r="J11" s="10">
        <f t="shared" si="3"/>
        <v>48724681910.174492</v>
      </c>
      <c r="K11" s="11">
        <f t="shared" si="4"/>
        <v>-1.6000000000001569E-3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11"/>
      <c r="H12" s="10"/>
      <c r="I12" s="10">
        <f t="shared" si="5"/>
        <v>23452</v>
      </c>
      <c r="J12" s="10">
        <f t="shared" si="3"/>
        <v>48802766336.312599</v>
      </c>
      <c r="K12" s="11">
        <f t="shared" si="4"/>
        <v>-7.5999999999998291E-4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11"/>
      <c r="H13" s="10"/>
      <c r="I13" s="10">
        <f t="shared" si="5"/>
        <v>23452</v>
      </c>
      <c r="J13" s="10">
        <f t="shared" si="3"/>
        <v>48839884648.645569</v>
      </c>
      <c r="K13" s="11">
        <f t="shared" si="4"/>
        <v>2.2699999999999942E-3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11"/>
      <c r="H14" s="10"/>
      <c r="I14" s="10">
        <f t="shared" si="5"/>
        <v>23452</v>
      </c>
      <c r="J14" s="10">
        <f t="shared" si="3"/>
        <v>48729269207.544441</v>
      </c>
      <c r="K14" s="11">
        <f t="shared" si="4"/>
        <v>2.8399999999999537E-3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11"/>
      <c r="H15" s="10"/>
      <c r="I15" s="10">
        <f t="shared" si="5"/>
        <v>23452</v>
      </c>
      <c r="J15" s="10">
        <f t="shared" si="3"/>
        <v>48591270000.742332</v>
      </c>
      <c r="K15" s="11">
        <f t="shared" si="4"/>
        <v>3.1499999999999861E-3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11"/>
      <c r="H16" s="10"/>
      <c r="I16" s="10">
        <f t="shared" si="5"/>
        <v>23452</v>
      </c>
      <c r="J16" s="10">
        <f t="shared" si="3"/>
        <v>48438688133.122993</v>
      </c>
      <c r="K16" s="11">
        <f t="shared" si="4"/>
        <v>3.2600000000000406E-3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11"/>
      <c r="H17" s="10"/>
      <c r="I17" s="10">
        <f t="shared" si="5"/>
        <v>23452</v>
      </c>
      <c r="J17" s="10">
        <f t="shared" si="3"/>
        <v>48281291124.058563</v>
      </c>
      <c r="K17" s="11">
        <f t="shared" si="4"/>
        <v>3.9299999999999891E-3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11"/>
      <c r="H18" s="10"/>
      <c r="I18" s="10">
        <f t="shared" si="5"/>
        <v>23452</v>
      </c>
      <c r="J18" s="10">
        <f t="shared" si="3"/>
        <v>48092288430.526596</v>
      </c>
      <c r="K18" s="11">
        <f t="shared" si="4"/>
        <v>-1.1200000000000099E-3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11"/>
      <c r="H19" s="10"/>
      <c r="I19" s="10">
        <f t="shared" si="5"/>
        <v>23452</v>
      </c>
      <c r="J19" s="10">
        <f t="shared" si="3"/>
        <v>48146212188.177353</v>
      </c>
      <c r="K19" s="11">
        <f t="shared" si="4"/>
        <v>4.1000000000002146E-4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11"/>
      <c r="H20" s="10"/>
      <c r="I20" s="10">
        <f t="shared" si="5"/>
        <v>23452</v>
      </c>
      <c r="J20" s="10">
        <f t="shared" si="3"/>
        <v>48126480331.241547</v>
      </c>
      <c r="K20" s="11">
        <f t="shared" si="4"/>
        <v>1.3700000000000934E-3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11"/>
      <c r="H21" s="10"/>
      <c r="I21" s="10">
        <f t="shared" si="5"/>
        <v>23452</v>
      </c>
      <c r="J21" s="10">
        <f t="shared" si="3"/>
        <v>48060637258.197807</v>
      </c>
      <c r="K21" s="11">
        <f t="shared" si="4"/>
        <v>2.2100000000000453E-3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11"/>
      <c r="H22" s="10"/>
      <c r="I22" s="10">
        <f t="shared" si="5"/>
        <v>23452</v>
      </c>
      <c r="J22" s="10">
        <f t="shared" si="3"/>
        <v>47954657465.199715</v>
      </c>
      <c r="K22" s="11">
        <f t="shared" si="4"/>
        <v>3.4899999999999931E-3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11"/>
      <c r="H23" s="10"/>
      <c r="I23" s="10">
        <f t="shared" si="5"/>
        <v>23452</v>
      </c>
      <c r="J23" s="10">
        <f t="shared" si="3"/>
        <v>47787877771.776215</v>
      </c>
      <c r="K23" s="11">
        <f t="shared" si="4"/>
        <v>-2.9000000000012349E-4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11"/>
      <c r="H24" s="10"/>
      <c r="I24" s="10">
        <f t="shared" si="5"/>
        <v>23452</v>
      </c>
      <c r="J24" s="10">
        <f t="shared" si="3"/>
        <v>47801740276.45639</v>
      </c>
      <c r="K24" s="11">
        <f t="shared" si="4"/>
        <v>-1.9999999999908979E-5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11"/>
      <c r="H25" s="10"/>
      <c r="I25" s="10">
        <f t="shared" si="5"/>
        <v>23452</v>
      </c>
      <c r="J25" s="10">
        <f t="shared" si="3"/>
        <v>47802696330.382996</v>
      </c>
      <c r="K25" s="11">
        <f t="shared" si="4"/>
        <v>2.20000000000109E-4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11"/>
      <c r="H26" s="10"/>
      <c r="I26" s="10">
        <f t="shared" si="5"/>
        <v>23452</v>
      </c>
      <c r="J26" s="10">
        <f t="shared" si="3"/>
        <v>47792182050.331917</v>
      </c>
      <c r="K26" s="11">
        <f t="shared" si="4"/>
        <v>9.5000000000022844E-4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11"/>
      <c r="H27" s="10"/>
      <c r="I27" s="10">
        <f t="shared" si="5"/>
        <v>23452</v>
      </c>
      <c r="J27" s="10">
        <f t="shared" si="3"/>
        <v>47746822568.891464</v>
      </c>
      <c r="K27" s="11">
        <f t="shared" si="4"/>
        <v>2.2800000000000598E-3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11"/>
      <c r="H28" s="10"/>
      <c r="I28" s="10">
        <f t="shared" si="5"/>
        <v>23452</v>
      </c>
      <c r="J28" s="10">
        <f t="shared" si="3"/>
        <v>47638207455.892029</v>
      </c>
      <c r="K28" s="11">
        <f t="shared" si="4"/>
        <v>9.020000000000028E-3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11"/>
      <c r="H29" s="10"/>
      <c r="I29" s="10">
        <f t="shared" si="5"/>
        <v>23452</v>
      </c>
      <c r="J29" s="10">
        <f t="shared" si="3"/>
        <v>47212352040.486839</v>
      </c>
      <c r="K29" s="11">
        <f t="shared" si="4"/>
        <v>9.800000000000253E-3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11"/>
      <c r="H30" s="10"/>
      <c r="I30" s="10">
        <f t="shared" si="5"/>
        <v>23452</v>
      </c>
      <c r="J30" s="10">
        <f t="shared" si="3"/>
        <v>46754161260.137482</v>
      </c>
      <c r="K30" s="11">
        <f t="shared" si="4"/>
        <v>9.7899999999999654E-3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11"/>
      <c r="H31" s="10"/>
      <c r="I31" s="10">
        <f t="shared" si="5"/>
        <v>23452</v>
      </c>
      <c r="J31" s="10">
        <f t="shared" si="3"/>
        <v>46300875687.160187</v>
      </c>
      <c r="K31" s="11">
        <f t="shared" si="4"/>
        <v>9.6899999999999764E-3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11"/>
      <c r="H32" s="10"/>
      <c r="I32" s="10">
        <f t="shared" si="5"/>
        <v>23452</v>
      </c>
      <c r="J32" s="10">
        <f t="shared" si="3"/>
        <v>45856525950.697922</v>
      </c>
      <c r="K32" s="11">
        <f t="shared" si="4"/>
        <v>1.0069999999999801E-2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11"/>
      <c r="H33" s="10"/>
      <c r="I33" s="10">
        <f t="shared" si="5"/>
        <v>23452</v>
      </c>
      <c r="J33" s="10">
        <f t="shared" si="3"/>
        <v>45399354451.372604</v>
      </c>
      <c r="K33" s="11">
        <f t="shared" si="4"/>
        <v>1.2599999999999945E-2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11"/>
      <c r="H34" s="10"/>
      <c r="I34" s="10">
        <f t="shared" si="5"/>
        <v>23452</v>
      </c>
      <c r="J34" s="10">
        <f t="shared" ref="J34:J65" si="6">IF(I34="","",I34*C34)</f>
        <v>44834440501.059258</v>
      </c>
      <c r="K34" s="11">
        <f t="shared" ref="K34:K65" si="7">IFERROR(J34/J35-1,"")</f>
        <v>1.2049999999999894E-2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11"/>
      <c r="H35" s="10"/>
      <c r="I35" s="10">
        <f t="shared" ref="I35:I66" si="8">IF(H35&lt;&gt;"",H35,I34/(1+IF(G34="",0,G34)))</f>
        <v>23452</v>
      </c>
      <c r="J35" s="10">
        <f t="shared" si="6"/>
        <v>44300618053.514412</v>
      </c>
      <c r="K35" s="11">
        <f t="shared" si="7"/>
        <v>1.2270000000000003E-2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11"/>
      <c r="H36" s="10"/>
      <c r="I36" s="10">
        <f t="shared" si="8"/>
        <v>23452</v>
      </c>
      <c r="J36" s="10">
        <f t="shared" si="6"/>
        <v>43763638212.645256</v>
      </c>
      <c r="K36" s="11">
        <f t="shared" si="7"/>
        <v>1.2049999999999894E-2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11"/>
      <c r="H37" s="10"/>
      <c r="I37" s="10">
        <f t="shared" si="8"/>
        <v>23452</v>
      </c>
      <c r="J37" s="10">
        <f t="shared" si="6"/>
        <v>43242565300.770973</v>
      </c>
      <c r="K37" s="11">
        <f t="shared" si="7"/>
        <v>1.2070000000000025E-2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11"/>
      <c r="H38" s="10"/>
      <c r="I38" s="10">
        <f t="shared" si="8"/>
        <v>23452</v>
      </c>
      <c r="J38" s="10">
        <f t="shared" si="6"/>
        <v>42726852194.779976</v>
      </c>
      <c r="K38" s="11">
        <f t="shared" si="7"/>
        <v>1.0600000000000609E-3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11"/>
      <c r="H39" s="10"/>
      <c r="I39" s="10">
        <f t="shared" si="8"/>
        <v>23452</v>
      </c>
      <c r="J39" s="10">
        <f t="shared" si="6"/>
        <v>42681609688.510155</v>
      </c>
      <c r="K39" s="11">
        <f t="shared" si="7"/>
        <v>1.8000000000006899E-4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11"/>
      <c r="H40" s="10"/>
      <c r="I40" s="10">
        <f t="shared" si="8"/>
        <v>23452</v>
      </c>
      <c r="J40" s="10">
        <f t="shared" si="6"/>
        <v>42673928381.401497</v>
      </c>
      <c r="K40" s="11">
        <f t="shared" si="7"/>
        <v>-3.6000000000002697E-4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11"/>
      <c r="H41" s="10"/>
      <c r="I41" s="10">
        <f t="shared" si="8"/>
        <v>23452</v>
      </c>
      <c r="J41" s="10">
        <f t="shared" si="6"/>
        <v>42689296528.151634</v>
      </c>
      <c r="K41" s="11">
        <f t="shared" si="7"/>
        <v>6.9799999999999862E-3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11"/>
      <c r="H42" s="10"/>
      <c r="I42" s="10">
        <f t="shared" si="8"/>
        <v>23452</v>
      </c>
      <c r="J42" s="10">
        <f t="shared" si="6"/>
        <v>42393390661.33551</v>
      </c>
      <c r="K42" s="11">
        <f t="shared" si="7"/>
        <v>1.0029999999999983E-2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11"/>
      <c r="H43" s="10"/>
      <c r="I43" s="10">
        <f t="shared" si="8"/>
        <v>23452</v>
      </c>
      <c r="J43" s="10">
        <f t="shared" si="6"/>
        <v>41972407414.963432</v>
      </c>
      <c r="K43" s="11">
        <f t="shared" si="7"/>
        <v>1.2460000000000138E-2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11"/>
      <c r="H44" s="10"/>
      <c r="I44" s="10">
        <f t="shared" si="8"/>
        <v>23452</v>
      </c>
      <c r="J44" s="10">
        <f t="shared" si="6"/>
        <v>41455867308.301987</v>
      </c>
      <c r="K44" s="11">
        <f t="shared" si="7"/>
        <v>1.4259999999999939E-2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11"/>
      <c r="H45" s="10"/>
      <c r="I45" s="10">
        <f t="shared" si="8"/>
        <v>23452</v>
      </c>
      <c r="J45" s="10">
        <f t="shared" si="6"/>
        <v>40873018070.615021</v>
      </c>
      <c r="K45" s="11">
        <f t="shared" si="7"/>
        <v>1.5960000000000196E-2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11"/>
      <c r="H46" s="10"/>
      <c r="I46" s="10">
        <f t="shared" si="8"/>
        <v>23452</v>
      </c>
      <c r="J46" s="10">
        <f t="shared" si="6"/>
        <v>40230932389.675789</v>
      </c>
      <c r="K46" s="11">
        <f t="shared" si="7"/>
        <v>1.6389999999999683E-2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11"/>
      <c r="H47" s="10"/>
      <c r="I47" s="10">
        <f t="shared" si="8"/>
        <v>23452</v>
      </c>
      <c r="J47" s="10">
        <f t="shared" si="6"/>
        <v>39582180452.066429</v>
      </c>
      <c r="K47" s="11">
        <f t="shared" si="7"/>
        <v>2.8769999999999962E-2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11"/>
      <c r="H48" s="10"/>
      <c r="I48" s="10">
        <f t="shared" si="8"/>
        <v>23452</v>
      </c>
      <c r="J48" s="10">
        <f t="shared" si="6"/>
        <v>38475247579.212486</v>
      </c>
      <c r="K48" s="11">
        <f t="shared" si="7"/>
        <v>3.0540000000000234E-2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11"/>
      <c r="H49" s="10"/>
      <c r="I49" s="10">
        <f t="shared" si="8"/>
        <v>23452</v>
      </c>
      <c r="J49" s="10">
        <f t="shared" si="6"/>
        <v>37335035592.225899</v>
      </c>
      <c r="K49" s="11">
        <f t="shared" si="7"/>
        <v>3.1910000000000105E-2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11"/>
      <c r="H50" s="10"/>
      <c r="I50" s="10">
        <f t="shared" si="8"/>
        <v>23452</v>
      </c>
      <c r="J50" s="10">
        <f t="shared" si="6"/>
        <v>36180515347.487564</v>
      </c>
      <c r="K50" s="11">
        <f t="shared" si="7"/>
        <v>3.3849999999999714E-2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11"/>
      <c r="H51" s="10"/>
      <c r="I51" s="10">
        <f t="shared" si="8"/>
        <v>23452</v>
      </c>
      <c r="J51" s="10">
        <f t="shared" si="6"/>
        <v>34995903997.18293</v>
      </c>
      <c r="K51" s="11">
        <f t="shared" si="7"/>
        <v>3.6529999999999951E-2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11"/>
      <c r="H52" s="10"/>
      <c r="I52" s="10">
        <f t="shared" si="8"/>
        <v>23452</v>
      </c>
      <c r="J52" s="10">
        <f t="shared" si="6"/>
        <v>33762557762.13224</v>
      </c>
      <c r="K52" s="11">
        <f t="shared" si="7"/>
        <v>3.5299999999999887E-2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11"/>
      <c r="H53" s="10"/>
      <c r="I53" s="10">
        <f t="shared" si="8"/>
        <v>23452</v>
      </c>
      <c r="J53" s="10">
        <f t="shared" si="6"/>
        <v>32611376182.876694</v>
      </c>
      <c r="K53" s="11">
        <f t="shared" si="7"/>
        <v>3.5830000000000028E-2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11"/>
      <c r="H54" s="10"/>
      <c r="I54" s="10">
        <f t="shared" si="8"/>
        <v>23452</v>
      </c>
      <c r="J54" s="10">
        <f t="shared" si="6"/>
        <v>31483328521.935734</v>
      </c>
      <c r="K54" s="11">
        <f t="shared" si="7"/>
        <v>3.5600000000000076E-2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11"/>
      <c r="H55" s="10"/>
      <c r="I55" s="10">
        <f t="shared" si="8"/>
        <v>23452</v>
      </c>
      <c r="J55" s="10">
        <f t="shared" si="6"/>
        <v>30401051102.680313</v>
      </c>
      <c r="K55" s="11">
        <f t="shared" si="7"/>
        <v>3.5800000000000054E-2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11"/>
      <c r="H56" s="10"/>
      <c r="I56" s="10">
        <f t="shared" si="8"/>
        <v>23452</v>
      </c>
      <c r="J56" s="10">
        <f t="shared" si="6"/>
        <v>29350310004.518547</v>
      </c>
      <c r="K56" s="11">
        <f t="shared" si="7"/>
        <v>3.6389999999999922E-2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11"/>
      <c r="H57" s="10"/>
      <c r="I57" s="10">
        <f t="shared" si="8"/>
        <v>23452</v>
      </c>
      <c r="J57" s="10">
        <f t="shared" si="6"/>
        <v>28319754150.964935</v>
      </c>
      <c r="K57" s="11">
        <f t="shared" si="7"/>
        <v>4.3889999999999763E-2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11"/>
      <c r="H58" s="10"/>
      <c r="I58" s="10">
        <f t="shared" si="8"/>
        <v>23452</v>
      </c>
      <c r="J58" s="10">
        <f t="shared" si="6"/>
        <v>27129059719.860271</v>
      </c>
      <c r="K58" s="11">
        <f t="shared" si="7"/>
        <v>4.377999999999993E-2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11"/>
      <c r="H59" s="10"/>
      <c r="I59" s="10">
        <f t="shared" si="8"/>
        <v>23452</v>
      </c>
      <c r="J59" s="10">
        <f t="shared" si="6"/>
        <v>25991166452.566895</v>
      </c>
      <c r="K59" s="11">
        <f t="shared" si="7"/>
        <v>4.1749999999999954E-2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11"/>
      <c r="H60" s="10"/>
      <c r="I60" s="10">
        <f t="shared" si="8"/>
        <v>23452</v>
      </c>
      <c r="J60" s="10">
        <f t="shared" si="6"/>
        <v>24949523832.557617</v>
      </c>
      <c r="K60" s="11">
        <f t="shared" si="7"/>
        <v>3.9920000000000178E-2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11"/>
      <c r="H61" s="10"/>
      <c r="I61" s="10">
        <f t="shared" si="8"/>
        <v>23452</v>
      </c>
      <c r="J61" s="10">
        <f t="shared" si="6"/>
        <v>23991772283.019478</v>
      </c>
      <c r="K61" s="11">
        <f t="shared" si="7"/>
        <v>3.8049999999999695E-2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11"/>
      <c r="H62" s="10"/>
      <c r="I62" s="10">
        <f t="shared" si="8"/>
        <v>23452</v>
      </c>
      <c r="J62" s="10">
        <f t="shared" si="6"/>
        <v>23112347462.08707</v>
      </c>
      <c r="K62" s="11">
        <f t="shared" si="7"/>
        <v>3.0729999999999924E-2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11"/>
      <c r="H63" s="10"/>
      <c r="I63" s="10">
        <f t="shared" si="8"/>
        <v>23452</v>
      </c>
      <c r="J63" s="10">
        <f t="shared" si="6"/>
        <v>22423280065.66906</v>
      </c>
      <c r="K63" s="11">
        <f t="shared" si="7"/>
        <v>2.8200000000000003E-2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11"/>
      <c r="H64" s="10"/>
      <c r="I64" s="10">
        <f t="shared" si="8"/>
        <v>23452</v>
      </c>
      <c r="J64" s="10">
        <f t="shared" si="6"/>
        <v>21808286389.485569</v>
      </c>
      <c r="K64" s="11">
        <f t="shared" si="7"/>
        <v>2.6610000000000023E-2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11"/>
      <c r="H65" s="10"/>
      <c r="I65" s="10">
        <f t="shared" si="8"/>
        <v>23452</v>
      </c>
      <c r="J65" s="10">
        <f t="shared" si="6"/>
        <v>21243009896.149044</v>
      </c>
      <c r="K65" s="11">
        <f t="shared" si="7"/>
        <v>2.5150000000000006E-2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6">
        <f>SUM(F2)</f>
        <v>2048851</v>
      </c>
      <c r="G66" s="11"/>
      <c r="H66" s="10"/>
      <c r="I66" s="10">
        <f t="shared" si="8"/>
        <v>23452</v>
      </c>
      <c r="J66" s="10">
        <f t="shared" ref="J66:J97" si="9">IF(I66="","",I66*C66)</f>
        <v>20721855236.940002</v>
      </c>
      <c r="K66" s="11">
        <f t="shared" ref="K66:K97" si="10">IFERROR(J66/J67-1,"")</f>
        <v>1.7370000000000108E-2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11"/>
      <c r="H67" s="10"/>
      <c r="I67" s="10">
        <f t="shared" ref="I67:I98" si="11">IF(H67&lt;&gt;"",H67,I66/(1+IF(G66="",0,G66)))</f>
        <v>23452</v>
      </c>
      <c r="J67" s="10">
        <f t="shared" si="9"/>
        <v>20368062000</v>
      </c>
      <c r="K67" s="11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5">
        <v>635532</v>
      </c>
      <c r="G2" s="11"/>
      <c r="H2" s="10"/>
      <c r="I2" s="10">
        <f>IF(H2&lt;&gt;"",H2,4444)</f>
        <v>4444</v>
      </c>
      <c r="J2" s="10">
        <f t="shared" ref="J2:J33" si="3">IF(I2="","",I2*C2)</f>
        <v>2824298967.7865357</v>
      </c>
      <c r="K2" s="11">
        <f t="shared" ref="K2:K33" si="4">IFERROR(J2/J3-1,"")</f>
        <v>2.3800000000000487E-3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11"/>
      <c r="H3" s="10"/>
      <c r="I3" s="10">
        <f t="shared" ref="I3:I34" si="5">IF(H3&lt;&gt;"",H3,I2/(1+IF(G2="",0,G2)))</f>
        <v>4444</v>
      </c>
      <c r="J3" s="10">
        <f t="shared" si="3"/>
        <v>2817593096.2175379</v>
      </c>
      <c r="K3" s="11">
        <f t="shared" si="4"/>
        <v>2.4299999999999322E-3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11"/>
      <c r="H4" s="10"/>
      <c r="I4" s="10">
        <f t="shared" si="5"/>
        <v>4444</v>
      </c>
      <c r="J4" s="10">
        <f t="shared" si="3"/>
        <v>2810762942.2678275</v>
      </c>
      <c r="K4" s="11">
        <f t="shared" si="4"/>
        <v>2.3400000000000087E-3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11"/>
      <c r="H5" s="10"/>
      <c r="I5" s="10">
        <f t="shared" si="5"/>
        <v>4444</v>
      </c>
      <c r="J5" s="10">
        <f t="shared" si="3"/>
        <v>2804201111.6665277</v>
      </c>
      <c r="K5" s="11">
        <f t="shared" si="4"/>
        <v>3.7199999999999456E-3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11"/>
      <c r="H6" s="10"/>
      <c r="I6" s="10">
        <f t="shared" si="5"/>
        <v>4444</v>
      </c>
      <c r="J6" s="10">
        <f t="shared" si="3"/>
        <v>2793808145.3657675</v>
      </c>
      <c r="K6" s="11">
        <f t="shared" si="4"/>
        <v>2.5299999999999212E-3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11"/>
      <c r="H7" s="10"/>
      <c r="I7" s="10">
        <f t="shared" si="5"/>
        <v>4444</v>
      </c>
      <c r="J7" s="10">
        <f t="shared" si="3"/>
        <v>2786757648.5150247</v>
      </c>
      <c r="K7" s="11">
        <f t="shared" si="4"/>
        <v>1.6899999999999693E-3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11"/>
      <c r="H8" s="10"/>
      <c r="I8" s="10">
        <f t="shared" si="5"/>
        <v>4444</v>
      </c>
      <c r="J8" s="10">
        <f t="shared" si="3"/>
        <v>2782055973.9191012</v>
      </c>
      <c r="K8" s="11">
        <f t="shared" si="4"/>
        <v>3.4600000000000186E-3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11"/>
      <c r="H9" s="10"/>
      <c r="I9" s="10">
        <f t="shared" si="5"/>
        <v>4444</v>
      </c>
      <c r="J9" s="10">
        <f t="shared" si="3"/>
        <v>2772463251.0703979</v>
      </c>
      <c r="K9" s="11">
        <f t="shared" si="4"/>
        <v>3.3000000000000806E-3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11"/>
      <c r="H10" s="10"/>
      <c r="I10" s="10">
        <f t="shared" si="5"/>
        <v>4444</v>
      </c>
      <c r="J10" s="10">
        <f t="shared" si="3"/>
        <v>2763344215.1603684</v>
      </c>
      <c r="K10" s="11">
        <f t="shared" si="4"/>
        <v>3.5899999999999821E-3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11"/>
      <c r="H11" s="10"/>
      <c r="I11" s="10">
        <f t="shared" si="5"/>
        <v>4444</v>
      </c>
      <c r="J11" s="10">
        <f t="shared" si="3"/>
        <v>2753459296.2866993</v>
      </c>
      <c r="K11" s="11">
        <f t="shared" si="4"/>
        <v>4.450000000000065E-3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11"/>
      <c r="H12" s="10"/>
      <c r="I12" s="10">
        <f t="shared" si="5"/>
        <v>4444</v>
      </c>
      <c r="J12" s="10">
        <f t="shared" si="3"/>
        <v>2741260686.2329621</v>
      </c>
      <c r="K12" s="11">
        <f t="shared" si="4"/>
        <v>3.3900000000000041E-3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11"/>
      <c r="H13" s="10"/>
      <c r="I13" s="10">
        <f t="shared" si="5"/>
        <v>4444</v>
      </c>
      <c r="J13" s="10">
        <f t="shared" si="3"/>
        <v>2731999208.914741</v>
      </c>
      <c r="K13" s="11">
        <f t="shared" si="4"/>
        <v>3.5899999999999821E-3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11"/>
      <c r="H14" s="10"/>
      <c r="I14" s="10">
        <f t="shared" si="5"/>
        <v>4444</v>
      </c>
      <c r="J14" s="10">
        <f t="shared" si="3"/>
        <v>2722226416.0810103</v>
      </c>
      <c r="K14" s="11">
        <f t="shared" si="4"/>
        <v>3.5700000000000731E-3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11"/>
      <c r="H15" s="10"/>
      <c r="I15" s="10">
        <f t="shared" si="5"/>
        <v>4444</v>
      </c>
      <c r="J15" s="10">
        <f t="shared" si="3"/>
        <v>2712542638.8602791</v>
      </c>
      <c r="K15" s="11">
        <f t="shared" si="4"/>
        <v>5.03000000000009E-3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11"/>
      <c r="H16" s="10"/>
      <c r="I16" s="10">
        <f t="shared" si="5"/>
        <v>4444</v>
      </c>
      <c r="J16" s="10">
        <f t="shared" si="3"/>
        <v>2698966835.6768246</v>
      </c>
      <c r="K16" s="11">
        <f t="shared" si="4"/>
        <v>5.6899999999997508E-3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11"/>
      <c r="H17" s="10"/>
      <c r="I17" s="10">
        <f t="shared" si="5"/>
        <v>4444</v>
      </c>
      <c r="J17" s="10">
        <f t="shared" si="3"/>
        <v>2683696602.0113802</v>
      </c>
      <c r="K17" s="11">
        <f t="shared" si="4"/>
        <v>4.429999999999934E-3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11"/>
      <c r="H18" s="10"/>
      <c r="I18" s="10">
        <f t="shared" si="5"/>
        <v>4444</v>
      </c>
      <c r="J18" s="10">
        <f t="shared" si="3"/>
        <v>2671860261.0549068</v>
      </c>
      <c r="K18" s="11">
        <f t="shared" si="4"/>
        <v>7.1699999999998987E-3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11"/>
      <c r="H19" s="10"/>
      <c r="I19" s="10">
        <f t="shared" si="5"/>
        <v>4444</v>
      </c>
      <c r="J19" s="10">
        <f t="shared" si="3"/>
        <v>2652839402.5387049</v>
      </c>
      <c r="K19" s="11">
        <f t="shared" si="4"/>
        <v>6.7999999999999172E-3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11"/>
      <c r="H20" s="10"/>
      <c r="I20" s="10">
        <f t="shared" si="5"/>
        <v>4444</v>
      </c>
      <c r="J20" s="10">
        <f t="shared" si="3"/>
        <v>2634921933.3916421</v>
      </c>
      <c r="K20" s="11">
        <f t="shared" si="4"/>
        <v>8.1299999999999706E-3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11"/>
      <c r="H21" s="10"/>
      <c r="I21" s="10">
        <f t="shared" si="5"/>
        <v>4444</v>
      </c>
      <c r="J21" s="10">
        <f t="shared" si="3"/>
        <v>2613672773.741127</v>
      </c>
      <c r="K21" s="11">
        <f t="shared" si="4"/>
        <v>8.0199999999999161E-3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11"/>
      <c r="H22" s="10"/>
      <c r="I22" s="10">
        <f t="shared" si="5"/>
        <v>4444</v>
      </c>
      <c r="J22" s="10">
        <f t="shared" si="3"/>
        <v>2592877893.0389547</v>
      </c>
      <c r="K22" s="11">
        <f t="shared" si="4"/>
        <v>8.1399999999998141E-3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11"/>
      <c r="H23" s="10"/>
      <c r="I23" s="10">
        <f t="shared" si="5"/>
        <v>4444</v>
      </c>
      <c r="J23" s="10">
        <f t="shared" si="3"/>
        <v>2571942282.856503</v>
      </c>
      <c r="K23" s="11">
        <f t="shared" si="4"/>
        <v>8.3999999999999631E-3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11"/>
      <c r="H24" s="10"/>
      <c r="I24" s="10">
        <f t="shared" si="5"/>
        <v>4444</v>
      </c>
      <c r="J24" s="10">
        <f t="shared" si="3"/>
        <v>2550517932.2258062</v>
      </c>
      <c r="K24" s="11">
        <f t="shared" si="4"/>
        <v>8.760000000000101E-3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11"/>
      <c r="H25" s="10"/>
      <c r="I25" s="10">
        <f t="shared" si="5"/>
        <v>4444</v>
      </c>
      <c r="J25" s="10">
        <f t="shared" si="3"/>
        <v>2528369416.1404161</v>
      </c>
      <c r="K25" s="11">
        <f t="shared" si="4"/>
        <v>9.5099999999999074E-3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11"/>
      <c r="H26" s="10"/>
      <c r="I26" s="10">
        <f t="shared" si="5"/>
        <v>4444</v>
      </c>
      <c r="J26" s="10">
        <f t="shared" si="3"/>
        <v>2504551134.848012</v>
      </c>
      <c r="K26" s="11">
        <f t="shared" si="4"/>
        <v>9.6700000000000674E-3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11"/>
      <c r="H27" s="10"/>
      <c r="I27" s="10">
        <f t="shared" si="5"/>
        <v>4444</v>
      </c>
      <c r="J27" s="10">
        <f t="shared" si="3"/>
        <v>2480564080.1925497</v>
      </c>
      <c r="K27" s="11">
        <f t="shared" si="4"/>
        <v>8.3800000000000541E-3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11"/>
      <c r="H28" s="10"/>
      <c r="I28" s="10">
        <f t="shared" si="5"/>
        <v>4444</v>
      </c>
      <c r="J28" s="10">
        <f t="shared" si="3"/>
        <v>2459949701.6923676</v>
      </c>
      <c r="K28" s="11">
        <f t="shared" si="4"/>
        <v>8.7800000000002321E-3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11"/>
      <c r="H29" s="10"/>
      <c r="I29" s="10">
        <f t="shared" si="5"/>
        <v>4444</v>
      </c>
      <c r="J29" s="10">
        <f t="shared" si="3"/>
        <v>2438539326.406518</v>
      </c>
      <c r="K29" s="11">
        <f t="shared" si="4"/>
        <v>1.0440000000000005E-2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11"/>
      <c r="H30" s="10"/>
      <c r="I30" s="10">
        <f t="shared" si="5"/>
        <v>4444</v>
      </c>
      <c r="J30" s="10">
        <f t="shared" si="3"/>
        <v>2413344014.8910556</v>
      </c>
      <c r="K30" s="11">
        <f t="shared" si="4"/>
        <v>1.0219999999999896E-2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11"/>
      <c r="H31" s="10"/>
      <c r="I31" s="10">
        <f t="shared" si="5"/>
        <v>4444</v>
      </c>
      <c r="J31" s="10">
        <f t="shared" si="3"/>
        <v>2388929158.8872285</v>
      </c>
      <c r="K31" s="11">
        <f t="shared" si="4"/>
        <v>1.0860000000000314E-2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11"/>
      <c r="H32" s="10"/>
      <c r="I32" s="10">
        <f t="shared" si="5"/>
        <v>4444</v>
      </c>
      <c r="J32" s="10">
        <f t="shared" si="3"/>
        <v>2363264110.6456165</v>
      </c>
      <c r="K32" s="11">
        <f t="shared" si="4"/>
        <v>1.2949999999999795E-2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11"/>
      <c r="H33" s="10"/>
      <c r="I33" s="10">
        <f t="shared" si="5"/>
        <v>4444</v>
      </c>
      <c r="J33" s="10">
        <f t="shared" si="3"/>
        <v>2333051098.9146719</v>
      </c>
      <c r="K33" s="11">
        <f t="shared" si="4"/>
        <v>1.432000000000011E-2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11"/>
      <c r="H34" s="10"/>
      <c r="I34" s="10">
        <f t="shared" si="5"/>
        <v>4444</v>
      </c>
      <c r="J34" s="10">
        <f t="shared" ref="J34:J65" si="6">IF(I34="","",I34*C34)</f>
        <v>2300113473.9674578</v>
      </c>
      <c r="K34" s="11">
        <f t="shared" ref="K34:K65" si="7">IFERROR(J34/J35-1,"")</f>
        <v>1.5339999999999909E-2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11"/>
      <c r="H35" s="10"/>
      <c r="I35" s="10">
        <f t="shared" ref="I35:I66" si="8">IF(H35&lt;&gt;"",H35,I34/(1+IF(G34="",0,G34)))</f>
        <v>4444</v>
      </c>
      <c r="J35" s="10">
        <f t="shared" si="6"/>
        <v>2265362808.4852934</v>
      </c>
      <c r="K35" s="11">
        <f t="shared" si="7"/>
        <v>1.6310000000000047E-2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11"/>
      <c r="H36" s="10"/>
      <c r="I36" s="10">
        <f t="shared" si="8"/>
        <v>4444</v>
      </c>
      <c r="J36" s="10">
        <f t="shared" si="6"/>
        <v>2229007693.0122633</v>
      </c>
      <c r="K36" s="11">
        <f t="shared" si="7"/>
        <v>1.7209999999999948E-2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11"/>
      <c r="H37" s="10"/>
      <c r="I37" s="10">
        <f t="shared" si="8"/>
        <v>4444</v>
      </c>
      <c r="J37" s="10">
        <f t="shared" si="6"/>
        <v>2191295497.5002837</v>
      </c>
      <c r="K37" s="11">
        <f t="shared" si="7"/>
        <v>1.855999999999991E-2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11"/>
      <c r="H38" s="10"/>
      <c r="I38" s="10">
        <f t="shared" si="8"/>
        <v>4444</v>
      </c>
      <c r="J38" s="10">
        <f t="shared" si="6"/>
        <v>2151366141.9064994</v>
      </c>
      <c r="K38" s="11">
        <f t="shared" si="7"/>
        <v>2.0620000000000083E-2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11"/>
      <c r="H39" s="10"/>
      <c r="I39" s="10">
        <f t="shared" si="8"/>
        <v>4444</v>
      </c>
      <c r="J39" s="10">
        <f t="shared" si="6"/>
        <v>2107901218.7753513</v>
      </c>
      <c r="K39" s="11">
        <f t="shared" si="7"/>
        <v>2.0629999999999926E-2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11"/>
      <c r="H40" s="10"/>
      <c r="I40" s="10">
        <f t="shared" si="8"/>
        <v>4444</v>
      </c>
      <c r="J40" s="10">
        <f t="shared" si="6"/>
        <v>2065294199.440886</v>
      </c>
      <c r="K40" s="11">
        <f t="shared" si="7"/>
        <v>2.0499999999999963E-2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11"/>
      <c r="H41" s="10"/>
      <c r="I41" s="10">
        <f t="shared" si="8"/>
        <v>4444</v>
      </c>
      <c r="J41" s="10">
        <f t="shared" si="6"/>
        <v>2023806172.8965075</v>
      </c>
      <c r="K41" s="11">
        <f t="shared" si="7"/>
        <v>2.0890000000000075E-2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11"/>
      <c r="H42" s="10"/>
      <c r="I42" s="10">
        <f t="shared" si="8"/>
        <v>4444</v>
      </c>
      <c r="J42" s="10">
        <f t="shared" si="6"/>
        <v>1982393963.0092442</v>
      </c>
      <c r="K42" s="11">
        <f t="shared" si="7"/>
        <v>1.6140000000000043E-2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11"/>
      <c r="H43" s="10"/>
      <c r="I43" s="10">
        <f t="shared" si="8"/>
        <v>4444</v>
      </c>
      <c r="J43" s="10">
        <f t="shared" si="6"/>
        <v>1950906334.766119</v>
      </c>
      <c r="K43" s="11">
        <f t="shared" si="7"/>
        <v>1.8759999999999888E-2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11"/>
      <c r="H44" s="10"/>
      <c r="I44" s="10">
        <f t="shared" si="8"/>
        <v>4444</v>
      </c>
      <c r="J44" s="10">
        <f t="shared" si="6"/>
        <v>1914981285.8436916</v>
      </c>
      <c r="K44" s="11">
        <f t="shared" si="7"/>
        <v>2.0129999999999981E-2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11"/>
      <c r="H45" s="10"/>
      <c r="I45" s="10">
        <f t="shared" si="8"/>
        <v>4444</v>
      </c>
      <c r="J45" s="10">
        <f t="shared" si="6"/>
        <v>1877193383.0430353</v>
      </c>
      <c r="K45" s="11">
        <f t="shared" si="7"/>
        <v>2.1139999999999937E-2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11"/>
      <c r="H46" s="10"/>
      <c r="I46" s="10">
        <f t="shared" si="8"/>
        <v>4444</v>
      </c>
      <c r="J46" s="10">
        <f t="shared" si="6"/>
        <v>1838331064.342828</v>
      </c>
      <c r="K46" s="11">
        <f t="shared" si="7"/>
        <v>2.1980000000000111E-2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11"/>
      <c r="H47" s="10"/>
      <c r="I47" s="10">
        <f t="shared" si="8"/>
        <v>4444</v>
      </c>
      <c r="J47" s="10">
        <f t="shared" si="6"/>
        <v>1798793581.423147</v>
      </c>
      <c r="K47" s="11">
        <f t="shared" si="7"/>
        <v>1.8799999999999928E-2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11"/>
      <c r="H48" s="10"/>
      <c r="I48" s="10">
        <f t="shared" si="8"/>
        <v>4444</v>
      </c>
      <c r="J48" s="10">
        <f t="shared" si="6"/>
        <v>1765600295.8609612</v>
      </c>
      <c r="K48" s="11">
        <f t="shared" si="7"/>
        <v>2.1060000000000079E-2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11"/>
      <c r="H49" s="10"/>
      <c r="I49" s="10">
        <f t="shared" si="8"/>
        <v>4444</v>
      </c>
      <c r="J49" s="10">
        <f t="shared" si="6"/>
        <v>1729183687.404228</v>
      </c>
      <c r="K49" s="11">
        <f t="shared" si="7"/>
        <v>2.1819999999999951E-2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11"/>
      <c r="H50" s="10"/>
      <c r="I50" s="10">
        <f t="shared" si="8"/>
        <v>4444</v>
      </c>
      <c r="J50" s="10">
        <f t="shared" si="6"/>
        <v>1692258604.6507487</v>
      </c>
      <c r="K50" s="11">
        <f t="shared" si="7"/>
        <v>2.2880000000000011E-2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11"/>
      <c r="H51" s="10"/>
      <c r="I51" s="10">
        <f t="shared" si="8"/>
        <v>4444</v>
      </c>
      <c r="J51" s="10">
        <f t="shared" si="6"/>
        <v>1654405799.9479399</v>
      </c>
      <c r="K51" s="11">
        <f t="shared" si="7"/>
        <v>3.0250000000000332E-2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11"/>
      <c r="H52" s="10"/>
      <c r="I52" s="10">
        <f t="shared" si="8"/>
        <v>4444</v>
      </c>
      <c r="J52" s="10">
        <f t="shared" si="6"/>
        <v>1605829458.8186746</v>
      </c>
      <c r="K52" s="11">
        <f t="shared" si="7"/>
        <v>3.171999999999997E-2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11"/>
      <c r="H53" s="10"/>
      <c r="I53" s="10">
        <f t="shared" si="8"/>
        <v>4444</v>
      </c>
      <c r="J53" s="10">
        <f t="shared" si="6"/>
        <v>1556458592.2718127</v>
      </c>
      <c r="K53" s="11">
        <f t="shared" si="7"/>
        <v>3.3050000000000024E-2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11"/>
      <c r="H54" s="10"/>
      <c r="I54" s="10">
        <f t="shared" si="8"/>
        <v>4444</v>
      </c>
      <c r="J54" s="10">
        <f t="shared" si="6"/>
        <v>1506663367.9607112</v>
      </c>
      <c r="K54" s="11">
        <f t="shared" si="7"/>
        <v>3.4350000000000325E-2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11"/>
      <c r="H55" s="10"/>
      <c r="I55" s="10">
        <f t="shared" si="8"/>
        <v>4444</v>
      </c>
      <c r="J55" s="10">
        <f t="shared" si="6"/>
        <v>1456628189.6463585</v>
      </c>
      <c r="K55" s="11">
        <f t="shared" si="7"/>
        <v>3.5069999999999713E-2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11"/>
      <c r="H56" s="10"/>
      <c r="I56" s="10">
        <f t="shared" si="8"/>
        <v>4444</v>
      </c>
      <c r="J56" s="10">
        <f t="shared" si="6"/>
        <v>1407275053.5194323</v>
      </c>
      <c r="K56" s="11">
        <f t="shared" si="7"/>
        <v>3.5819999999999963E-2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11"/>
      <c r="H57" s="10"/>
      <c r="I57" s="10">
        <f t="shared" si="8"/>
        <v>4444</v>
      </c>
      <c r="J57" s="10">
        <f t="shared" si="6"/>
        <v>1358609655.6539092</v>
      </c>
      <c r="K57" s="11">
        <f t="shared" si="7"/>
        <v>3.6599999999999966E-2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11"/>
      <c r="H58" s="10"/>
      <c r="I58" s="10">
        <f t="shared" si="8"/>
        <v>4444</v>
      </c>
      <c r="J58" s="10">
        <f t="shared" si="6"/>
        <v>1310640223.4747341</v>
      </c>
      <c r="K58" s="11">
        <f t="shared" si="7"/>
        <v>3.7569999999999881E-2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11"/>
      <c r="H59" s="10"/>
      <c r="I59" s="10">
        <f t="shared" si="8"/>
        <v>4444</v>
      </c>
      <c r="J59" s="10">
        <f t="shared" si="6"/>
        <v>1263182458.5085673</v>
      </c>
      <c r="K59" s="11">
        <f t="shared" si="7"/>
        <v>3.8670000000000204E-2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11"/>
      <c r="H60" s="10"/>
      <c r="I60" s="10">
        <f t="shared" si="8"/>
        <v>4444</v>
      </c>
      <c r="J60" s="10">
        <f t="shared" si="6"/>
        <v>1216153791.3953104</v>
      </c>
      <c r="K60" s="11">
        <f t="shared" si="7"/>
        <v>4.0119999999999933E-2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11"/>
      <c r="H61" s="10"/>
      <c r="I61" s="10">
        <f t="shared" si="8"/>
        <v>4444</v>
      </c>
      <c r="J61" s="10">
        <f t="shared" si="6"/>
        <v>1169243732.8340099</v>
      </c>
      <c r="K61" s="11">
        <f t="shared" si="7"/>
        <v>3.9570000000000105E-2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11"/>
      <c r="H62" s="10"/>
      <c r="I62" s="10">
        <f t="shared" si="8"/>
        <v>4444</v>
      </c>
      <c r="J62" s="10">
        <f t="shared" si="6"/>
        <v>1124737855.8769586</v>
      </c>
      <c r="K62" s="11">
        <f t="shared" si="7"/>
        <v>3.8300000000000001E-2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11"/>
      <c r="H63" s="10"/>
      <c r="I63" s="10">
        <f t="shared" si="8"/>
        <v>4444</v>
      </c>
      <c r="J63" s="10">
        <f t="shared" si="6"/>
        <v>1083249403.7146862</v>
      </c>
      <c r="K63" s="11">
        <f t="shared" si="7"/>
        <v>3.6969999999999947E-2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11"/>
      <c r="H64" s="10"/>
      <c r="I64" s="10">
        <f t="shared" si="8"/>
        <v>4444</v>
      </c>
      <c r="J64" s="10">
        <f t="shared" si="6"/>
        <v>1044629452.8430775</v>
      </c>
      <c r="K64" s="11">
        <f t="shared" si="7"/>
        <v>3.6529999999999951E-2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11"/>
      <c r="H65" s="10"/>
      <c r="I65" s="10">
        <f t="shared" si="8"/>
        <v>4444</v>
      </c>
      <c r="J65" s="10">
        <f t="shared" si="6"/>
        <v>1007814007.1614691</v>
      </c>
      <c r="K65" s="11">
        <f t="shared" si="7"/>
        <v>3.6329999999999973E-2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6">
        <f>SUM(F2)</f>
        <v>635532</v>
      </c>
      <c r="G66" s="11"/>
      <c r="H66" s="10"/>
      <c r="I66" s="10">
        <f t="shared" si="8"/>
        <v>4444</v>
      </c>
      <c r="J66" s="10">
        <f t="shared" ref="J66:J97" si="9">IF(I66="","",I66*C66)</f>
        <v>972483675.24000001</v>
      </c>
      <c r="K66" s="11">
        <f t="shared" ref="K66:K97" si="10">IFERROR(J66/J67-1,"")</f>
        <v>3.5150000000000015E-2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11"/>
      <c r="H67" s="10"/>
      <c r="I67" s="10">
        <f t="shared" ref="I67:I98" si="11">IF(H67&lt;&gt;"",H67,I66/(1+IF(G66="",0,G66)))</f>
        <v>4444</v>
      </c>
      <c r="J67" s="10">
        <f t="shared" si="9"/>
        <v>939461600</v>
      </c>
      <c r="K67" s="11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16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5">
        <v>6231859</v>
      </c>
      <c r="G2" s="11"/>
      <c r="H2" s="10"/>
      <c r="I2" s="10">
        <f>IF(H2&lt;&gt;"",H2,310)</f>
        <v>310</v>
      </c>
      <c r="J2" s="10">
        <f t="shared" ref="J2:J33" si="3">IF(I2="","",I2*C2)</f>
        <v>1931703297.1474814</v>
      </c>
      <c r="K2" s="11">
        <f t="shared" ref="K2:K33" si="4">IFERROR(J2/J3-1,"")</f>
        <v>-1.9990000000000063E-2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11"/>
      <c r="H3" s="10"/>
      <c r="I3" s="10">
        <f t="shared" ref="I3:I34" si="5">IF(H3&lt;&gt;"",H3,I2/(1+IF(G2="",0,G2)))</f>
        <v>310</v>
      </c>
      <c r="J3" s="10">
        <f t="shared" si="3"/>
        <v>1971105700.0923271</v>
      </c>
      <c r="K3" s="11">
        <f t="shared" si="4"/>
        <v>-2.0689999999999986E-2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11"/>
      <c r="H4" s="10"/>
      <c r="I4" s="10">
        <f t="shared" si="5"/>
        <v>310</v>
      </c>
      <c r="J4" s="10">
        <f t="shared" si="3"/>
        <v>2012749486.9778998</v>
      </c>
      <c r="K4" s="11">
        <f t="shared" si="4"/>
        <v>-5.8620000000000005E-2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11"/>
      <c r="H5" s="10"/>
      <c r="I5" s="10">
        <f t="shared" si="5"/>
        <v>310</v>
      </c>
      <c r="J5" s="10">
        <f t="shared" si="3"/>
        <v>2138083969.255667</v>
      </c>
      <c r="K5" s="11">
        <f t="shared" si="4"/>
        <v>2.2809999999999997E-2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11"/>
      <c r="H6" s="10"/>
      <c r="I6" s="10">
        <f t="shared" si="5"/>
        <v>310</v>
      </c>
      <c r="J6" s="10">
        <f t="shared" si="3"/>
        <v>2090401901.8739228</v>
      </c>
      <c r="K6" s="11">
        <f t="shared" si="4"/>
        <v>5.4600000000000204E-3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11"/>
      <c r="H7" s="10"/>
      <c r="I7" s="10">
        <f t="shared" si="5"/>
        <v>310</v>
      </c>
      <c r="J7" s="10">
        <f t="shared" si="3"/>
        <v>2079050287.3052361</v>
      </c>
      <c r="K7" s="11">
        <f t="shared" si="4"/>
        <v>2.4764999999999926E-2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11"/>
      <c r="H8" s="10"/>
      <c r="I8" s="10">
        <f t="shared" si="5"/>
        <v>310</v>
      </c>
      <c r="J8" s="10">
        <f t="shared" si="3"/>
        <v>2028806884.8030877</v>
      </c>
      <c r="K8" s="11">
        <f t="shared" si="4"/>
        <v>2.3279999999999967E-2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11"/>
      <c r="H9" s="10"/>
      <c r="I9" s="10">
        <f t="shared" si="5"/>
        <v>310</v>
      </c>
      <c r="J9" s="10">
        <f t="shared" si="3"/>
        <v>1982650774.7665231</v>
      </c>
      <c r="K9" s="11">
        <f t="shared" si="4"/>
        <v>2.9795000000000016E-2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11"/>
      <c r="H10" s="10"/>
      <c r="I10" s="10">
        <f t="shared" si="5"/>
        <v>310</v>
      </c>
      <c r="J10" s="10">
        <f t="shared" si="3"/>
        <v>1925286852.9819267</v>
      </c>
      <c r="K10" s="11">
        <f t="shared" si="4"/>
        <v>3.2310000000000283E-2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11"/>
      <c r="H11" s="10"/>
      <c r="I11" s="10">
        <f t="shared" si="5"/>
        <v>310</v>
      </c>
      <c r="J11" s="10">
        <f t="shared" si="3"/>
        <v>1865027804.6148214</v>
      </c>
      <c r="K11" s="11">
        <f t="shared" si="4"/>
        <v>3.4825000000000106E-2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11"/>
      <c r="H12" s="10"/>
      <c r="I12" s="10">
        <f t="shared" si="5"/>
        <v>310</v>
      </c>
      <c r="J12" s="10">
        <f t="shared" si="3"/>
        <v>1802263962.1335213</v>
      </c>
      <c r="K12" s="11">
        <f t="shared" si="4"/>
        <v>3.7339999999999707E-2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11"/>
      <c r="H13" s="10"/>
      <c r="I13" s="10">
        <f t="shared" si="5"/>
        <v>310</v>
      </c>
      <c r="J13" s="10">
        <f t="shared" si="3"/>
        <v>1737389826.0295773</v>
      </c>
      <c r="K13" s="11">
        <f t="shared" si="4"/>
        <v>3.9855000000000196E-2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11"/>
      <c r="H14" s="10"/>
      <c r="I14" s="10">
        <f t="shared" si="5"/>
        <v>310</v>
      </c>
      <c r="J14" s="10">
        <f t="shared" si="3"/>
        <v>1670800088.5023172</v>
      </c>
      <c r="K14" s="11">
        <f t="shared" si="4"/>
        <v>4.2370000000000019E-2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11"/>
      <c r="H15" s="10"/>
      <c r="I15" s="10">
        <f t="shared" si="5"/>
        <v>310</v>
      </c>
      <c r="J15" s="10">
        <f t="shared" si="3"/>
        <v>1602885816.4589515</v>
      </c>
      <c r="K15" s="11">
        <f t="shared" si="4"/>
        <v>4.0799999999999725E-2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11"/>
      <c r="H16" s="10"/>
      <c r="I16" s="10">
        <f t="shared" si="5"/>
        <v>310</v>
      </c>
      <c r="J16" s="10">
        <f t="shared" si="3"/>
        <v>1540051706.8206685</v>
      </c>
      <c r="K16" s="11">
        <f t="shared" si="4"/>
        <v>4.8370000000000024E-2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11"/>
      <c r="H17" s="10"/>
      <c r="I17" s="10">
        <f t="shared" si="5"/>
        <v>310</v>
      </c>
      <c r="J17" s="10">
        <f t="shared" si="3"/>
        <v>1468996353.2156284</v>
      </c>
      <c r="K17" s="11">
        <f t="shared" si="4"/>
        <v>6.0230000000000006E-2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11"/>
      <c r="H18" s="10"/>
      <c r="I18" s="10">
        <f t="shared" si="5"/>
        <v>310</v>
      </c>
      <c r="J18" s="10">
        <f t="shared" si="3"/>
        <v>1385544979.1230471</v>
      </c>
      <c r="K18" s="11">
        <f t="shared" si="4"/>
        <v>4.5230000000000103E-2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11"/>
      <c r="H19" s="10"/>
      <c r="I19" s="10">
        <f t="shared" si="5"/>
        <v>310</v>
      </c>
      <c r="J19" s="10">
        <f t="shared" si="3"/>
        <v>1325588606.4531701</v>
      </c>
      <c r="K19" s="11">
        <f t="shared" si="4"/>
        <v>4.9209999999999976E-2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11"/>
      <c r="H20" s="10"/>
      <c r="I20" s="10">
        <f t="shared" si="5"/>
        <v>310</v>
      </c>
      <c r="J20" s="10">
        <f t="shared" si="3"/>
        <v>1263415909.544486</v>
      </c>
      <c r="K20" s="11">
        <f t="shared" si="4"/>
        <v>6.0539999999999816E-2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11"/>
      <c r="H21" s="10"/>
      <c r="I21" s="10">
        <f t="shared" si="5"/>
        <v>310</v>
      </c>
      <c r="J21" s="10">
        <f t="shared" si="3"/>
        <v>1191294915.3681014</v>
      </c>
      <c r="K21" s="11">
        <f t="shared" si="4"/>
        <v>8.0240000000000311E-2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11"/>
      <c r="H22" s="10"/>
      <c r="I22" s="10">
        <f t="shared" si="5"/>
        <v>310</v>
      </c>
      <c r="J22" s="10">
        <f t="shared" si="3"/>
        <v>1102805779.6120317</v>
      </c>
      <c r="K22" s="11">
        <f t="shared" si="4"/>
        <v>0.14904000000000006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11"/>
      <c r="H23" s="10"/>
      <c r="I23" s="10">
        <f t="shared" si="5"/>
        <v>310</v>
      </c>
      <c r="J23" s="10">
        <f t="shared" si="3"/>
        <v>959762740.73316133</v>
      </c>
      <c r="K23" s="11">
        <f t="shared" si="4"/>
        <v>8.7299999999999933E-2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11"/>
      <c r="H24" s="10"/>
      <c r="I24" s="10">
        <f t="shared" si="5"/>
        <v>310</v>
      </c>
      <c r="J24" s="10">
        <f t="shared" si="3"/>
        <v>882702787.39369202</v>
      </c>
      <c r="K24" s="11">
        <f t="shared" si="4"/>
        <v>2.6039999999999841E-2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11"/>
      <c r="H25" s="10"/>
      <c r="I25" s="10">
        <f t="shared" si="5"/>
        <v>310</v>
      </c>
      <c r="J25" s="10">
        <f t="shared" si="3"/>
        <v>860300560.79070222</v>
      </c>
      <c r="K25" s="11">
        <f t="shared" si="4"/>
        <v>-4.4709999999999916E-2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11"/>
      <c r="H26" s="10"/>
      <c r="I26" s="10">
        <f t="shared" si="5"/>
        <v>310</v>
      </c>
      <c r="J26" s="10">
        <f t="shared" si="3"/>
        <v>900564813.6070745</v>
      </c>
      <c r="K26" s="11">
        <f t="shared" si="4"/>
        <v>-3.4699999999999842E-2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11"/>
      <c r="H27" s="10"/>
      <c r="I27" s="10">
        <f t="shared" si="5"/>
        <v>310</v>
      </c>
      <c r="J27" s="10">
        <f t="shared" si="3"/>
        <v>932937753.65904319</v>
      </c>
      <c r="K27" s="11">
        <f t="shared" si="4"/>
        <v>4.4810000000000016E-2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11"/>
      <c r="H28" s="10"/>
      <c r="I28" s="10">
        <f t="shared" si="5"/>
        <v>310</v>
      </c>
      <c r="J28" s="10">
        <f t="shared" si="3"/>
        <v>892925750.7671665</v>
      </c>
      <c r="K28" s="11">
        <f t="shared" si="4"/>
        <v>4.3490000000000029E-2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11"/>
      <c r="H29" s="10"/>
      <c r="I29" s="10">
        <f t="shared" si="5"/>
        <v>310</v>
      </c>
      <c r="J29" s="10">
        <f t="shared" si="3"/>
        <v>855710884.40441835</v>
      </c>
      <c r="K29" s="11">
        <f t="shared" si="4"/>
        <v>3.927999999999976E-2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11"/>
      <c r="H30" s="10"/>
      <c r="I30" s="10">
        <f t="shared" si="5"/>
        <v>310</v>
      </c>
      <c r="J30" s="10">
        <f t="shared" si="3"/>
        <v>823368951.97099769</v>
      </c>
      <c r="K30" s="11">
        <f t="shared" si="4"/>
        <v>3.0810000000000004E-2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11"/>
      <c r="H31" s="10"/>
      <c r="I31" s="10">
        <f t="shared" si="5"/>
        <v>310</v>
      </c>
      <c r="J31" s="10">
        <f t="shared" si="3"/>
        <v>798759181.58632302</v>
      </c>
      <c r="K31" s="11">
        <f t="shared" si="4"/>
        <v>3.5140000000000171E-2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11"/>
      <c r="H32" s="10"/>
      <c r="I32" s="10">
        <f t="shared" si="5"/>
        <v>310</v>
      </c>
      <c r="J32" s="10">
        <f t="shared" si="3"/>
        <v>771643624.61727202</v>
      </c>
      <c r="K32" s="11">
        <f t="shared" si="4"/>
        <v>3.4399999999999986E-2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11"/>
      <c r="H33" s="10"/>
      <c r="I33" s="10">
        <f t="shared" si="5"/>
        <v>310</v>
      </c>
      <c r="J33" s="10">
        <f t="shared" si="3"/>
        <v>745981849.01128387</v>
      </c>
      <c r="K33" s="11">
        <f t="shared" si="4"/>
        <v>3.5860000000000003E-2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11"/>
      <c r="H34" s="10"/>
      <c r="I34" s="10">
        <f t="shared" si="5"/>
        <v>310</v>
      </c>
      <c r="J34" s="10">
        <f t="shared" ref="J34:J65" si="6">IF(I34="","",I34*C34)</f>
        <v>720157018.33383262</v>
      </c>
      <c r="K34" s="11">
        <f t="shared" ref="K34:K65" si="7">IFERROR(J34/J35-1,"")</f>
        <v>3.9123000000000241E-2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11"/>
      <c r="H35" s="10"/>
      <c r="I35" s="10">
        <f t="shared" ref="I35:I66" si="8">IF(H35&lt;&gt;"",H35,I34/(1+IF(G34="",0,G34)))</f>
        <v>310</v>
      </c>
      <c r="J35" s="10">
        <f t="shared" si="6"/>
        <v>693043093.39109278</v>
      </c>
      <c r="K35" s="11">
        <f t="shared" si="7"/>
        <v>4.3797999999999782E-2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11"/>
      <c r="H36" s="10"/>
      <c r="I36" s="10">
        <f t="shared" si="8"/>
        <v>310</v>
      </c>
      <c r="J36" s="10">
        <f t="shared" si="6"/>
        <v>663962848.55028737</v>
      </c>
      <c r="K36" s="11">
        <f t="shared" si="7"/>
        <v>2.8473000000000193E-2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11"/>
      <c r="H37" s="10"/>
      <c r="I37" s="10">
        <f t="shared" si="8"/>
        <v>310</v>
      </c>
      <c r="J37" s="10">
        <f t="shared" si="6"/>
        <v>645581214.62623453</v>
      </c>
      <c r="K37" s="11">
        <f t="shared" si="7"/>
        <v>9.8000000000000309E-3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11"/>
      <c r="H38" s="10"/>
      <c r="I38" s="10">
        <f t="shared" si="8"/>
        <v>310</v>
      </c>
      <c r="J38" s="10">
        <f t="shared" si="6"/>
        <v>639315918.62372208</v>
      </c>
      <c r="K38" s="11">
        <f t="shared" si="7"/>
        <v>8.9500000000000135E-3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11"/>
      <c r="H39" s="10"/>
      <c r="I39" s="10">
        <f t="shared" si="8"/>
        <v>310</v>
      </c>
      <c r="J39" s="10">
        <f t="shared" si="6"/>
        <v>633644797.68444633</v>
      </c>
      <c r="K39" s="11">
        <f t="shared" si="7"/>
        <v>-4.5910000000000006E-2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11"/>
      <c r="H40" s="10"/>
      <c r="I40" s="10">
        <f t="shared" si="8"/>
        <v>310</v>
      </c>
      <c r="J40" s="10">
        <f t="shared" si="6"/>
        <v>664135246.8681637</v>
      </c>
      <c r="K40" s="11">
        <f t="shared" si="7"/>
        <v>-9.9899999999999434E-3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11"/>
      <c r="H41" s="10"/>
      <c r="I41" s="10">
        <f t="shared" si="8"/>
        <v>310</v>
      </c>
      <c r="J41" s="10">
        <f t="shared" si="6"/>
        <v>670836907.57483625</v>
      </c>
      <c r="K41" s="11">
        <f t="shared" si="7"/>
        <v>-4.5910000000000006E-2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11"/>
      <c r="H42" s="10"/>
      <c r="I42" s="10">
        <f t="shared" si="8"/>
        <v>310</v>
      </c>
      <c r="J42" s="10">
        <f t="shared" si="6"/>
        <v>703117009.48006606</v>
      </c>
      <c r="K42" s="11">
        <f t="shared" si="7"/>
        <v>-1.2499999999999734E-3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11"/>
      <c r="H43" s="10"/>
      <c r="I43" s="10">
        <f t="shared" si="8"/>
        <v>310</v>
      </c>
      <c r="J43" s="10">
        <f t="shared" si="6"/>
        <v>703997005.73723757</v>
      </c>
      <c r="K43" s="11">
        <f t="shared" si="7"/>
        <v>1.7260000000000275E-2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11"/>
      <c r="H44" s="10"/>
      <c r="I44" s="10">
        <f t="shared" si="8"/>
        <v>310</v>
      </c>
      <c r="J44" s="10">
        <f t="shared" si="6"/>
        <v>692052185.02372789</v>
      </c>
      <c r="K44" s="11">
        <f t="shared" si="7"/>
        <v>2.0620000000000083E-2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11"/>
      <c r="H45" s="10"/>
      <c r="I45" s="10">
        <f t="shared" si="8"/>
        <v>310</v>
      </c>
      <c r="J45" s="10">
        <f t="shared" si="6"/>
        <v>678070373.91362882</v>
      </c>
      <c r="K45" s="11">
        <f t="shared" si="7"/>
        <v>2.4499999999999966E-2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11"/>
      <c r="H46" s="10"/>
      <c r="I46" s="10">
        <f t="shared" si="8"/>
        <v>310</v>
      </c>
      <c r="J46" s="10">
        <f t="shared" si="6"/>
        <v>661854928.17338097</v>
      </c>
      <c r="K46" s="11">
        <f t="shared" si="7"/>
        <v>2.4550000000000072E-2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11"/>
      <c r="H47" s="10"/>
      <c r="I47" s="10">
        <f t="shared" si="8"/>
        <v>310</v>
      </c>
      <c r="J47" s="10">
        <f t="shared" si="6"/>
        <v>645995732.92995059</v>
      </c>
      <c r="K47" s="11">
        <f t="shared" si="7"/>
        <v>2.4730000000000141E-2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11"/>
      <c r="H48" s="10"/>
      <c r="I48" s="10">
        <f t="shared" si="8"/>
        <v>310</v>
      </c>
      <c r="J48" s="10">
        <f t="shared" si="6"/>
        <v>630405797.55638123</v>
      </c>
      <c r="K48" s="11">
        <f t="shared" si="7"/>
        <v>2.493999999999974E-2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11"/>
      <c r="H49" s="10"/>
      <c r="I49" s="10">
        <f t="shared" si="8"/>
        <v>310</v>
      </c>
      <c r="J49" s="10">
        <f t="shared" si="6"/>
        <v>615066050.26282644</v>
      </c>
      <c r="K49" s="11">
        <f t="shared" si="7"/>
        <v>2.5280000000000191E-2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11"/>
      <c r="H50" s="10"/>
      <c r="I50" s="10">
        <f t="shared" si="8"/>
        <v>310</v>
      </c>
      <c r="J50" s="10">
        <f t="shared" si="6"/>
        <v>599900564.00478542</v>
      </c>
      <c r="K50" s="11">
        <f t="shared" si="7"/>
        <v>2.5570000000000093E-2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11"/>
      <c r="H51" s="10"/>
      <c r="I51" s="10">
        <f t="shared" si="8"/>
        <v>310</v>
      </c>
      <c r="J51" s="10">
        <f t="shared" si="6"/>
        <v>584943557.24600506</v>
      </c>
      <c r="K51" s="11">
        <f t="shared" si="7"/>
        <v>2.5840000000000085E-2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11"/>
      <c r="H52" s="10"/>
      <c r="I52" s="10">
        <f t="shared" si="8"/>
        <v>310</v>
      </c>
      <c r="J52" s="10">
        <f t="shared" si="6"/>
        <v>570209347.70140076</v>
      </c>
      <c r="K52" s="11">
        <f t="shared" si="7"/>
        <v>2.6029999999999998E-2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11"/>
      <c r="H53" s="10"/>
      <c r="I53" s="10">
        <f t="shared" si="8"/>
        <v>310</v>
      </c>
      <c r="J53" s="10">
        <f t="shared" si="6"/>
        <v>555743348.3440063</v>
      </c>
      <c r="K53" s="11">
        <f t="shared" si="7"/>
        <v>2.6049999999999907E-2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11"/>
      <c r="H54" s="10"/>
      <c r="I54" s="10">
        <f t="shared" si="8"/>
        <v>310</v>
      </c>
      <c r="J54" s="10">
        <f t="shared" si="6"/>
        <v>541633788.1623764</v>
      </c>
      <c r="K54" s="11">
        <f t="shared" si="7"/>
        <v>2.6129999999999765E-2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11"/>
      <c r="H55" s="10"/>
      <c r="I55" s="10">
        <f t="shared" si="8"/>
        <v>310</v>
      </c>
      <c r="J55" s="10">
        <f t="shared" si="6"/>
        <v>527841295.12086821</v>
      </c>
      <c r="K55" s="11">
        <f t="shared" si="7"/>
        <v>2.1169999999999911E-2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11"/>
      <c r="H56" s="10"/>
      <c r="I56" s="10">
        <f t="shared" si="8"/>
        <v>310</v>
      </c>
      <c r="J56" s="10">
        <f t="shared" si="6"/>
        <v>516898552.75896102</v>
      </c>
      <c r="K56" s="11">
        <f t="shared" si="7"/>
        <v>2.096000000000009E-2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11"/>
      <c r="H57" s="10"/>
      <c r="I57" s="10">
        <f t="shared" si="8"/>
        <v>310</v>
      </c>
      <c r="J57" s="10">
        <f t="shared" si="6"/>
        <v>506286781.81217778</v>
      </c>
      <c r="K57" s="11">
        <f t="shared" si="7"/>
        <v>1.330000000000009E-2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11"/>
      <c r="H58" s="10"/>
      <c r="I58" s="10">
        <f t="shared" si="8"/>
        <v>310</v>
      </c>
      <c r="J58" s="10">
        <f t="shared" si="6"/>
        <v>499641549.20771509</v>
      </c>
      <c r="K58" s="11">
        <f t="shared" si="7"/>
        <v>1.2720000000000065E-2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11"/>
      <c r="H59" s="10"/>
      <c r="I59" s="10">
        <f t="shared" si="8"/>
        <v>310</v>
      </c>
      <c r="J59" s="10">
        <f t="shared" si="6"/>
        <v>493365934.52061284</v>
      </c>
      <c r="K59" s="11">
        <f t="shared" si="7"/>
        <v>1.36099999999999E-2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11"/>
      <c r="H60" s="10"/>
      <c r="I60" s="10">
        <f t="shared" si="8"/>
        <v>310</v>
      </c>
      <c r="J60" s="10">
        <f t="shared" si="6"/>
        <v>486741384.28055453</v>
      </c>
      <c r="K60" s="11">
        <f t="shared" si="7"/>
        <v>1.2979999999999992E-2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11"/>
      <c r="H61" s="10"/>
      <c r="I61" s="10">
        <f t="shared" si="8"/>
        <v>310</v>
      </c>
      <c r="J61" s="10">
        <f t="shared" si="6"/>
        <v>480504436.69228864</v>
      </c>
      <c r="K61" s="11">
        <f t="shared" si="7"/>
        <v>1.2329999999999952E-2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11"/>
      <c r="H62" s="10"/>
      <c r="I62" s="10">
        <f t="shared" si="8"/>
        <v>310</v>
      </c>
      <c r="J62" s="10">
        <f t="shared" si="6"/>
        <v>474651977.8059414</v>
      </c>
      <c r="K62" s="11">
        <f t="shared" si="7"/>
        <v>1.6699999999999937E-2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11"/>
      <c r="H63" s="10"/>
      <c r="I63" s="10">
        <f t="shared" si="8"/>
        <v>310</v>
      </c>
      <c r="J63" s="10">
        <f t="shared" si="6"/>
        <v>466855491.10449636</v>
      </c>
      <c r="K63" s="11">
        <f t="shared" si="7"/>
        <v>2.12699999999999E-2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11"/>
      <c r="H64" s="10"/>
      <c r="I64" s="10">
        <f t="shared" si="8"/>
        <v>310</v>
      </c>
      <c r="J64" s="10">
        <f t="shared" si="6"/>
        <v>457132287.35250854</v>
      </c>
      <c r="K64" s="11">
        <f t="shared" si="7"/>
        <v>1.5600000000000058E-2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11"/>
      <c r="H65" s="10"/>
      <c r="I65" s="10">
        <f t="shared" si="8"/>
        <v>310</v>
      </c>
      <c r="J65" s="10">
        <f t="shared" si="6"/>
        <v>450110562.57631797</v>
      </c>
      <c r="K65" s="11">
        <f t="shared" si="7"/>
        <v>1.6129999999999978E-2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6">
        <f>SUM(F2)</f>
        <v>6231859</v>
      </c>
      <c r="G66" s="11"/>
      <c r="H66" s="10"/>
      <c r="I66" s="10">
        <f t="shared" si="8"/>
        <v>310</v>
      </c>
      <c r="J66" s="10">
        <f t="shared" ref="J66:J97" si="9">IF(I66="","",I66*C66)</f>
        <v>442965528.59999996</v>
      </c>
      <c r="K66" s="11">
        <f t="shared" ref="K66:K97" si="10">IFERROR(J66/J67-1,"")</f>
        <v>1.5579999999999927E-2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11"/>
      <c r="H67" s="10"/>
      <c r="I67" s="10">
        <f t="shared" ref="I67:I98" si="11">IF(H67&lt;&gt;"",H67,I66/(1+IF(G66="",0,G66)))</f>
        <v>310</v>
      </c>
      <c r="J67" s="10">
        <f t="shared" si="9"/>
        <v>436170000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5">
        <v>42672208</v>
      </c>
      <c r="G2" s="11"/>
      <c r="H2" s="10"/>
      <c r="I2" s="10">
        <f>IF(H2&lt;&gt;"",H2,7341)</f>
        <v>7341</v>
      </c>
      <c r="J2" s="10">
        <f t="shared" ref="J2:J33" si="3">IF(I2="","",I2*C2)</f>
        <v>313266426927.54974</v>
      </c>
      <c r="K2" s="11">
        <f t="shared" ref="K2:K33" si="4">IFERROR(J2/J3-1,"")</f>
        <v>5.7799999999998963E-3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11"/>
      <c r="H3" s="10"/>
      <c r="I3" s="10">
        <f t="shared" ref="I3:I34" si="5">IF(H3&lt;&gt;"",H3,I2/(1+IF(G2="",0,G2)))</f>
        <v>7341</v>
      </c>
      <c r="J3" s="10">
        <f t="shared" si="3"/>
        <v>311466152565.71991</v>
      </c>
      <c r="K3" s="11">
        <f t="shared" si="4"/>
        <v>6.9999999999998952E-3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11"/>
      <c r="H4" s="10"/>
      <c r="I4" s="10">
        <f t="shared" si="5"/>
        <v>7341</v>
      </c>
      <c r="J4" s="10">
        <f t="shared" si="3"/>
        <v>309301045248.97711</v>
      </c>
      <c r="K4" s="11">
        <f t="shared" si="4"/>
        <v>8.1400000000000361E-3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11"/>
      <c r="H5" s="10"/>
      <c r="I5" s="10">
        <f t="shared" si="5"/>
        <v>7341</v>
      </c>
      <c r="J5" s="10">
        <f t="shared" si="3"/>
        <v>306803663428.66772</v>
      </c>
      <c r="K5" s="11">
        <f t="shared" si="4"/>
        <v>9.3700000000001005E-3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11"/>
      <c r="H6" s="10"/>
      <c r="I6" s="10">
        <f t="shared" si="5"/>
        <v>7341</v>
      </c>
      <c r="J6" s="10">
        <f t="shared" si="3"/>
        <v>303955599461.71143</v>
      </c>
      <c r="K6" s="11">
        <f t="shared" si="4"/>
        <v>6.8200000000000482E-3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11"/>
      <c r="H7" s="10"/>
      <c r="I7" s="10">
        <f t="shared" si="5"/>
        <v>7341</v>
      </c>
      <c r="J7" s="10">
        <f t="shared" si="3"/>
        <v>301896664211.78705</v>
      </c>
      <c r="K7" s="11">
        <f t="shared" si="4"/>
        <v>4.7800000000000065E-3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11"/>
      <c r="H8" s="10"/>
      <c r="I8" s="10">
        <f t="shared" si="5"/>
        <v>7341</v>
      </c>
      <c r="J8" s="10">
        <f t="shared" si="3"/>
        <v>300460463197.70203</v>
      </c>
      <c r="K8" s="11">
        <f t="shared" si="4"/>
        <v>5.7100000000001039E-3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11"/>
      <c r="H9" s="10"/>
      <c r="I9" s="10">
        <f t="shared" si="5"/>
        <v>7341</v>
      </c>
      <c r="J9" s="10">
        <f t="shared" si="3"/>
        <v>298754574576.8681</v>
      </c>
      <c r="K9" s="11">
        <f t="shared" si="4"/>
        <v>6.7300000000001248E-3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11"/>
      <c r="H10" s="10"/>
      <c r="I10" s="10">
        <f t="shared" si="5"/>
        <v>7341</v>
      </c>
      <c r="J10" s="10">
        <f t="shared" si="3"/>
        <v>296757397293.08563</v>
      </c>
      <c r="K10" s="11">
        <f t="shared" si="4"/>
        <v>7.3799999999999422E-3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11"/>
      <c r="H11" s="10"/>
      <c r="I11" s="10">
        <f t="shared" si="5"/>
        <v>7341</v>
      </c>
      <c r="J11" s="10">
        <f t="shared" si="3"/>
        <v>294583372007.66907</v>
      </c>
      <c r="K11" s="11">
        <f t="shared" si="4"/>
        <v>4.189999999999916E-3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11"/>
      <c r="H12" s="10"/>
      <c r="I12" s="10">
        <f t="shared" si="5"/>
        <v>7341</v>
      </c>
      <c r="J12" s="10">
        <f t="shared" si="3"/>
        <v>293354217834.94067</v>
      </c>
      <c r="K12" s="11">
        <f t="shared" si="4"/>
        <v>2.3400000000002308E-3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11"/>
      <c r="H13" s="10"/>
      <c r="I13" s="10">
        <f t="shared" si="5"/>
        <v>7341</v>
      </c>
      <c r="J13" s="10">
        <f t="shared" si="3"/>
        <v>292669371505.61749</v>
      </c>
      <c r="K13" s="11">
        <f t="shared" si="4"/>
        <v>3.5499999999999421E-3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11"/>
      <c r="H14" s="10"/>
      <c r="I14" s="10">
        <f t="shared" si="5"/>
        <v>7341</v>
      </c>
      <c r="J14" s="10">
        <f t="shared" si="3"/>
        <v>291634070555.14673</v>
      </c>
      <c r="K14" s="11">
        <f t="shared" si="4"/>
        <v>4.9600000000000755E-3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11"/>
      <c r="H15" s="10"/>
      <c r="I15" s="10">
        <f t="shared" si="5"/>
        <v>7341</v>
      </c>
      <c r="J15" s="10">
        <f t="shared" si="3"/>
        <v>290194704819.24329</v>
      </c>
      <c r="K15" s="11">
        <f t="shared" si="4"/>
        <v>6.0100000000000708E-3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11"/>
      <c r="H16" s="10"/>
      <c r="I16" s="10">
        <f t="shared" si="5"/>
        <v>7341</v>
      </c>
      <c r="J16" s="10">
        <f t="shared" si="3"/>
        <v>288461053885.39209</v>
      </c>
      <c r="K16" s="11">
        <f t="shared" si="4"/>
        <v>7.8800000000001091E-3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11"/>
      <c r="H17" s="10"/>
      <c r="I17" s="10">
        <f t="shared" si="5"/>
        <v>7341</v>
      </c>
      <c r="J17" s="10">
        <f t="shared" si="3"/>
        <v>286205752555.25665</v>
      </c>
      <c r="K17" s="11">
        <f t="shared" si="4"/>
        <v>1.2790000000000079E-2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11"/>
      <c r="H18" s="10"/>
      <c r="I18" s="10">
        <f t="shared" si="5"/>
        <v>7341</v>
      </c>
      <c r="J18" s="10">
        <f t="shared" si="3"/>
        <v>282591408441.29248</v>
      </c>
      <c r="K18" s="11">
        <f t="shared" si="4"/>
        <v>1.3679999999999914E-2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11"/>
      <c r="H19" s="10"/>
      <c r="I19" s="10">
        <f t="shared" si="5"/>
        <v>7341</v>
      </c>
      <c r="J19" s="10">
        <f t="shared" si="3"/>
        <v>278777729107.1073</v>
      </c>
      <c r="K19" s="11">
        <f t="shared" si="4"/>
        <v>1.532E-2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11"/>
      <c r="H20" s="10"/>
      <c r="I20" s="10">
        <f t="shared" si="5"/>
        <v>7341</v>
      </c>
      <c r="J20" s="10">
        <f t="shared" si="3"/>
        <v>274571296839.52576</v>
      </c>
      <c r="K20" s="11">
        <f t="shared" si="4"/>
        <v>1.7060000000000297E-2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11"/>
      <c r="H21" s="10"/>
      <c r="I21" s="10">
        <f t="shared" si="5"/>
        <v>7341</v>
      </c>
      <c r="J21" s="10">
        <f t="shared" si="3"/>
        <v>269965682299.49628</v>
      </c>
      <c r="K21" s="11">
        <f t="shared" si="4"/>
        <v>1.8880000000000008E-2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11"/>
      <c r="H22" s="10"/>
      <c r="I22" s="10">
        <f t="shared" si="5"/>
        <v>7341</v>
      </c>
      <c r="J22" s="10">
        <f t="shared" si="3"/>
        <v>264963177508.14255</v>
      </c>
      <c r="K22" s="11">
        <f t="shared" si="4"/>
        <v>2.1330000000000071E-2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11"/>
      <c r="H23" s="10"/>
      <c r="I23" s="10">
        <f t="shared" si="5"/>
        <v>7341</v>
      </c>
      <c r="J23" s="10">
        <f t="shared" si="3"/>
        <v>259429545306.74957</v>
      </c>
      <c r="K23" s="11">
        <f t="shared" si="4"/>
        <v>2.2829999999999906E-2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11"/>
      <c r="H24" s="10"/>
      <c r="I24" s="10">
        <f t="shared" si="5"/>
        <v>7341</v>
      </c>
      <c r="J24" s="10">
        <f t="shared" si="3"/>
        <v>253638967674.73541</v>
      </c>
      <c r="K24" s="11">
        <f t="shared" si="4"/>
        <v>2.3980000000000112E-2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11"/>
      <c r="H25" s="10"/>
      <c r="I25" s="10">
        <f t="shared" si="5"/>
        <v>7341</v>
      </c>
      <c r="J25" s="10">
        <f t="shared" si="3"/>
        <v>247699142243.73074</v>
      </c>
      <c r="K25" s="11">
        <f t="shared" si="4"/>
        <v>2.5060000000000082E-2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11"/>
      <c r="H26" s="10"/>
      <c r="I26" s="10">
        <f t="shared" si="5"/>
        <v>7341</v>
      </c>
      <c r="J26" s="10">
        <f t="shared" si="3"/>
        <v>241643554761.40979</v>
      </c>
      <c r="K26" s="11">
        <f t="shared" si="4"/>
        <v>2.1069999999999922E-2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11"/>
      <c r="H27" s="10"/>
      <c r="I27" s="10">
        <f t="shared" si="5"/>
        <v>7341</v>
      </c>
      <c r="J27" s="10">
        <f t="shared" si="3"/>
        <v>236657187814.16534</v>
      </c>
      <c r="K27" s="11">
        <f t="shared" si="4"/>
        <v>2.9500000000000082E-3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11"/>
      <c r="H28" s="10"/>
      <c r="I28" s="10">
        <f t="shared" si="5"/>
        <v>7341</v>
      </c>
      <c r="J28" s="10">
        <f t="shared" si="3"/>
        <v>235961102561.60861</v>
      </c>
      <c r="K28" s="11">
        <f t="shared" si="4"/>
        <v>4.2599999999999305E-3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11"/>
      <c r="H29" s="10"/>
      <c r="I29" s="10">
        <f t="shared" si="5"/>
        <v>7341</v>
      </c>
      <c r="J29" s="10">
        <f t="shared" si="3"/>
        <v>234960172227.91769</v>
      </c>
      <c r="K29" s="11">
        <f t="shared" si="4"/>
        <v>5.03000000000009E-3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11"/>
      <c r="H30" s="10"/>
      <c r="I30" s="10">
        <f t="shared" si="5"/>
        <v>7341</v>
      </c>
      <c r="J30" s="10">
        <f t="shared" si="3"/>
        <v>233784237513.22617</v>
      </c>
      <c r="K30" s="11">
        <f t="shared" si="4"/>
        <v>5.3499999999999659E-3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11"/>
      <c r="H31" s="10"/>
      <c r="I31" s="10">
        <f t="shared" si="5"/>
        <v>7341</v>
      </c>
      <c r="J31" s="10">
        <f t="shared" si="3"/>
        <v>232540147722.9086</v>
      </c>
      <c r="K31" s="11">
        <f t="shared" si="4"/>
        <v>7.4399999999998911E-3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11"/>
      <c r="H32" s="10"/>
      <c r="I32" s="10">
        <f t="shared" si="5"/>
        <v>7341</v>
      </c>
      <c r="J32" s="10">
        <f t="shared" si="3"/>
        <v>230822825898.22583</v>
      </c>
      <c r="K32" s="11">
        <f t="shared" si="4"/>
        <v>1.4110000000000067E-2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11"/>
      <c r="H33" s="10"/>
      <c r="I33" s="10">
        <f t="shared" si="5"/>
        <v>7341</v>
      </c>
      <c r="J33" s="10">
        <f t="shared" si="3"/>
        <v>227611231422.8494</v>
      </c>
      <c r="K33" s="11">
        <f t="shared" si="4"/>
        <v>1.4710000000000001E-2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11"/>
      <c r="H34" s="10"/>
      <c r="I34" s="10">
        <f t="shared" si="5"/>
        <v>7341</v>
      </c>
      <c r="J34" s="10">
        <f t="shared" ref="J34:J65" si="6">IF(I34="","",I34*C34)</f>
        <v>224311607673.96536</v>
      </c>
      <c r="K34" s="11">
        <f t="shared" ref="K34:K65" si="7">IFERROR(J34/J35-1,"")</f>
        <v>1.5959999999999974E-2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11"/>
      <c r="H35" s="10"/>
      <c r="I35" s="10">
        <f t="shared" ref="I35:I66" si="8">IF(H35&lt;&gt;"",H35,I34/(1+IF(G34="",0,G34)))</f>
        <v>7341</v>
      </c>
      <c r="J35" s="10">
        <f t="shared" si="6"/>
        <v>220787833845.78662</v>
      </c>
      <c r="K35" s="11">
        <f t="shared" si="7"/>
        <v>1.6790000000000083E-2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11"/>
      <c r="H36" s="10"/>
      <c r="I36" s="10">
        <f t="shared" si="8"/>
        <v>7341</v>
      </c>
      <c r="J36" s="10">
        <f t="shared" si="6"/>
        <v>217142019341.05035</v>
      </c>
      <c r="K36" s="11">
        <f t="shared" si="7"/>
        <v>1.8140000000000045E-2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11"/>
      <c r="H37" s="10"/>
      <c r="I37" s="10">
        <f t="shared" si="8"/>
        <v>7341</v>
      </c>
      <c r="J37" s="10">
        <f t="shared" si="6"/>
        <v>213273242718.14325</v>
      </c>
      <c r="K37" s="11">
        <f t="shared" si="7"/>
        <v>2.1190000000000264E-2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11"/>
      <c r="H38" s="10"/>
      <c r="I38" s="10">
        <f t="shared" si="8"/>
        <v>7341</v>
      </c>
      <c r="J38" s="10">
        <f t="shared" si="6"/>
        <v>208847758711.05594</v>
      </c>
      <c r="K38" s="11">
        <f t="shared" si="7"/>
        <v>2.1509999999999918E-2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11"/>
      <c r="H39" s="10"/>
      <c r="I39" s="10">
        <f t="shared" si="8"/>
        <v>7341</v>
      </c>
      <c r="J39" s="10">
        <f t="shared" si="6"/>
        <v>204450038385.38629</v>
      </c>
      <c r="K39" s="11">
        <f t="shared" si="7"/>
        <v>2.1609999999999907E-2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11"/>
      <c r="H40" s="10"/>
      <c r="I40" s="10">
        <f t="shared" si="8"/>
        <v>7341</v>
      </c>
      <c r="J40" s="10">
        <f t="shared" si="6"/>
        <v>200125330003.99988</v>
      </c>
      <c r="K40" s="11">
        <f t="shared" si="7"/>
        <v>2.2459999999999924E-2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11"/>
      <c r="H41" s="10"/>
      <c r="I41" s="10">
        <f t="shared" si="8"/>
        <v>7341</v>
      </c>
      <c r="J41" s="10">
        <f t="shared" si="6"/>
        <v>195729251025.95691</v>
      </c>
      <c r="K41" s="11">
        <f t="shared" si="7"/>
        <v>2.3390000000000244E-2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11"/>
      <c r="H42" s="10"/>
      <c r="I42" s="10">
        <f t="shared" si="8"/>
        <v>7341</v>
      </c>
      <c r="J42" s="10">
        <f t="shared" si="6"/>
        <v>191255778369.88525</v>
      </c>
      <c r="K42" s="11">
        <f t="shared" si="7"/>
        <v>2.4159999999999959E-2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11"/>
      <c r="H43" s="10"/>
      <c r="I43" s="10">
        <f t="shared" si="8"/>
        <v>7341</v>
      </c>
      <c r="J43" s="10">
        <f t="shared" si="6"/>
        <v>186744042307.7305</v>
      </c>
      <c r="K43" s="11">
        <f t="shared" si="7"/>
        <v>2.4960000000000093E-2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11"/>
      <c r="H44" s="10"/>
      <c r="I44" s="10">
        <f t="shared" si="8"/>
        <v>7341</v>
      </c>
      <c r="J44" s="10">
        <f t="shared" si="6"/>
        <v>182196419672.69989</v>
      </c>
      <c r="K44" s="11">
        <f t="shared" si="7"/>
        <v>2.5299999999999878E-2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11"/>
      <c r="H45" s="10"/>
      <c r="I45" s="10">
        <f t="shared" si="8"/>
        <v>7341</v>
      </c>
      <c r="J45" s="10">
        <f t="shared" si="6"/>
        <v>177700594628.59641</v>
      </c>
      <c r="K45" s="11">
        <f t="shared" si="7"/>
        <v>2.5600000000000289E-2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11"/>
      <c r="H46" s="10"/>
      <c r="I46" s="10">
        <f t="shared" si="8"/>
        <v>7341</v>
      </c>
      <c r="J46" s="10">
        <f t="shared" si="6"/>
        <v>173265010363.29599</v>
      </c>
      <c r="K46" s="11">
        <f t="shared" si="7"/>
        <v>3.7700000000000067E-2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11"/>
      <c r="H47" s="10"/>
      <c r="I47" s="10">
        <f t="shared" si="8"/>
        <v>7341</v>
      </c>
      <c r="J47" s="10">
        <f t="shared" si="6"/>
        <v>166970232594.48395</v>
      </c>
      <c r="K47" s="11">
        <f t="shared" si="7"/>
        <v>3.3190000000000053E-2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11"/>
      <c r="H48" s="10"/>
      <c r="I48" s="10">
        <f t="shared" si="8"/>
        <v>7341</v>
      </c>
      <c r="J48" s="10">
        <f t="shared" si="6"/>
        <v>161606512446.38831</v>
      </c>
      <c r="K48" s="11">
        <f t="shared" si="7"/>
        <v>3.0370000000000008E-2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11"/>
      <c r="H49" s="10"/>
      <c r="I49" s="10">
        <f t="shared" si="8"/>
        <v>7341</v>
      </c>
      <c r="J49" s="10">
        <f t="shared" si="6"/>
        <v>156843184920.35706</v>
      </c>
      <c r="K49" s="11">
        <f t="shared" si="7"/>
        <v>3.4440000000000026E-2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11"/>
      <c r="H50" s="10"/>
      <c r="I50" s="10">
        <f t="shared" si="8"/>
        <v>7341</v>
      </c>
      <c r="J50" s="10">
        <f t="shared" si="6"/>
        <v>151621345771.9704</v>
      </c>
      <c r="K50" s="11">
        <f t="shared" si="7"/>
        <v>2.0380000000000065E-2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11"/>
      <c r="H51" s="10"/>
      <c r="I51" s="10">
        <f t="shared" si="8"/>
        <v>7341</v>
      </c>
      <c r="J51" s="10">
        <f t="shared" si="6"/>
        <v>148593020023.88364</v>
      </c>
      <c r="K51" s="11">
        <f t="shared" si="7"/>
        <v>3.3729999999999816E-2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11"/>
      <c r="H52" s="10"/>
      <c r="I52" s="10">
        <f t="shared" si="8"/>
        <v>7341</v>
      </c>
      <c r="J52" s="10">
        <f t="shared" si="6"/>
        <v>143744517450.28552</v>
      </c>
      <c r="K52" s="11">
        <f t="shared" si="7"/>
        <v>3.8669999999999982E-2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11"/>
      <c r="H53" s="10"/>
      <c r="I53" s="10">
        <f t="shared" si="8"/>
        <v>7341</v>
      </c>
      <c r="J53" s="10">
        <f t="shared" si="6"/>
        <v>138392865347.30524</v>
      </c>
      <c r="K53" s="11">
        <f t="shared" si="7"/>
        <v>3.8870000000000182E-2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11"/>
      <c r="H54" s="10"/>
      <c r="I54" s="10">
        <f t="shared" si="8"/>
        <v>7341</v>
      </c>
      <c r="J54" s="10">
        <f t="shared" si="6"/>
        <v>133214805844.14337</v>
      </c>
      <c r="K54" s="11">
        <f t="shared" si="7"/>
        <v>3.5409999999999942E-2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11"/>
      <c r="H55" s="10"/>
      <c r="I55" s="10">
        <f t="shared" si="8"/>
        <v>7341</v>
      </c>
      <c r="J55" s="10">
        <f t="shared" si="6"/>
        <v>128658990973.76245</v>
      </c>
      <c r="K55" s="11">
        <f t="shared" si="7"/>
        <v>3.8159999999999972E-2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11"/>
      <c r="H56" s="10"/>
      <c r="I56" s="10">
        <f t="shared" si="8"/>
        <v>7341</v>
      </c>
      <c r="J56" s="10">
        <f t="shared" si="6"/>
        <v>123929828710.18192</v>
      </c>
      <c r="K56" s="11">
        <f t="shared" si="7"/>
        <v>3.8590000000000124E-2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11"/>
      <c r="H57" s="10"/>
      <c r="I57" s="10">
        <f t="shared" si="8"/>
        <v>7341</v>
      </c>
      <c r="J57" s="10">
        <f t="shared" si="6"/>
        <v>119325074100.63828</v>
      </c>
      <c r="K57" s="11">
        <f t="shared" si="7"/>
        <v>3.6550000000000082E-2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11"/>
      <c r="H58" s="10"/>
      <c r="I58" s="10">
        <f t="shared" si="8"/>
        <v>7341</v>
      </c>
      <c r="J58" s="10">
        <f t="shared" si="6"/>
        <v>115117528436.29181</v>
      </c>
      <c r="K58" s="11">
        <f t="shared" si="7"/>
        <v>4.2869999999999964E-2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11"/>
      <c r="H59" s="10"/>
      <c r="I59" s="10">
        <f t="shared" si="8"/>
        <v>7341</v>
      </c>
      <c r="J59" s="10">
        <f t="shared" si="6"/>
        <v>110385310188.51038</v>
      </c>
      <c r="K59" s="11">
        <f t="shared" si="7"/>
        <v>4.5900000000000052E-2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11"/>
      <c r="H60" s="10"/>
      <c r="I60" s="10">
        <f t="shared" si="8"/>
        <v>7341</v>
      </c>
      <c r="J60" s="10">
        <f t="shared" si="6"/>
        <v>105540979241.33318</v>
      </c>
      <c r="K60" s="11">
        <f t="shared" si="7"/>
        <v>4.6400000000000219E-2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11"/>
      <c r="H61" s="10"/>
      <c r="I61" s="10">
        <f t="shared" si="8"/>
        <v>7341</v>
      </c>
      <c r="J61" s="10">
        <f t="shared" si="6"/>
        <v>100861027562.43613</v>
      </c>
      <c r="K61" s="11">
        <f t="shared" si="7"/>
        <v>4.6189999999999953E-2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11"/>
      <c r="H62" s="10"/>
      <c r="I62" s="10">
        <f t="shared" si="8"/>
        <v>7341</v>
      </c>
      <c r="J62" s="10">
        <f t="shared" si="6"/>
        <v>96407944601.302002</v>
      </c>
      <c r="K62" s="11">
        <f t="shared" si="7"/>
        <v>4.5330000000000092E-2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11"/>
      <c r="H63" s="10"/>
      <c r="I63" s="10">
        <f t="shared" si="8"/>
        <v>7341</v>
      </c>
      <c r="J63" s="10">
        <f t="shared" si="6"/>
        <v>92227281912.221024</v>
      </c>
      <c r="K63" s="11">
        <f t="shared" si="7"/>
        <v>4.5120000000000049E-2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11"/>
      <c r="H64" s="10"/>
      <c r="I64" s="10">
        <f t="shared" si="8"/>
        <v>7341</v>
      </c>
      <c r="J64" s="10">
        <f t="shared" si="6"/>
        <v>88245638694.332718</v>
      </c>
      <c r="K64" s="11">
        <f t="shared" si="7"/>
        <v>4.4929999999999914E-2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11"/>
      <c r="H65" s="10"/>
      <c r="I65" s="10">
        <f t="shared" si="8"/>
        <v>7341</v>
      </c>
      <c r="J65" s="10">
        <f t="shared" si="6"/>
        <v>84451244288.45256</v>
      </c>
      <c r="K65" s="11">
        <f t="shared" si="7"/>
        <v>4.4970000000000176E-2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6">
        <f>SUM(F2)</f>
        <v>42672208</v>
      </c>
      <c r="G66" s="11"/>
      <c r="H66" s="10"/>
      <c r="I66" s="10">
        <f t="shared" si="8"/>
        <v>7341</v>
      </c>
      <c r="J66" s="10">
        <f t="shared" ref="J66:J97" si="9">IF(I66="","",I66*C66)</f>
        <v>80816907938.460007</v>
      </c>
      <c r="K66" s="11">
        <f t="shared" ref="K66:K97" si="10">IFERROR(J66/J67-1,"")</f>
        <v>4.5090000000000074E-2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11"/>
      <c r="H67" s="10"/>
      <c r="I67" s="10">
        <f t="shared" ref="I67:I98" si="11">IF(H67&lt;&gt;"",H67,I66/(1+IF(G66="",0,G66)))</f>
        <v>7341</v>
      </c>
      <c r="J67" s="10">
        <f t="shared" si="9"/>
        <v>77330094000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5">
        <v>133065</v>
      </c>
      <c r="G2" s="11"/>
      <c r="H2" s="10"/>
      <c r="I2" s="10">
        <f>IF(H2&lt;&gt;"",H2,40873)</f>
        <v>40873</v>
      </c>
      <c r="J2" s="10">
        <f t="shared" ref="J2:J33" si="3">IF(I2="","",I2*C2)</f>
        <v>5438541647.1709385</v>
      </c>
      <c r="K2" s="11">
        <f t="shared" ref="K2:K33" si="4">IFERROR(J2/J3-1,"")</f>
        <v>1.0389999999999899E-2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11"/>
      <c r="H3" s="10"/>
      <c r="I3" s="10">
        <f t="shared" ref="I3:I34" si="5">IF(H3&lt;&gt;"",H3,I2/(1+IF(G2="",0,G2)))</f>
        <v>40873</v>
      </c>
      <c r="J3" s="10">
        <f t="shared" si="3"/>
        <v>5382616264.1860466</v>
      </c>
      <c r="K3" s="11">
        <f t="shared" si="4"/>
        <v>1.0510000000000019E-2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11"/>
      <c r="H4" s="10"/>
      <c r="I4" s="10">
        <f t="shared" si="5"/>
        <v>40873</v>
      </c>
      <c r="J4" s="10">
        <f t="shared" si="3"/>
        <v>5326633347.7017021</v>
      </c>
      <c r="K4" s="11">
        <f t="shared" si="4"/>
        <v>1.177000000000028E-2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11"/>
      <c r="H5" s="10"/>
      <c r="I5" s="10">
        <f t="shared" si="5"/>
        <v>40873</v>
      </c>
      <c r="J5" s="10">
        <f t="shared" si="3"/>
        <v>5264668202.9529448</v>
      </c>
      <c r="K5" s="11">
        <f t="shared" si="4"/>
        <v>7.1000000000001062E-3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11"/>
      <c r="H6" s="10"/>
      <c r="I6" s="10">
        <f t="shared" si="5"/>
        <v>40873</v>
      </c>
      <c r="J6" s="10">
        <f t="shared" si="3"/>
        <v>5227552579.6375179</v>
      </c>
      <c r="K6" s="11">
        <f t="shared" si="4"/>
        <v>3.5399999999998766E-3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11"/>
      <c r="H7" s="10"/>
      <c r="I7" s="10">
        <f t="shared" si="5"/>
        <v>40873</v>
      </c>
      <c r="J7" s="10">
        <f t="shared" si="3"/>
        <v>5209112322.0175762</v>
      </c>
      <c r="K7" s="11">
        <f t="shared" si="4"/>
        <v>2.5999999999999357E-3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11"/>
      <c r="H8" s="10"/>
      <c r="I8" s="10">
        <f t="shared" si="5"/>
        <v>40873</v>
      </c>
      <c r="J8" s="10">
        <f t="shared" si="3"/>
        <v>5195603752.2616959</v>
      </c>
      <c r="K8" s="11">
        <f t="shared" si="4"/>
        <v>-5.4499999999998439E-3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11"/>
      <c r="H9" s="10"/>
      <c r="I9" s="10">
        <f t="shared" si="5"/>
        <v>40873</v>
      </c>
      <c r="J9" s="10">
        <f t="shared" si="3"/>
        <v>5224074960.7980442</v>
      </c>
      <c r="K9" s="11">
        <f t="shared" si="4"/>
        <v>1.2380000000000058E-2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11"/>
      <c r="H10" s="10"/>
      <c r="I10" s="10">
        <f t="shared" si="5"/>
        <v>40873</v>
      </c>
      <c r="J10" s="10">
        <f t="shared" si="3"/>
        <v>5160191786.4814043</v>
      </c>
      <c r="K10" s="11">
        <f t="shared" si="4"/>
        <v>2.5020000000000042E-2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11"/>
      <c r="H11" s="10"/>
      <c r="I11" s="10">
        <f t="shared" si="5"/>
        <v>40873</v>
      </c>
      <c r="J11" s="10">
        <f t="shared" si="3"/>
        <v>5034235221.2458334</v>
      </c>
      <c r="K11" s="11">
        <f t="shared" si="4"/>
        <v>2.5530000000000053E-2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11"/>
      <c r="H12" s="10"/>
      <c r="I12" s="10">
        <f t="shared" si="5"/>
        <v>40873</v>
      </c>
      <c r="J12" s="10">
        <f t="shared" si="3"/>
        <v>4908910730.3012428</v>
      </c>
      <c r="K12" s="11">
        <f t="shared" si="4"/>
        <v>2.1300000000000319E-2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11"/>
      <c r="H13" s="10"/>
      <c r="I13" s="10">
        <f t="shared" si="5"/>
        <v>40873</v>
      </c>
      <c r="J13" s="10">
        <f t="shared" si="3"/>
        <v>4806531607.0706367</v>
      </c>
      <c r="K13" s="11">
        <f t="shared" si="4"/>
        <v>7.3099999999997056E-3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11"/>
      <c r="H14" s="10"/>
      <c r="I14" s="10">
        <f t="shared" si="5"/>
        <v>40873</v>
      </c>
      <c r="J14" s="10">
        <f t="shared" si="3"/>
        <v>4771650839.4343729</v>
      </c>
      <c r="K14" s="11">
        <f t="shared" si="4"/>
        <v>6.5299999999999248E-3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11"/>
      <c r="H15" s="10"/>
      <c r="I15" s="10">
        <f t="shared" si="5"/>
        <v>40873</v>
      </c>
      <c r="J15" s="10">
        <f t="shared" si="3"/>
        <v>4740694106.9162102</v>
      </c>
      <c r="K15" s="11">
        <f t="shared" si="4"/>
        <v>1.1330000000000062E-2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11"/>
      <c r="H16" s="10"/>
      <c r="I16" s="10">
        <f t="shared" si="5"/>
        <v>40873</v>
      </c>
      <c r="J16" s="10">
        <f t="shared" si="3"/>
        <v>4687583782.6586866</v>
      </c>
      <c r="K16" s="11">
        <f t="shared" si="4"/>
        <v>1.5339999999999909E-2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11"/>
      <c r="H17" s="10"/>
      <c r="I17" s="10">
        <f t="shared" si="5"/>
        <v>40873</v>
      </c>
      <c r="J17" s="10">
        <f t="shared" si="3"/>
        <v>4616762643.7042637</v>
      </c>
      <c r="K17" s="11">
        <f t="shared" si="4"/>
        <v>1.2070000000000247E-2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11"/>
      <c r="H18" s="10"/>
      <c r="I18" s="10">
        <f t="shared" si="5"/>
        <v>40873</v>
      </c>
      <c r="J18" s="10">
        <f t="shared" si="3"/>
        <v>4561702889.8240862</v>
      </c>
      <c r="K18" s="11">
        <f t="shared" si="4"/>
        <v>1.2119999999999909E-2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11"/>
      <c r="H19" s="10"/>
      <c r="I19" s="10">
        <f t="shared" si="5"/>
        <v>40873</v>
      </c>
      <c r="J19" s="10">
        <f t="shared" si="3"/>
        <v>4507077115.1880083</v>
      </c>
      <c r="K19" s="11">
        <f t="shared" si="4"/>
        <v>9.3300000000000605E-3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11"/>
      <c r="H20" s="10"/>
      <c r="I20" s="10">
        <f t="shared" si="5"/>
        <v>40873</v>
      </c>
      <c r="J20" s="10">
        <f t="shared" si="3"/>
        <v>4465414795.1492653</v>
      </c>
      <c r="K20" s="11">
        <f t="shared" si="4"/>
        <v>7.1300000000000807E-3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11"/>
      <c r="H21" s="10"/>
      <c r="I21" s="10">
        <f t="shared" si="5"/>
        <v>40873</v>
      </c>
      <c r="J21" s="10">
        <f t="shared" si="3"/>
        <v>4433801788.3979874</v>
      </c>
      <c r="K21" s="11">
        <f t="shared" si="4"/>
        <v>3.6699999999998401E-3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11"/>
      <c r="H22" s="10"/>
      <c r="I22" s="10">
        <f t="shared" si="5"/>
        <v>40873</v>
      </c>
      <c r="J22" s="10">
        <f t="shared" si="3"/>
        <v>4417589235.9022264</v>
      </c>
      <c r="K22" s="11">
        <f t="shared" si="4"/>
        <v>7.2600000000002662E-3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11"/>
      <c r="H23" s="10"/>
      <c r="I23" s="10">
        <f t="shared" si="5"/>
        <v>40873</v>
      </c>
      <c r="J23" s="10">
        <f t="shared" si="3"/>
        <v>4385748700.3377733</v>
      </c>
      <c r="K23" s="11">
        <f t="shared" si="4"/>
        <v>1.0119999999999907E-2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11"/>
      <c r="H24" s="10"/>
      <c r="I24" s="10">
        <f t="shared" si="5"/>
        <v>40873</v>
      </c>
      <c r="J24" s="10">
        <f t="shared" si="3"/>
        <v>4341809587.3141546</v>
      </c>
      <c r="K24" s="11">
        <f t="shared" si="4"/>
        <v>1.0229999999999739E-2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11"/>
      <c r="H25" s="10"/>
      <c r="I25" s="10">
        <f t="shared" si="5"/>
        <v>40873</v>
      </c>
      <c r="J25" s="10">
        <f t="shared" si="3"/>
        <v>4297842656.9337234</v>
      </c>
      <c r="K25" s="11">
        <f t="shared" si="4"/>
        <v>1.5030000000000099E-2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11"/>
      <c r="H26" s="10"/>
      <c r="I26" s="10">
        <f t="shared" si="5"/>
        <v>40873</v>
      </c>
      <c r="J26" s="10">
        <f t="shared" si="3"/>
        <v>4234202591.9763188</v>
      </c>
      <c r="K26" s="11">
        <f t="shared" si="4"/>
        <v>8.1699999999997885E-3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11"/>
      <c r="H27" s="10"/>
      <c r="I27" s="10">
        <f t="shared" si="5"/>
        <v>40873</v>
      </c>
      <c r="J27" s="10">
        <f t="shared" si="3"/>
        <v>4199889494.8037724</v>
      </c>
      <c r="K27" s="11">
        <f t="shared" si="4"/>
        <v>7.4600000000000222E-3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11"/>
      <c r="H28" s="10"/>
      <c r="I28" s="10">
        <f t="shared" si="5"/>
        <v>40873</v>
      </c>
      <c r="J28" s="10">
        <f t="shared" si="3"/>
        <v>4168790319.0238547</v>
      </c>
      <c r="K28" s="11">
        <f t="shared" si="4"/>
        <v>1.7470000000000097E-2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11"/>
      <c r="H29" s="10"/>
      <c r="I29" s="10">
        <f t="shared" si="5"/>
        <v>40873</v>
      </c>
      <c r="J29" s="10">
        <f t="shared" si="3"/>
        <v>4097212024.9480124</v>
      </c>
      <c r="K29" s="11">
        <f t="shared" si="4"/>
        <v>1.3749999999999929E-2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11"/>
      <c r="H30" s="10"/>
      <c r="I30" s="10">
        <f t="shared" si="5"/>
        <v>40873</v>
      </c>
      <c r="J30" s="10">
        <f t="shared" si="3"/>
        <v>4041639482.0695562</v>
      </c>
      <c r="K30" s="11">
        <f t="shared" si="4"/>
        <v>8.0599999999999561E-3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11"/>
      <c r="H31" s="10"/>
      <c r="I31" s="10">
        <f t="shared" si="5"/>
        <v>40873</v>
      </c>
      <c r="J31" s="10">
        <f t="shared" si="3"/>
        <v>4009324327.9859896</v>
      </c>
      <c r="K31" s="11">
        <f t="shared" si="4"/>
        <v>6.6399999999999793E-3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11"/>
      <c r="H32" s="10"/>
      <c r="I32" s="10">
        <f t="shared" si="5"/>
        <v>40873</v>
      </c>
      <c r="J32" s="10">
        <f t="shared" si="3"/>
        <v>3982878017.9468226</v>
      </c>
      <c r="K32" s="11">
        <f t="shared" si="4"/>
        <v>9.1699999999999005E-3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11"/>
      <c r="H33" s="10"/>
      <c r="I33" s="10">
        <f t="shared" si="5"/>
        <v>40873</v>
      </c>
      <c r="J33" s="10">
        <f t="shared" si="3"/>
        <v>3946686899.0822392</v>
      </c>
      <c r="K33" s="11">
        <f t="shared" si="4"/>
        <v>1.2150000000000105E-2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11"/>
      <c r="H34" s="10"/>
      <c r="I34" s="10">
        <f t="shared" si="5"/>
        <v>40873</v>
      </c>
      <c r="J34" s="10">
        <f t="shared" ref="J34:J65" si="6">IF(I34="","",I34*C34)</f>
        <v>3899310279.1900792</v>
      </c>
      <c r="K34" s="11">
        <f t="shared" ref="K34:K65" si="7">IFERROR(J34/J35-1,"")</f>
        <v>1.4359999999999928E-2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11"/>
      <c r="H35" s="10"/>
      <c r="I35" s="10">
        <f t="shared" ref="I35:I66" si="8">IF(H35&lt;&gt;"",H35,I34/(1+IF(G34="",0,G34)))</f>
        <v>40873</v>
      </c>
      <c r="J35" s="10">
        <f t="shared" si="6"/>
        <v>3844108875.7345314</v>
      </c>
      <c r="K35" s="11">
        <f t="shared" si="7"/>
        <v>1.2299999999999978E-2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11"/>
      <c r="H36" s="10"/>
      <c r="I36" s="10">
        <f t="shared" si="8"/>
        <v>40873</v>
      </c>
      <c r="J36" s="10">
        <f t="shared" si="6"/>
        <v>3797400845.3368874</v>
      </c>
      <c r="K36" s="11">
        <f t="shared" si="7"/>
        <v>1.0380000000000056E-2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11"/>
      <c r="H37" s="10"/>
      <c r="I37" s="10">
        <f t="shared" si="8"/>
        <v>40873</v>
      </c>
      <c r="J37" s="10">
        <f t="shared" si="6"/>
        <v>3758388769.9052706</v>
      </c>
      <c r="K37" s="11">
        <f t="shared" si="7"/>
        <v>1.0680000000000023E-2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11"/>
      <c r="H38" s="10"/>
      <c r="I38" s="10">
        <f t="shared" si="8"/>
        <v>40873</v>
      </c>
      <c r="J38" s="10">
        <f t="shared" si="6"/>
        <v>3718673338.6485047</v>
      </c>
      <c r="K38" s="11">
        <f t="shared" si="7"/>
        <v>8.760000000000101E-3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11"/>
      <c r="H39" s="10"/>
      <c r="I39" s="10">
        <f t="shared" si="8"/>
        <v>40873</v>
      </c>
      <c r="J39" s="10">
        <f t="shared" si="6"/>
        <v>3686380644.205266</v>
      </c>
      <c r="K39" s="11">
        <f t="shared" si="7"/>
        <v>6.8399999999999572E-3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11"/>
      <c r="H40" s="10"/>
      <c r="I40" s="10">
        <f t="shared" si="8"/>
        <v>40873</v>
      </c>
      <c r="J40" s="10">
        <f t="shared" si="6"/>
        <v>3661337098.4518552</v>
      </c>
      <c r="K40" s="11">
        <f t="shared" si="7"/>
        <v>8.0399999999998251E-3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11"/>
      <c r="H41" s="10"/>
      <c r="I41" s="10">
        <f t="shared" si="8"/>
        <v>40873</v>
      </c>
      <c r="J41" s="10">
        <f t="shared" si="6"/>
        <v>3632134735.1810002</v>
      </c>
      <c r="K41" s="11">
        <f t="shared" si="7"/>
        <v>1.1710000000000109E-2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11"/>
      <c r="H42" s="10"/>
      <c r="I42" s="10">
        <f t="shared" si="8"/>
        <v>40873</v>
      </c>
      <c r="J42" s="10">
        <f t="shared" si="6"/>
        <v>3590094725.9402394</v>
      </c>
      <c r="K42" s="11">
        <f t="shared" si="7"/>
        <v>1.3800000000000034E-2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11"/>
      <c r="H43" s="10"/>
      <c r="I43" s="10">
        <f t="shared" si="8"/>
        <v>40873</v>
      </c>
      <c r="J43" s="10">
        <f t="shared" si="6"/>
        <v>3541225809.7654757</v>
      </c>
      <c r="K43" s="11">
        <f t="shared" si="7"/>
        <v>1.3180000000000192E-2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11"/>
      <c r="H44" s="10"/>
      <c r="I44" s="10">
        <f t="shared" si="8"/>
        <v>40873</v>
      </c>
      <c r="J44" s="10">
        <f t="shared" si="6"/>
        <v>3495159606.1563349</v>
      </c>
      <c r="K44" s="11">
        <f t="shared" si="7"/>
        <v>1.6990000000000061E-2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11"/>
      <c r="H45" s="10"/>
      <c r="I45" s="10">
        <f t="shared" si="8"/>
        <v>40873</v>
      </c>
      <c r="J45" s="10">
        <f t="shared" si="6"/>
        <v>3436768902.5028119</v>
      </c>
      <c r="K45" s="11">
        <f t="shared" si="7"/>
        <v>1.2280000000000069E-2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11"/>
      <c r="H46" s="10"/>
      <c r="I46" s="10">
        <f t="shared" si="8"/>
        <v>40873</v>
      </c>
      <c r="J46" s="10">
        <f t="shared" si="6"/>
        <v>3395077352.6127276</v>
      </c>
      <c r="K46" s="11">
        <f t="shared" si="7"/>
        <v>4.070000000000018E-3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11"/>
      <c r="H47" s="10"/>
      <c r="I47" s="10">
        <f t="shared" si="8"/>
        <v>40873</v>
      </c>
      <c r="J47" s="10">
        <f t="shared" si="6"/>
        <v>3381315398.9390459</v>
      </c>
      <c r="K47" s="11">
        <f t="shared" si="7"/>
        <v>6.7399999999999682E-3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11"/>
      <c r="H48" s="10"/>
      <c r="I48" s="10">
        <f t="shared" si="8"/>
        <v>40873</v>
      </c>
      <c r="J48" s="10">
        <f t="shared" si="6"/>
        <v>3358677909.8268132</v>
      </c>
      <c r="K48" s="11">
        <f t="shared" si="7"/>
        <v>1.1789999999999967E-2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11"/>
      <c r="H49" s="10"/>
      <c r="I49" s="10">
        <f t="shared" si="8"/>
        <v>40873</v>
      </c>
      <c r="J49" s="10">
        <f t="shared" si="6"/>
        <v>3319540527.0133262</v>
      </c>
      <c r="K49" s="11">
        <f t="shared" si="7"/>
        <v>1.5420000000000211E-2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11"/>
      <c r="H50" s="10"/>
      <c r="I50" s="10">
        <f t="shared" si="8"/>
        <v>40873</v>
      </c>
      <c r="J50" s="10">
        <f t="shared" si="6"/>
        <v>3269130534.1763268</v>
      </c>
      <c r="K50" s="11">
        <f t="shared" si="7"/>
        <v>1.6909999999999759E-2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11"/>
      <c r="H51" s="10"/>
      <c r="I51" s="10">
        <f t="shared" si="8"/>
        <v>40873</v>
      </c>
      <c r="J51" s="10">
        <f t="shared" si="6"/>
        <v>3214768793.8719525</v>
      </c>
      <c r="K51" s="11">
        <f t="shared" si="7"/>
        <v>1.6730000000000134E-2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11"/>
      <c r="H52" s="10"/>
      <c r="I52" s="10">
        <f t="shared" si="8"/>
        <v>40873</v>
      </c>
      <c r="J52" s="10">
        <f t="shared" si="6"/>
        <v>3161870697.1093135</v>
      </c>
      <c r="K52" s="11">
        <f t="shared" si="7"/>
        <v>1.7969999999999819E-2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11"/>
      <c r="H53" s="10"/>
      <c r="I53" s="10">
        <f t="shared" si="8"/>
        <v>40873</v>
      </c>
      <c r="J53" s="10">
        <f t="shared" si="6"/>
        <v>3106054890.723021</v>
      </c>
      <c r="K53" s="11">
        <f t="shared" si="7"/>
        <v>1.8149999999999888E-2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11"/>
      <c r="H54" s="10"/>
      <c r="I54" s="10">
        <f t="shared" si="8"/>
        <v>40873</v>
      </c>
      <c r="J54" s="10">
        <f t="shared" si="6"/>
        <v>3050684958.7222133</v>
      </c>
      <c r="K54" s="11">
        <f t="shared" si="7"/>
        <v>1.7740000000000089E-2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11"/>
      <c r="H55" s="10"/>
      <c r="I55" s="10">
        <f t="shared" si="8"/>
        <v>40873</v>
      </c>
      <c r="J55" s="10">
        <f t="shared" si="6"/>
        <v>2997509146.4639425</v>
      </c>
      <c r="K55" s="11">
        <f t="shared" si="7"/>
        <v>1.9290000000000251E-2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11"/>
      <c r="H56" s="10"/>
      <c r="I56" s="10">
        <f t="shared" si="8"/>
        <v>40873</v>
      </c>
      <c r="J56" s="10">
        <f t="shared" si="6"/>
        <v>2940781471.8715401</v>
      </c>
      <c r="K56" s="11">
        <f t="shared" si="7"/>
        <v>1.9490000000000007E-2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11"/>
      <c r="H57" s="10"/>
      <c r="I57" s="10">
        <f t="shared" si="8"/>
        <v>40873</v>
      </c>
      <c r="J57" s="10">
        <f t="shared" si="6"/>
        <v>2884561370.7555151</v>
      </c>
      <c r="K57" s="11">
        <f t="shared" si="7"/>
        <v>2.1579999999999933E-2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11"/>
      <c r="H58" s="10"/>
      <c r="I58" s="10">
        <f t="shared" si="8"/>
        <v>40873</v>
      </c>
      <c r="J58" s="10">
        <f t="shared" si="6"/>
        <v>2823627489.5314274</v>
      </c>
      <c r="K58" s="11">
        <f t="shared" si="7"/>
        <v>1.9709999999999894E-2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11"/>
      <c r="H59" s="10"/>
      <c r="I59" s="10">
        <f t="shared" si="8"/>
        <v>40873</v>
      </c>
      <c r="J59" s="10">
        <f t="shared" si="6"/>
        <v>2769049523.4247265</v>
      </c>
      <c r="K59" s="11">
        <f t="shared" si="7"/>
        <v>2.5039999999999729E-2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11"/>
      <c r="H60" s="10"/>
      <c r="I60" s="10">
        <f t="shared" si="8"/>
        <v>40873</v>
      </c>
      <c r="J60" s="10">
        <f t="shared" si="6"/>
        <v>2701406309.4364386</v>
      </c>
      <c r="K60" s="11">
        <f t="shared" si="7"/>
        <v>2.0019999999999927E-2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11"/>
      <c r="H61" s="10"/>
      <c r="I61" s="10">
        <f t="shared" si="8"/>
        <v>40873</v>
      </c>
      <c r="J61" s="10">
        <f t="shared" si="6"/>
        <v>2648385629.1410351</v>
      </c>
      <c r="K61" s="11">
        <f t="shared" si="7"/>
        <v>2.1810000000000107E-2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11"/>
      <c r="H62" s="10"/>
      <c r="I62" s="10">
        <f t="shared" si="8"/>
        <v>40873</v>
      </c>
      <c r="J62" s="10">
        <f t="shared" si="6"/>
        <v>2591857223.1051121</v>
      </c>
      <c r="K62" s="11">
        <f t="shared" si="7"/>
        <v>2.2860000000000102E-2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11"/>
      <c r="H63" s="10"/>
      <c r="I63" s="10">
        <f t="shared" si="8"/>
        <v>40873</v>
      </c>
      <c r="J63" s="10">
        <f t="shared" si="6"/>
        <v>2533931547.9196682</v>
      </c>
      <c r="K63" s="11">
        <f t="shared" si="7"/>
        <v>2.3330000000000073E-2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11"/>
      <c r="H64" s="10"/>
      <c r="I64" s="10">
        <f t="shared" si="8"/>
        <v>40873</v>
      </c>
      <c r="J64" s="10">
        <f t="shared" si="6"/>
        <v>2476162672.764082</v>
      </c>
      <c r="K64" s="11">
        <f t="shared" si="7"/>
        <v>1.652000000000009E-2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11"/>
      <c r="H65" s="10"/>
      <c r="I65" s="10">
        <f t="shared" si="8"/>
        <v>40873</v>
      </c>
      <c r="J65" s="10">
        <f t="shared" si="6"/>
        <v>2435921253.6537223</v>
      </c>
      <c r="K65" s="11">
        <f t="shared" si="7"/>
        <v>1.5430000000000055E-2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6">
        <f>SUM(F2)</f>
        <v>133065</v>
      </c>
      <c r="G66" s="11"/>
      <c r="H66" s="10"/>
      <c r="I66" s="10">
        <f t="shared" si="8"/>
        <v>40873</v>
      </c>
      <c r="J66" s="10">
        <f t="shared" ref="J66:J97" si="9">IF(I66="","",I66*C66)</f>
        <v>2398906132.0364003</v>
      </c>
      <c r="K66" s="11">
        <f t="shared" ref="K66:K97" si="10">IFERROR(J66/J67-1,"")</f>
        <v>2.2860000000000102E-2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11"/>
      <c r="H67" s="10"/>
      <c r="I67" s="10">
        <f t="shared" ref="I67:I98" si="11">IF(H67&lt;&gt;"",H67,I66/(1+IF(G66="",0,G66)))</f>
        <v>40873</v>
      </c>
      <c r="J67" s="10">
        <f t="shared" si="9"/>
        <v>2345292740</v>
      </c>
      <c r="K67" s="11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5">
        <v>53637198</v>
      </c>
      <c r="G2" s="11"/>
      <c r="H2" s="10"/>
      <c r="I2" s="10">
        <f>IF(H2&lt;&gt;"",H2,15556)</f>
        <v>15556</v>
      </c>
      <c r="J2" s="10">
        <f t="shared" ref="J2:J33" si="3">IF(I2="","",I2*C2)</f>
        <v>834378684792.30334</v>
      </c>
      <c r="K2" s="11">
        <f t="shared" ref="K2:K33" si="4">IFERROR(J2/J3-1,"")</f>
        <v>4.9999999999998934E-3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11"/>
      <c r="H3" s="10"/>
      <c r="I3" s="10">
        <f t="shared" ref="I3:I34" si="5">IF(H3&lt;&gt;"",H3,I2/(1+IF(G2="",0,G2)))</f>
        <v>15556</v>
      </c>
      <c r="J3" s="10">
        <f t="shared" si="3"/>
        <v>830227547057.01831</v>
      </c>
      <c r="K3" s="11">
        <f t="shared" si="4"/>
        <v>4.9999999999998934E-3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11"/>
      <c r="H4" s="10"/>
      <c r="I4" s="10">
        <f t="shared" si="5"/>
        <v>15556</v>
      </c>
      <c r="J4" s="10">
        <f t="shared" si="3"/>
        <v>826097061748.27698</v>
      </c>
      <c r="K4" s="11">
        <f t="shared" si="4"/>
        <v>4.1999999999999815E-3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11"/>
      <c r="H5" s="10"/>
      <c r="I5" s="10">
        <f t="shared" si="5"/>
        <v>15556</v>
      </c>
      <c r="J5" s="10">
        <f t="shared" si="3"/>
        <v>822641965493.20544</v>
      </c>
      <c r="K5" s="11">
        <f t="shared" si="4"/>
        <v>5.7000000000000384E-3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11"/>
      <c r="H6" s="10"/>
      <c r="I6" s="10">
        <f t="shared" si="5"/>
        <v>15556</v>
      </c>
      <c r="J6" s="10">
        <f t="shared" si="3"/>
        <v>817979482443.27881</v>
      </c>
      <c r="K6" s="11">
        <f t="shared" si="4"/>
        <v>6.8999999999999062E-3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11"/>
      <c r="H7" s="10"/>
      <c r="I7" s="10">
        <f t="shared" si="5"/>
        <v>15556</v>
      </c>
      <c r="J7" s="10">
        <f t="shared" si="3"/>
        <v>812374101145.37573</v>
      </c>
      <c r="K7" s="11">
        <f t="shared" si="4"/>
        <v>6.9999999999998952E-3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11"/>
      <c r="H8" s="10"/>
      <c r="I8" s="10">
        <f t="shared" si="5"/>
        <v>15556</v>
      </c>
      <c r="J8" s="10">
        <f t="shared" si="3"/>
        <v>806727012060.94922</v>
      </c>
      <c r="K8" s="11">
        <f t="shared" si="4"/>
        <v>6.9999999999998952E-3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11"/>
      <c r="H9" s="10"/>
      <c r="I9" s="10">
        <f t="shared" si="5"/>
        <v>15556</v>
      </c>
      <c r="J9" s="10">
        <f t="shared" si="3"/>
        <v>801119177816.2356</v>
      </c>
      <c r="K9" s="11">
        <f t="shared" si="4"/>
        <v>7.1000000000001062E-3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11"/>
      <c r="H10" s="10"/>
      <c r="I10" s="10">
        <f t="shared" si="5"/>
        <v>15556</v>
      </c>
      <c r="J10" s="10">
        <f t="shared" si="3"/>
        <v>795471331363.5542</v>
      </c>
      <c r="K10" s="11">
        <f t="shared" si="4"/>
        <v>7.4000000000000732E-3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11"/>
      <c r="H11" s="10"/>
      <c r="I11" s="10">
        <f t="shared" si="5"/>
        <v>15556</v>
      </c>
      <c r="J11" s="10">
        <f t="shared" si="3"/>
        <v>789628083545.31873</v>
      </c>
      <c r="K11" s="11">
        <f t="shared" si="4"/>
        <v>7.7000000000000401E-3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11"/>
      <c r="H12" s="10"/>
      <c r="I12" s="10">
        <f t="shared" si="5"/>
        <v>15556</v>
      </c>
      <c r="J12" s="10">
        <f t="shared" si="3"/>
        <v>783594406614.38794</v>
      </c>
      <c r="K12" s="11">
        <f t="shared" si="4"/>
        <v>8.0000000000000071E-3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11"/>
      <c r="H13" s="10"/>
      <c r="I13" s="10">
        <f t="shared" si="5"/>
        <v>15556</v>
      </c>
      <c r="J13" s="10">
        <f t="shared" si="3"/>
        <v>777375403387.28955</v>
      </c>
      <c r="K13" s="11">
        <f t="shared" si="4"/>
        <v>8.2999999999999741E-3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11"/>
      <c r="H14" s="10"/>
      <c r="I14" s="10">
        <f t="shared" si="5"/>
        <v>15556</v>
      </c>
      <c r="J14" s="10">
        <f t="shared" si="3"/>
        <v>770976300096.48877</v>
      </c>
      <c r="K14" s="11">
        <f t="shared" si="4"/>
        <v>8.599999999999941E-3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11"/>
      <c r="H15" s="10"/>
      <c r="I15" s="10">
        <f t="shared" si="5"/>
        <v>15556</v>
      </c>
      <c r="J15" s="10">
        <f t="shared" si="3"/>
        <v>764402439120.05627</v>
      </c>
      <c r="K15" s="11">
        <f t="shared" si="4"/>
        <v>8.8999999999996859E-3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11"/>
      <c r="H16" s="10"/>
      <c r="I16" s="10">
        <f t="shared" si="5"/>
        <v>15556</v>
      </c>
      <c r="J16" s="10">
        <f t="shared" si="3"/>
        <v>757659271602.79163</v>
      </c>
      <c r="K16" s="11">
        <f t="shared" si="4"/>
        <v>9.400000000000297E-3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11"/>
      <c r="H17" s="10"/>
      <c r="I17" s="10">
        <f t="shared" si="5"/>
        <v>15556</v>
      </c>
      <c r="J17" s="10">
        <f t="shared" si="3"/>
        <v>750603597783.62537</v>
      </c>
      <c r="K17" s="11">
        <f t="shared" si="4"/>
        <v>9.8000000000000309E-3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11"/>
      <c r="H18" s="10"/>
      <c r="I18" s="10">
        <f t="shared" si="5"/>
        <v>15556</v>
      </c>
      <c r="J18" s="10">
        <f t="shared" si="3"/>
        <v>743319070888.91394</v>
      </c>
      <c r="K18" s="11">
        <f t="shared" si="4"/>
        <v>1.0199999999999765E-2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11"/>
      <c r="H19" s="10"/>
      <c r="I19" s="10">
        <f t="shared" si="5"/>
        <v>15556</v>
      </c>
      <c r="J19" s="10">
        <f t="shared" si="3"/>
        <v>735813770430.52271</v>
      </c>
      <c r="K19" s="11">
        <f t="shared" si="4"/>
        <v>1.0500000000000176E-2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11"/>
      <c r="H20" s="10"/>
      <c r="I20" s="10">
        <f t="shared" si="5"/>
        <v>15556</v>
      </c>
      <c r="J20" s="10">
        <f t="shared" si="3"/>
        <v>728168006363.70374</v>
      </c>
      <c r="K20" s="11">
        <f t="shared" si="4"/>
        <v>1.089999999999991E-2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11"/>
      <c r="H21" s="10"/>
      <c r="I21" s="10">
        <f t="shared" si="5"/>
        <v>15556</v>
      </c>
      <c r="J21" s="10">
        <f t="shared" si="3"/>
        <v>720316555904.34644</v>
      </c>
      <c r="K21" s="11">
        <f t="shared" si="4"/>
        <v>8.799999999999919E-3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11"/>
      <c r="H22" s="10"/>
      <c r="I22" s="10">
        <f t="shared" si="5"/>
        <v>15556</v>
      </c>
      <c r="J22" s="10">
        <f t="shared" si="3"/>
        <v>714033064932.93665</v>
      </c>
      <c r="K22" s="11">
        <f t="shared" si="4"/>
        <v>9.300000000000086E-3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11"/>
      <c r="H23" s="10"/>
      <c r="I23" s="10">
        <f t="shared" si="5"/>
        <v>15556</v>
      </c>
      <c r="J23" s="10">
        <f t="shared" si="3"/>
        <v>707453745103.47424</v>
      </c>
      <c r="K23" s="11">
        <f t="shared" si="4"/>
        <v>9.9000000000000199E-3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11"/>
      <c r="H24" s="10"/>
      <c r="I24" s="10">
        <f t="shared" si="5"/>
        <v>15556</v>
      </c>
      <c r="J24" s="10">
        <f t="shared" si="3"/>
        <v>700518610855.99988</v>
      </c>
      <c r="K24" s="11">
        <f t="shared" si="4"/>
        <v>1.0499999999999954E-2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11"/>
      <c r="H25" s="10"/>
      <c r="I25" s="10">
        <f t="shared" si="5"/>
        <v>15556</v>
      </c>
      <c r="J25" s="10">
        <f t="shared" si="3"/>
        <v>693239595107.37256</v>
      </c>
      <c r="K25" s="11">
        <f t="shared" si="4"/>
        <v>1.089999999999991E-2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11"/>
      <c r="H26" s="10"/>
      <c r="I26" s="10">
        <f t="shared" si="5"/>
        <v>15556</v>
      </c>
      <c r="J26" s="10">
        <f t="shared" si="3"/>
        <v>685764759231.74658</v>
      </c>
      <c r="K26" s="11">
        <f t="shared" si="4"/>
        <v>1.1300000000000088E-2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11"/>
      <c r="H27" s="10"/>
      <c r="I27" s="10">
        <f t="shared" si="5"/>
        <v>15556</v>
      </c>
      <c r="J27" s="10">
        <f t="shared" si="3"/>
        <v>678102204322.89783</v>
      </c>
      <c r="K27" s="11">
        <f t="shared" si="4"/>
        <v>1.1600000000000277E-2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11"/>
      <c r="H28" s="10"/>
      <c r="I28" s="10">
        <f t="shared" si="5"/>
        <v>15556</v>
      </c>
      <c r="J28" s="10">
        <f t="shared" si="3"/>
        <v>670326417875.54138</v>
      </c>
      <c r="K28" s="11">
        <f t="shared" si="4"/>
        <v>1.18999999999998E-2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11"/>
      <c r="H29" s="10"/>
      <c r="I29" s="10">
        <f t="shared" si="5"/>
        <v>15556</v>
      </c>
      <c r="J29" s="10">
        <f t="shared" si="3"/>
        <v>662443342104.49792</v>
      </c>
      <c r="K29" s="11">
        <f t="shared" si="4"/>
        <v>1.2299999999999978E-2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11"/>
      <c r="H30" s="10"/>
      <c r="I30" s="10">
        <f t="shared" si="5"/>
        <v>15556</v>
      </c>
      <c r="J30" s="10">
        <f t="shared" si="3"/>
        <v>654394292309.09607</v>
      </c>
      <c r="K30" s="11">
        <f t="shared" si="4"/>
        <v>1.2799999999999923E-2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11"/>
      <c r="H31" s="10"/>
      <c r="I31" s="10">
        <f t="shared" si="5"/>
        <v>15556</v>
      </c>
      <c r="J31" s="10">
        <f t="shared" si="3"/>
        <v>646123906308.34924</v>
      </c>
      <c r="K31" s="11">
        <f t="shared" si="4"/>
        <v>1.3399999999999856E-2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11"/>
      <c r="H32" s="10"/>
      <c r="I32" s="10">
        <f t="shared" si="5"/>
        <v>15556</v>
      </c>
      <c r="J32" s="10">
        <f t="shared" si="3"/>
        <v>637580329887.85205</v>
      </c>
      <c r="K32" s="11">
        <f t="shared" si="4"/>
        <v>1.5900000000000025E-2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11"/>
      <c r="H33" s="10"/>
      <c r="I33" s="10">
        <f t="shared" si="5"/>
        <v>15556</v>
      </c>
      <c r="J33" s="10">
        <f t="shared" si="3"/>
        <v>627601466569.39856</v>
      </c>
      <c r="K33" s="11">
        <f t="shared" si="4"/>
        <v>1.6599999999999948E-2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11"/>
      <c r="H34" s="10"/>
      <c r="I34" s="10">
        <f t="shared" si="5"/>
        <v>15556</v>
      </c>
      <c r="J34" s="10">
        <f t="shared" ref="J34:J65" si="6">IF(I34="","",I34*C34)</f>
        <v>617353400127.28564</v>
      </c>
      <c r="K34" s="11">
        <f t="shared" ref="K34:K65" si="7">IFERROR(J34/J35-1,"")</f>
        <v>1.7300000000000093E-2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11"/>
      <c r="H35" s="10"/>
      <c r="I35" s="10">
        <f t="shared" ref="I35:I66" si="8">IF(H35&lt;&gt;"",H35,I34/(1+IF(G34="",0,G34)))</f>
        <v>15556</v>
      </c>
      <c r="J35" s="10">
        <f t="shared" si="6"/>
        <v>606854811881.73157</v>
      </c>
      <c r="K35" s="11">
        <f t="shared" si="7"/>
        <v>1.8000000000000238E-2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11"/>
      <c r="H36" s="10"/>
      <c r="I36" s="10">
        <f t="shared" si="8"/>
        <v>15556</v>
      </c>
      <c r="J36" s="10">
        <f t="shared" si="6"/>
        <v>596124569628.41992</v>
      </c>
      <c r="K36" s="11">
        <f t="shared" si="7"/>
        <v>1.8599999999999728E-2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11"/>
      <c r="H37" s="10"/>
      <c r="I37" s="10">
        <f t="shared" si="8"/>
        <v>15556</v>
      </c>
      <c r="J37" s="10">
        <f t="shared" si="6"/>
        <v>585239121959.96472</v>
      </c>
      <c r="K37" s="11">
        <f t="shared" si="7"/>
        <v>1.9300000000000095E-2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11"/>
      <c r="H38" s="10"/>
      <c r="I38" s="10">
        <f t="shared" si="8"/>
        <v>15556</v>
      </c>
      <c r="J38" s="10">
        <f t="shared" si="6"/>
        <v>574157874972.98608</v>
      </c>
      <c r="K38" s="11">
        <f t="shared" si="7"/>
        <v>1.9900000000000029E-2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11"/>
      <c r="H39" s="10"/>
      <c r="I39" s="10">
        <f t="shared" si="8"/>
        <v>15556</v>
      </c>
      <c r="J39" s="10">
        <f t="shared" si="6"/>
        <v>562955069097.93713</v>
      </c>
      <c r="K39" s="11">
        <f t="shared" si="7"/>
        <v>2.0499999999999963E-2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11"/>
      <c r="H40" s="10"/>
      <c r="I40" s="10">
        <f t="shared" si="8"/>
        <v>15556</v>
      </c>
      <c r="J40" s="10">
        <f t="shared" si="6"/>
        <v>551646319547.21912</v>
      </c>
      <c r="K40" s="11">
        <f t="shared" si="7"/>
        <v>2.1099999999999897E-2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11"/>
      <c r="H41" s="10"/>
      <c r="I41" s="10">
        <f t="shared" si="8"/>
        <v>15556</v>
      </c>
      <c r="J41" s="10">
        <f t="shared" si="6"/>
        <v>540247105618.66534</v>
      </c>
      <c r="K41" s="11">
        <f t="shared" si="7"/>
        <v>2.1700000000000053E-2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11"/>
      <c r="H42" s="10"/>
      <c r="I42" s="10">
        <f t="shared" si="8"/>
        <v>15556</v>
      </c>
      <c r="J42" s="10">
        <f t="shared" si="6"/>
        <v>528772737220.97021</v>
      </c>
      <c r="K42" s="11">
        <f t="shared" si="7"/>
        <v>2.2299999999999986E-2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11"/>
      <c r="H43" s="10"/>
      <c r="I43" s="10">
        <f t="shared" si="8"/>
        <v>15556</v>
      </c>
      <c r="J43" s="10">
        <f t="shared" si="6"/>
        <v>517238322626.40149</v>
      </c>
      <c r="K43" s="11">
        <f t="shared" si="7"/>
        <v>2.289999999999992E-2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11"/>
      <c r="H44" s="10"/>
      <c r="I44" s="10">
        <f t="shared" si="8"/>
        <v>15556</v>
      </c>
      <c r="J44" s="10">
        <f t="shared" si="6"/>
        <v>505658737536.80865</v>
      </c>
      <c r="K44" s="11">
        <f t="shared" si="7"/>
        <v>2.3500000000000076E-2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11"/>
      <c r="H45" s="10"/>
      <c r="I45" s="10">
        <f t="shared" si="8"/>
        <v>15556</v>
      </c>
      <c r="J45" s="10">
        <f t="shared" si="6"/>
        <v>494048595541.58142</v>
      </c>
      <c r="K45" s="11">
        <f t="shared" si="7"/>
        <v>2.4199999999999999E-2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11"/>
      <c r="H46" s="10"/>
      <c r="I46" s="10">
        <f t="shared" si="8"/>
        <v>15556</v>
      </c>
      <c r="J46" s="10">
        <f t="shared" si="6"/>
        <v>482375117693.40112</v>
      </c>
      <c r="K46" s="11">
        <f t="shared" si="7"/>
        <v>2.4999999999999911E-2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11"/>
      <c r="H47" s="10"/>
      <c r="I47" s="10">
        <f t="shared" si="8"/>
        <v>15556</v>
      </c>
      <c r="J47" s="10">
        <f t="shared" si="6"/>
        <v>470609870920.39142</v>
      </c>
      <c r="K47" s="11">
        <f t="shared" si="7"/>
        <v>2.5900000000000034E-2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11"/>
      <c r="H48" s="10"/>
      <c r="I48" s="10">
        <f t="shared" si="8"/>
        <v>15556</v>
      </c>
      <c r="J48" s="10">
        <f t="shared" si="6"/>
        <v>458728795126.61212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11"/>
      <c r="H49" s="10"/>
      <c r="I49" s="10">
        <f t="shared" si="8"/>
        <v>15556</v>
      </c>
      <c r="J49" s="10">
        <f t="shared" si="6"/>
        <v>446799255017.64111</v>
      </c>
      <c r="K49" s="11">
        <f t="shared" si="7"/>
        <v>2.7400000000000091E-2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11"/>
      <c r="H50" s="10"/>
      <c r="I50" s="10">
        <f t="shared" si="8"/>
        <v>15556</v>
      </c>
      <c r="J50" s="10">
        <f t="shared" si="6"/>
        <v>434883448527.97461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11"/>
      <c r="H51" s="10"/>
      <c r="I51" s="10">
        <f t="shared" si="8"/>
        <v>15556</v>
      </c>
      <c r="J51" s="10">
        <f t="shared" si="6"/>
        <v>423038374054.45001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11"/>
      <c r="H52" s="10"/>
      <c r="I52" s="10">
        <f t="shared" si="8"/>
        <v>15556</v>
      </c>
      <c r="J52" s="10">
        <f t="shared" si="6"/>
        <v>411395870907.76038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11"/>
      <c r="H53" s="10"/>
      <c r="I53" s="10">
        <f t="shared" si="8"/>
        <v>15556</v>
      </c>
      <c r="J53" s="10">
        <f t="shared" si="6"/>
        <v>400073782853.01996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11"/>
      <c r="H54" s="10"/>
      <c r="I54" s="10">
        <f t="shared" si="8"/>
        <v>15556</v>
      </c>
      <c r="J54" s="10">
        <f t="shared" si="6"/>
        <v>389101130959.9494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11"/>
      <c r="H55" s="10"/>
      <c r="I55" s="10">
        <f t="shared" si="8"/>
        <v>15556</v>
      </c>
      <c r="J55" s="10">
        <f t="shared" si="6"/>
        <v>378539868625.30341</v>
      </c>
      <c r="K55" s="11">
        <f t="shared" si="7"/>
        <v>2.7600000000000069E-2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11"/>
      <c r="H56" s="10"/>
      <c r="I56" s="10">
        <f t="shared" si="8"/>
        <v>15556</v>
      </c>
      <c r="J56" s="10">
        <f t="shared" si="6"/>
        <v>368372779900.06165</v>
      </c>
      <c r="K56" s="11">
        <f t="shared" si="7"/>
        <v>2.7300000000000102E-2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11"/>
      <c r="H57" s="10"/>
      <c r="I57" s="10">
        <f t="shared" si="8"/>
        <v>15556</v>
      </c>
      <c r="J57" s="10">
        <f t="shared" si="6"/>
        <v>358583451669.48468</v>
      </c>
      <c r="K57" s="11">
        <f t="shared" si="7"/>
        <v>2.7099999999999902E-2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11"/>
      <c r="H58" s="10"/>
      <c r="I58" s="10">
        <f t="shared" si="8"/>
        <v>15556</v>
      </c>
      <c r="J58" s="10">
        <f t="shared" si="6"/>
        <v>349122238992.7804</v>
      </c>
      <c r="K58" s="11">
        <f t="shared" si="7"/>
        <v>2.709999999999968E-2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11"/>
      <c r="H59" s="10"/>
      <c r="I59" s="10">
        <f t="shared" si="8"/>
        <v>15556</v>
      </c>
      <c r="J59" s="10">
        <f t="shared" si="6"/>
        <v>339910660103.96307</v>
      </c>
      <c r="K59" s="11">
        <f t="shared" si="7"/>
        <v>2.7300000000000102E-2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11"/>
      <c r="H60" s="10"/>
      <c r="I60" s="10">
        <f t="shared" si="8"/>
        <v>15556</v>
      </c>
      <c r="J60" s="10">
        <f t="shared" si="6"/>
        <v>330877698923.35541</v>
      </c>
      <c r="K60" s="11">
        <f t="shared" si="7"/>
        <v>2.7800000000000047E-2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11"/>
      <c r="H61" s="10"/>
      <c r="I61" s="10">
        <f t="shared" si="8"/>
        <v>15556</v>
      </c>
      <c r="J61" s="10">
        <f t="shared" si="6"/>
        <v>321928097804.39325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11"/>
      <c r="H62" s="10"/>
      <c r="I62" s="10">
        <f t="shared" si="8"/>
        <v>15556</v>
      </c>
      <c r="J62" s="10">
        <f t="shared" si="6"/>
        <v>313037823613.76239</v>
      </c>
      <c r="K62" s="11">
        <f t="shared" si="7"/>
        <v>2.9099999999999904E-2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11"/>
      <c r="H63" s="10"/>
      <c r="I63" s="10">
        <f t="shared" si="8"/>
        <v>15556</v>
      </c>
      <c r="J63" s="10">
        <f t="shared" si="6"/>
        <v>304186010702.32477</v>
      </c>
      <c r="K63" s="11">
        <f t="shared" si="7"/>
        <v>2.9600000000000071E-2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11"/>
      <c r="H64" s="10"/>
      <c r="I64" s="10">
        <f t="shared" si="8"/>
        <v>15556</v>
      </c>
      <c r="J64" s="10">
        <f t="shared" si="6"/>
        <v>295440958335.59125</v>
      </c>
      <c r="K64" s="11">
        <f t="shared" si="7"/>
        <v>2.9799999999999827E-2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11"/>
      <c r="H65" s="10"/>
      <c r="I65" s="10">
        <f t="shared" si="8"/>
        <v>15556</v>
      </c>
      <c r="J65" s="10">
        <f t="shared" si="6"/>
        <v>286891588983.87189</v>
      </c>
      <c r="K65" s="11">
        <f t="shared" si="7"/>
        <v>2.9600000000000071E-2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6">
        <f>SUM(F2)</f>
        <v>53637198</v>
      </c>
      <c r="G66" s="11"/>
      <c r="H66" s="10"/>
      <c r="I66" s="10">
        <f t="shared" si="8"/>
        <v>15556</v>
      </c>
      <c r="J66" s="10">
        <f t="shared" ref="J66:J97" si="9">IF(I66="","",I66*C66)</f>
        <v>278643734444.32001</v>
      </c>
      <c r="K66" s="11">
        <f t="shared" ref="K66:K97" si="10">IFERROR(J66/J67-1,"")</f>
        <v>2.9200000000000115E-2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11"/>
      <c r="H67" s="10"/>
      <c r="I67" s="10">
        <f t="shared" ref="I67:I98" si="11">IF(H67&lt;&gt;"",H67,I66/(1+IF(G66="",0,G66)))</f>
        <v>15556</v>
      </c>
      <c r="J67" s="10">
        <f t="shared" si="9"/>
        <v>270738179600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5">
        <v>12224862</v>
      </c>
      <c r="G2" s="11"/>
      <c r="H2" s="10"/>
      <c r="I2" s="10">
        <f>IF(H2&lt;&gt;"",H2,3675)</f>
        <v>3675</v>
      </c>
      <c r="J2" s="10">
        <f t="shared" ref="J2:J33" si="3">IF(I2="","",I2*C2)</f>
        <v>44925642765.310257</v>
      </c>
      <c r="K2" s="11">
        <f t="shared" ref="K2:K33" si="4">IFERROR(J2/J3-1,"")</f>
        <v>2.5619999999999976E-2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11"/>
      <c r="H3" s="10"/>
      <c r="I3" s="10">
        <f t="shared" ref="I3:I34" si="5">IF(H3&lt;&gt;"",H3,I2/(1+IF(G2="",0,G2)))</f>
        <v>3675</v>
      </c>
      <c r="J3" s="10">
        <f t="shared" si="3"/>
        <v>43803399665.870651</v>
      </c>
      <c r="K3" s="11">
        <f t="shared" si="4"/>
        <v>2.4999999999999689E-2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11"/>
      <c r="H4" s="10"/>
      <c r="I4" s="10">
        <f t="shared" si="5"/>
        <v>3675</v>
      </c>
      <c r="J4" s="10">
        <f t="shared" si="3"/>
        <v>42735024064.264061</v>
      </c>
      <c r="K4" s="11">
        <f t="shared" si="4"/>
        <v>2.4599999999999955E-2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11"/>
      <c r="H5" s="10"/>
      <c r="I5" s="10">
        <f t="shared" si="5"/>
        <v>3675</v>
      </c>
      <c r="J5" s="10">
        <f t="shared" si="3"/>
        <v>41708983080.484154</v>
      </c>
      <c r="K5" s="11">
        <f t="shared" si="4"/>
        <v>2.4289999999999923E-2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11"/>
      <c r="H6" s="10"/>
      <c r="I6" s="10">
        <f t="shared" si="5"/>
        <v>3675</v>
      </c>
      <c r="J6" s="10">
        <f t="shared" si="3"/>
        <v>40719896787.515411</v>
      </c>
      <c r="K6" s="11">
        <f t="shared" si="4"/>
        <v>2.4800000000000155E-2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11"/>
      <c r="H7" s="10"/>
      <c r="I7" s="10">
        <f t="shared" si="5"/>
        <v>3675</v>
      </c>
      <c r="J7" s="10">
        <f t="shared" si="3"/>
        <v>39734481642.774597</v>
      </c>
      <c r="K7" s="11">
        <f t="shared" si="4"/>
        <v>2.4739999999999984E-2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11"/>
      <c r="H8" s="10"/>
      <c r="I8" s="10">
        <f t="shared" si="5"/>
        <v>3675</v>
      </c>
      <c r="J8" s="10">
        <f t="shared" si="3"/>
        <v>38775183600.498268</v>
      </c>
      <c r="K8" s="11">
        <f t="shared" si="4"/>
        <v>2.4439999999999795E-2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11"/>
      <c r="H9" s="10"/>
      <c r="I9" s="10">
        <f t="shared" si="5"/>
        <v>3675</v>
      </c>
      <c r="J9" s="10">
        <f t="shared" si="3"/>
        <v>37850126508.627419</v>
      </c>
      <c r="K9" s="11">
        <f t="shared" si="4"/>
        <v>2.4389999999999912E-2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11"/>
      <c r="H10" s="10"/>
      <c r="I10" s="10">
        <f t="shared" si="5"/>
        <v>3675</v>
      </c>
      <c r="J10" s="10">
        <f t="shared" si="3"/>
        <v>36948941817.693871</v>
      </c>
      <c r="K10" s="11">
        <f t="shared" si="4"/>
        <v>2.3989999999999956E-2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11"/>
      <c r="H11" s="10"/>
      <c r="I11" s="10">
        <f t="shared" si="5"/>
        <v>3675</v>
      </c>
      <c r="J11" s="10">
        <f t="shared" si="3"/>
        <v>36083303369.851143</v>
      </c>
      <c r="K11" s="11">
        <f t="shared" si="4"/>
        <v>2.2289999999999921E-2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11"/>
      <c r="H12" s="10"/>
      <c r="I12" s="10">
        <f t="shared" si="5"/>
        <v>3675</v>
      </c>
      <c r="J12" s="10">
        <f t="shared" si="3"/>
        <v>35296543417.084335</v>
      </c>
      <c r="K12" s="11">
        <f t="shared" si="4"/>
        <v>1.9490000000000007E-2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11"/>
      <c r="H13" s="10"/>
      <c r="I13" s="10">
        <f t="shared" si="5"/>
        <v>3675</v>
      </c>
      <c r="J13" s="10">
        <f t="shared" si="3"/>
        <v>34621765213.081383</v>
      </c>
      <c r="K13" s="11">
        <f t="shared" si="4"/>
        <v>2.0529999999999715E-2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11"/>
      <c r="H14" s="10"/>
      <c r="I14" s="10">
        <f t="shared" si="5"/>
        <v>3675</v>
      </c>
      <c r="J14" s="10">
        <f t="shared" si="3"/>
        <v>33925279230.479645</v>
      </c>
      <c r="K14" s="11">
        <f t="shared" si="4"/>
        <v>2.2299999999999986E-2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11"/>
      <c r="H15" s="10"/>
      <c r="I15" s="10">
        <f t="shared" si="5"/>
        <v>3675</v>
      </c>
      <c r="J15" s="10">
        <f t="shared" si="3"/>
        <v>33185248195.715195</v>
      </c>
      <c r="K15" s="11">
        <f t="shared" si="4"/>
        <v>2.255000000000007E-2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11"/>
      <c r="H16" s="10"/>
      <c r="I16" s="10">
        <f t="shared" si="5"/>
        <v>3675</v>
      </c>
      <c r="J16" s="10">
        <f t="shared" si="3"/>
        <v>32453423495.88303</v>
      </c>
      <c r="K16" s="11">
        <f t="shared" si="4"/>
        <v>8.499999999999952E-3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11"/>
      <c r="H17" s="10"/>
      <c r="I17" s="10">
        <f t="shared" si="5"/>
        <v>3675</v>
      </c>
      <c r="J17" s="10">
        <f t="shared" si="3"/>
        <v>32179894393.53796</v>
      </c>
      <c r="K17" s="11">
        <f t="shared" si="4"/>
        <v>1.7749999999999932E-2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11"/>
      <c r="H18" s="10"/>
      <c r="I18" s="10">
        <f t="shared" si="5"/>
        <v>3675</v>
      </c>
      <c r="J18" s="10">
        <f t="shared" si="3"/>
        <v>31618663123.102886</v>
      </c>
      <c r="K18" s="11">
        <f t="shared" si="4"/>
        <v>2.1509999999999918E-2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11"/>
      <c r="H19" s="10"/>
      <c r="I19" s="10">
        <f t="shared" si="5"/>
        <v>3675</v>
      </c>
      <c r="J19" s="10">
        <f t="shared" si="3"/>
        <v>30952866954.902924</v>
      </c>
      <c r="K19" s="11">
        <f t="shared" si="4"/>
        <v>2.3320000000000007E-2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11"/>
      <c r="H20" s="10"/>
      <c r="I20" s="10">
        <f t="shared" si="5"/>
        <v>3675</v>
      </c>
      <c r="J20" s="10">
        <f t="shared" si="3"/>
        <v>30247495363.0369</v>
      </c>
      <c r="K20" s="11">
        <f t="shared" si="4"/>
        <v>1.4219999999999899E-2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11"/>
      <c r="H21" s="10"/>
      <c r="I21" s="10">
        <f t="shared" si="5"/>
        <v>3675</v>
      </c>
      <c r="J21" s="10">
        <f t="shared" si="3"/>
        <v>29823406522.28994</v>
      </c>
      <c r="K21" s="11">
        <f t="shared" si="4"/>
        <v>2.7020000000000044E-2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11"/>
      <c r="H22" s="10"/>
      <c r="I22" s="10">
        <f t="shared" si="5"/>
        <v>3675</v>
      </c>
      <c r="J22" s="10">
        <f t="shared" si="3"/>
        <v>29038778721.241982</v>
      </c>
      <c r="K22" s="11">
        <f t="shared" si="4"/>
        <v>2.9609999999999914E-2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11"/>
      <c r="H23" s="10"/>
      <c r="I23" s="10">
        <f t="shared" si="5"/>
        <v>3675</v>
      </c>
      <c r="J23" s="10">
        <f t="shared" si="3"/>
        <v>28203668108.547878</v>
      </c>
      <c r="K23" s="11">
        <f t="shared" si="4"/>
        <v>2.6229999999999976E-2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11"/>
      <c r="H24" s="10"/>
      <c r="I24" s="10">
        <f t="shared" si="5"/>
        <v>3675</v>
      </c>
      <c r="J24" s="10">
        <f t="shared" si="3"/>
        <v>27482794411.143585</v>
      </c>
      <c r="K24" s="11">
        <f t="shared" si="4"/>
        <v>3.3849999999999936E-2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11"/>
      <c r="H25" s="10"/>
      <c r="I25" s="10">
        <f t="shared" si="5"/>
        <v>3675</v>
      </c>
      <c r="J25" s="10">
        <f t="shared" si="3"/>
        <v>26582961175.357727</v>
      </c>
      <c r="K25" s="11">
        <f t="shared" si="4"/>
        <v>2.6960000000000095E-2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11"/>
      <c r="H26" s="10"/>
      <c r="I26" s="10">
        <f t="shared" si="5"/>
        <v>3675</v>
      </c>
      <c r="J26" s="10">
        <f t="shared" si="3"/>
        <v>25885098908.777096</v>
      </c>
      <c r="K26" s="11">
        <f t="shared" si="4"/>
        <v>3.7039999999999962E-2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11"/>
      <c r="H27" s="10"/>
      <c r="I27" s="10">
        <f t="shared" si="5"/>
        <v>3675</v>
      </c>
      <c r="J27" s="10">
        <f t="shared" si="3"/>
        <v>24960559774.721416</v>
      </c>
      <c r="K27" s="11">
        <f t="shared" si="4"/>
        <v>4.3150000000000022E-2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11"/>
      <c r="H28" s="10"/>
      <c r="I28" s="10">
        <f t="shared" si="5"/>
        <v>3675</v>
      </c>
      <c r="J28" s="10">
        <f t="shared" si="3"/>
        <v>23928063820.851665</v>
      </c>
      <c r="K28" s="11">
        <f t="shared" si="4"/>
        <v>2.566999999999986E-2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11"/>
      <c r="H29" s="10"/>
      <c r="I29" s="10">
        <f t="shared" si="5"/>
        <v>3675</v>
      </c>
      <c r="J29" s="10">
        <f t="shared" si="3"/>
        <v>23329203175.340672</v>
      </c>
      <c r="K29" s="11">
        <f t="shared" si="4"/>
        <v>2.6240000000000041E-2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11"/>
      <c r="H30" s="10"/>
      <c r="I30" s="10">
        <f t="shared" si="5"/>
        <v>3675</v>
      </c>
      <c r="J30" s="10">
        <f t="shared" si="3"/>
        <v>22732697200.791889</v>
      </c>
      <c r="K30" s="11">
        <f t="shared" si="4"/>
        <v>2.6070000000000038E-2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11"/>
      <c r="H31" s="10"/>
      <c r="I31" s="10">
        <f t="shared" si="5"/>
        <v>3675</v>
      </c>
      <c r="J31" s="10">
        <f t="shared" si="3"/>
        <v>22155113394.594803</v>
      </c>
      <c r="K31" s="11">
        <f t="shared" si="4"/>
        <v>2.526000000000006E-2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11"/>
      <c r="H32" s="10"/>
      <c r="I32" s="10">
        <f t="shared" si="5"/>
        <v>3675</v>
      </c>
      <c r="J32" s="10">
        <f t="shared" si="3"/>
        <v>21609263401.083435</v>
      </c>
      <c r="K32" s="11">
        <f t="shared" si="4"/>
        <v>2.4130000000000207E-2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11"/>
      <c r="H33" s="10"/>
      <c r="I33" s="10">
        <f t="shared" si="5"/>
        <v>3675</v>
      </c>
      <c r="J33" s="10">
        <f t="shared" si="3"/>
        <v>21100117564.257889</v>
      </c>
      <c r="K33" s="11">
        <f t="shared" si="4"/>
        <v>2.2849999999999815E-2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11"/>
      <c r="H34" s="10"/>
      <c r="I34" s="10">
        <f t="shared" si="5"/>
        <v>3675</v>
      </c>
      <c r="J34" s="10">
        <f t="shared" ref="J34:J65" si="6">IF(I34="","",I34*C34)</f>
        <v>20628750612.756409</v>
      </c>
      <c r="K34" s="11">
        <f t="shared" ref="K34:K65" si="7">IFERROR(J34/J35-1,"")</f>
        <v>2.1530000000000049E-2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11"/>
      <c r="H35" s="10"/>
      <c r="I35" s="10">
        <f t="shared" ref="I35:I66" si="8">IF(H35&lt;&gt;"",H35,I34/(1+IF(G34="",0,G34)))</f>
        <v>3675</v>
      </c>
      <c r="J35" s="10">
        <f t="shared" si="6"/>
        <v>20193974345.10627</v>
      </c>
      <c r="K35" s="11">
        <f t="shared" si="7"/>
        <v>2.0760000000000112E-2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11"/>
      <c r="H36" s="10"/>
      <c r="I36" s="10">
        <f t="shared" si="8"/>
        <v>3675</v>
      </c>
      <c r="J36" s="10">
        <f t="shared" si="6"/>
        <v>19783273585.47187</v>
      </c>
      <c r="K36" s="11">
        <f t="shared" si="7"/>
        <v>1.9409999999999927E-2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11"/>
      <c r="H37" s="10"/>
      <c r="I37" s="10">
        <f t="shared" si="8"/>
        <v>3675</v>
      </c>
      <c r="J37" s="10">
        <f t="shared" si="6"/>
        <v>19406591641.706352</v>
      </c>
      <c r="K37" s="11">
        <f t="shared" si="7"/>
        <v>1.8210000000000059E-2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11"/>
      <c r="H38" s="10"/>
      <c r="I38" s="10">
        <f t="shared" si="8"/>
        <v>3675</v>
      </c>
      <c r="J38" s="10">
        <f t="shared" si="6"/>
        <v>19059517822.16473</v>
      </c>
      <c r="K38" s="11">
        <f t="shared" si="7"/>
        <v>1.7020000000000035E-2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11"/>
      <c r="H39" s="10"/>
      <c r="I39" s="10">
        <f t="shared" si="8"/>
        <v>3675</v>
      </c>
      <c r="J39" s="10">
        <f t="shared" si="6"/>
        <v>18740553599.894524</v>
      </c>
      <c r="K39" s="11">
        <f t="shared" si="7"/>
        <v>1.6089999999999716E-2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11"/>
      <c r="H40" s="10"/>
      <c r="I40" s="10">
        <f t="shared" si="8"/>
        <v>3675</v>
      </c>
      <c r="J40" s="10">
        <f t="shared" si="6"/>
        <v>18443792970.99128</v>
      </c>
      <c r="K40" s="11">
        <f t="shared" si="7"/>
        <v>1.5619999999999967E-2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11"/>
      <c r="H41" s="10"/>
      <c r="I41" s="10">
        <f t="shared" si="8"/>
        <v>3675</v>
      </c>
      <c r="J41" s="10">
        <f t="shared" si="6"/>
        <v>18160131713.624466</v>
      </c>
      <c r="K41" s="11">
        <f t="shared" si="7"/>
        <v>1.5490000000000004E-2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11"/>
      <c r="H42" s="10"/>
      <c r="I42" s="10">
        <f t="shared" si="8"/>
        <v>3675</v>
      </c>
      <c r="J42" s="10">
        <f t="shared" si="6"/>
        <v>17883122151.497765</v>
      </c>
      <c r="K42" s="11">
        <f t="shared" si="7"/>
        <v>1.5700000000000047E-2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11"/>
      <c r="H43" s="10"/>
      <c r="I43" s="10">
        <f t="shared" si="8"/>
        <v>3675</v>
      </c>
      <c r="J43" s="10">
        <f t="shared" si="6"/>
        <v>17606697008.464867</v>
      </c>
      <c r="K43" s="11">
        <f t="shared" si="7"/>
        <v>1.6080000000000316E-2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11"/>
      <c r="H44" s="10"/>
      <c r="I44" s="10">
        <f t="shared" si="8"/>
        <v>3675</v>
      </c>
      <c r="J44" s="10">
        <f t="shared" si="6"/>
        <v>17328061775.120918</v>
      </c>
      <c r="K44" s="11">
        <f t="shared" si="7"/>
        <v>1.6580000000000039E-2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11"/>
      <c r="H45" s="10"/>
      <c r="I45" s="10">
        <f t="shared" si="8"/>
        <v>3675</v>
      </c>
      <c r="J45" s="10">
        <f t="shared" si="6"/>
        <v>17045448243.247868</v>
      </c>
      <c r="K45" s="11">
        <f t="shared" si="7"/>
        <v>1.700999999999997E-2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11"/>
      <c r="H46" s="10"/>
      <c r="I46" s="10">
        <f t="shared" si="8"/>
        <v>3675</v>
      </c>
      <c r="J46" s="10">
        <f t="shared" si="6"/>
        <v>16760354611.309494</v>
      </c>
      <c r="K46" s="11">
        <f t="shared" si="7"/>
        <v>1.76400000000001E-2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11"/>
      <c r="H47" s="10"/>
      <c r="I47" s="10">
        <f t="shared" si="8"/>
        <v>3675</v>
      </c>
      <c r="J47" s="10">
        <f t="shared" si="6"/>
        <v>16469826865.40377</v>
      </c>
      <c r="K47" s="11">
        <f t="shared" si="7"/>
        <v>1.8350000000000088E-2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11"/>
      <c r="H48" s="10"/>
      <c r="I48" s="10">
        <f t="shared" si="8"/>
        <v>3675</v>
      </c>
      <c r="J48" s="10">
        <f t="shared" si="6"/>
        <v>16173051372.71446</v>
      </c>
      <c r="K48" s="11">
        <f t="shared" si="7"/>
        <v>1.9050000000000011E-2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11"/>
      <c r="H49" s="10"/>
      <c r="I49" s="10">
        <f t="shared" si="8"/>
        <v>3675</v>
      </c>
      <c r="J49" s="10">
        <f t="shared" si="6"/>
        <v>15870714265.948149</v>
      </c>
      <c r="K49" s="11">
        <f t="shared" si="7"/>
        <v>1.9309999999999938E-2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11"/>
      <c r="H50" s="10"/>
      <c r="I50" s="10">
        <f t="shared" si="8"/>
        <v>3675</v>
      </c>
      <c r="J50" s="10">
        <f t="shared" si="6"/>
        <v>15570056475.408022</v>
      </c>
      <c r="K50" s="11">
        <f t="shared" si="7"/>
        <v>1.9120000000000026E-2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11"/>
      <c r="H51" s="10"/>
      <c r="I51" s="10">
        <f t="shared" si="8"/>
        <v>3675</v>
      </c>
      <c r="J51" s="10">
        <f t="shared" si="6"/>
        <v>15277942220.158588</v>
      </c>
      <c r="K51" s="11">
        <f t="shared" si="7"/>
        <v>1.8860000000000099E-2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11"/>
      <c r="H52" s="10"/>
      <c r="I52" s="10">
        <f t="shared" si="8"/>
        <v>3675</v>
      </c>
      <c r="J52" s="10">
        <f t="shared" si="6"/>
        <v>14995133993.049671</v>
      </c>
      <c r="K52" s="11">
        <f t="shared" si="7"/>
        <v>1.8540000000000001E-2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11"/>
      <c r="H53" s="10"/>
      <c r="I53" s="10">
        <f t="shared" si="8"/>
        <v>3675</v>
      </c>
      <c r="J53" s="10">
        <f t="shared" si="6"/>
        <v>14722184688.917147</v>
      </c>
      <c r="K53" s="11">
        <f t="shared" si="7"/>
        <v>1.8290000000000139E-2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11"/>
      <c r="H54" s="10"/>
      <c r="I54" s="10">
        <f t="shared" si="8"/>
        <v>3675</v>
      </c>
      <c r="J54" s="10">
        <f t="shared" si="6"/>
        <v>14457752397.56567</v>
      </c>
      <c r="K54" s="11">
        <f t="shared" si="7"/>
        <v>1.8040000000000056E-2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11"/>
      <c r="H55" s="10"/>
      <c r="I55" s="10">
        <f t="shared" si="8"/>
        <v>3675</v>
      </c>
      <c r="J55" s="10">
        <f t="shared" si="6"/>
        <v>14201556321.525352</v>
      </c>
      <c r="K55" s="11">
        <f t="shared" si="7"/>
        <v>1.7830000000000013E-2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11"/>
      <c r="H56" s="10"/>
      <c r="I56" s="10">
        <f t="shared" si="8"/>
        <v>3675</v>
      </c>
      <c r="J56" s="10">
        <f t="shared" si="6"/>
        <v>13952778284.708992</v>
      </c>
      <c r="K56" s="11">
        <f t="shared" si="7"/>
        <v>1.7619999999999969E-2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11"/>
      <c r="H57" s="10"/>
      <c r="I57" s="10">
        <f t="shared" si="8"/>
        <v>3675</v>
      </c>
      <c r="J57" s="10">
        <f t="shared" si="6"/>
        <v>13711187166.829456</v>
      </c>
      <c r="K57" s="11">
        <f t="shared" si="7"/>
        <v>1.7390000000000017E-2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11"/>
      <c r="H58" s="10"/>
      <c r="I58" s="10">
        <f t="shared" si="8"/>
        <v>3675</v>
      </c>
      <c r="J58" s="10">
        <f t="shared" si="6"/>
        <v>13476825177.001402</v>
      </c>
      <c r="K58" s="11">
        <f t="shared" si="7"/>
        <v>1.7200000000000104E-2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11"/>
      <c r="H59" s="10"/>
      <c r="I59" s="10">
        <f t="shared" si="8"/>
        <v>3675</v>
      </c>
      <c r="J59" s="10">
        <f t="shared" si="6"/>
        <v>13248943351.358042</v>
      </c>
      <c r="K59" s="11">
        <f t="shared" si="7"/>
        <v>1.7039999999999944E-2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11"/>
      <c r="H60" s="10"/>
      <c r="I60" s="10">
        <f t="shared" si="8"/>
        <v>3675</v>
      </c>
      <c r="J60" s="10">
        <f t="shared" si="6"/>
        <v>13026963886.728193</v>
      </c>
      <c r="K60" s="11">
        <f t="shared" si="7"/>
        <v>1.6869999999999941E-2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11"/>
      <c r="H61" s="10"/>
      <c r="I61" s="10">
        <f t="shared" si="8"/>
        <v>3675</v>
      </c>
      <c r="J61" s="10">
        <f t="shared" si="6"/>
        <v>12810844932.71332</v>
      </c>
      <c r="K61" s="11">
        <f t="shared" si="7"/>
        <v>1.6650000000000054E-2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11"/>
      <c r="H62" s="10"/>
      <c r="I62" s="10">
        <f t="shared" si="8"/>
        <v>3675</v>
      </c>
      <c r="J62" s="10">
        <f t="shared" si="6"/>
        <v>12601037655.745163</v>
      </c>
      <c r="K62" s="11">
        <f t="shared" si="7"/>
        <v>1.6510000000000025E-2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11"/>
      <c r="H63" s="10"/>
      <c r="I63" s="10">
        <f t="shared" si="8"/>
        <v>3675</v>
      </c>
      <c r="J63" s="10">
        <f t="shared" si="6"/>
        <v>12396373528.784924</v>
      </c>
      <c r="K63" s="11">
        <f t="shared" si="7"/>
        <v>1.6380000000000061E-2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11"/>
      <c r="H64" s="10"/>
      <c r="I64" s="10">
        <f t="shared" si="8"/>
        <v>3675</v>
      </c>
      <c r="J64" s="10">
        <f t="shared" si="6"/>
        <v>12196593330.038885</v>
      </c>
      <c r="K64" s="11">
        <f t="shared" si="7"/>
        <v>1.6259999999999941E-2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11"/>
      <c r="H65" s="10"/>
      <c r="I65" s="10">
        <f t="shared" si="8"/>
        <v>3675</v>
      </c>
      <c r="J65" s="10">
        <f t="shared" si="6"/>
        <v>12001449756.990225</v>
      </c>
      <c r="K65" s="11">
        <f t="shared" si="7"/>
        <v>1.6149999999999887E-2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6">
        <f>SUM(F2)</f>
        <v>12224862</v>
      </c>
      <c r="G66" s="11"/>
      <c r="H66" s="10"/>
      <c r="I66" s="10">
        <f t="shared" si="8"/>
        <v>3675</v>
      </c>
      <c r="J66" s="10">
        <f t="shared" ref="J66:J97" si="9">IF(I66="","",I66*C66)</f>
        <v>11810706841.5</v>
      </c>
      <c r="K66" s="11">
        <f t="shared" ref="K66:K97" si="10">IFERROR(J66/J67-1,"")</f>
        <v>1.6059999999999963E-2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11"/>
      <c r="H67" s="10"/>
      <c r="I67" s="10">
        <f t="shared" ref="I67:I98" si="11">IF(H67&lt;&gt;"",H67,I66/(1+IF(G66="",0,G66)))</f>
        <v>3675</v>
      </c>
      <c r="J67" s="10">
        <f t="shared" si="9"/>
        <v>11624025000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5">
        <v>16302960</v>
      </c>
      <c r="G2" s="11"/>
      <c r="H2" s="10"/>
      <c r="I2" s="10">
        <f>IF(H2&lt;&gt;"",H2,3373)</f>
        <v>3373</v>
      </c>
      <c r="J2" s="10">
        <f t="shared" ref="J2:J33" si="3">IF(I2="","",I2*C2)</f>
        <v>54991022606.611679</v>
      </c>
      <c r="K2" s="11">
        <f t="shared" ref="K2:K33" si="4">IFERROR(J2/J3-1,"")</f>
        <v>9.7499999999999254E-3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11"/>
      <c r="H3" s="10"/>
      <c r="I3" s="10">
        <f t="shared" ref="I3:I34" si="5">IF(H3&lt;&gt;"",H3,I2/(1+IF(G2="",0,G2)))</f>
        <v>3373</v>
      </c>
      <c r="J3" s="10">
        <f t="shared" si="3"/>
        <v>54460037243.487679</v>
      </c>
      <c r="K3" s="11">
        <f t="shared" si="4"/>
        <v>1.0559999999999903E-2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11"/>
      <c r="H4" s="10"/>
      <c r="I4" s="10">
        <f t="shared" si="5"/>
        <v>3373</v>
      </c>
      <c r="J4" s="10">
        <f t="shared" si="3"/>
        <v>53890948823.907219</v>
      </c>
      <c r="K4" s="11">
        <f t="shared" si="4"/>
        <v>1.102000000000003E-2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11"/>
      <c r="H5" s="10"/>
      <c r="I5" s="10">
        <f t="shared" si="5"/>
        <v>3373</v>
      </c>
      <c r="J5" s="10">
        <f t="shared" si="3"/>
        <v>53303543771.544792</v>
      </c>
      <c r="K5" s="11">
        <f t="shared" si="4"/>
        <v>1.1139999999999706E-2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11"/>
      <c r="H6" s="10"/>
      <c r="I6" s="10">
        <f t="shared" si="5"/>
        <v>3373</v>
      </c>
      <c r="J6" s="10">
        <f t="shared" si="3"/>
        <v>52716284363.732819</v>
      </c>
      <c r="K6" s="11">
        <f t="shared" si="4"/>
        <v>1.1009999999999964E-2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11"/>
      <c r="H7" s="10"/>
      <c r="I7" s="10">
        <f t="shared" si="5"/>
        <v>3373</v>
      </c>
      <c r="J7" s="10">
        <f t="shared" si="3"/>
        <v>52142198755.435471</v>
      </c>
      <c r="K7" s="11">
        <f t="shared" si="4"/>
        <v>1.093999999999995E-2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11"/>
      <c r="H8" s="10"/>
      <c r="I8" s="10">
        <f t="shared" si="5"/>
        <v>3373</v>
      </c>
      <c r="J8" s="10">
        <f t="shared" si="3"/>
        <v>51577936134.128113</v>
      </c>
      <c r="K8" s="11">
        <f t="shared" si="4"/>
        <v>1.0969999999999924E-2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11"/>
      <c r="H9" s="10"/>
      <c r="I9" s="10">
        <f t="shared" si="5"/>
        <v>3373</v>
      </c>
      <c r="J9" s="10">
        <f t="shared" si="3"/>
        <v>51018265758.754578</v>
      </c>
      <c r="K9" s="11">
        <f t="shared" si="4"/>
        <v>1.1159999999999837E-2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11"/>
      <c r="H10" s="10"/>
      <c r="I10" s="10">
        <f t="shared" si="5"/>
        <v>3373</v>
      </c>
      <c r="J10" s="10">
        <f t="shared" si="3"/>
        <v>50455185884.28595</v>
      </c>
      <c r="K10" s="11">
        <f t="shared" si="4"/>
        <v>1.1430000000000273E-2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11"/>
      <c r="H11" s="10"/>
      <c r="I11" s="10">
        <f t="shared" si="5"/>
        <v>3373</v>
      </c>
      <c r="J11" s="10">
        <f t="shared" si="3"/>
        <v>49885000330.508232</v>
      </c>
      <c r="K11" s="11">
        <f t="shared" si="4"/>
        <v>1.1810000000000098E-2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11"/>
      <c r="H12" s="10"/>
      <c r="I12" s="10">
        <f t="shared" si="5"/>
        <v>3373</v>
      </c>
      <c r="J12" s="10">
        <f t="shared" si="3"/>
        <v>49302735029.806221</v>
      </c>
      <c r="K12" s="11">
        <f t="shared" si="4"/>
        <v>1.5020000000000033E-2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11"/>
      <c r="H13" s="10"/>
      <c r="I13" s="10">
        <f t="shared" si="5"/>
        <v>3373</v>
      </c>
      <c r="J13" s="10">
        <f t="shared" si="3"/>
        <v>48573166075.354401</v>
      </c>
      <c r="K13" s="11">
        <f t="shared" si="4"/>
        <v>1.9519999999999982E-2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11"/>
      <c r="H14" s="10"/>
      <c r="I14" s="10">
        <f t="shared" si="5"/>
        <v>3373</v>
      </c>
      <c r="J14" s="10">
        <f t="shared" si="3"/>
        <v>47643171370.207939</v>
      </c>
      <c r="K14" s="11">
        <f t="shared" si="4"/>
        <v>2.0489999999999897E-2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11"/>
      <c r="H15" s="10"/>
      <c r="I15" s="10">
        <f t="shared" si="5"/>
        <v>3373</v>
      </c>
      <c r="J15" s="10">
        <f t="shared" si="3"/>
        <v>46686563680.396622</v>
      </c>
      <c r="K15" s="11">
        <f t="shared" si="4"/>
        <v>2.1540000000000115E-2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11"/>
      <c r="H16" s="10"/>
      <c r="I16" s="10">
        <f t="shared" si="5"/>
        <v>3373</v>
      </c>
      <c r="J16" s="10">
        <f t="shared" si="3"/>
        <v>45702139593.551521</v>
      </c>
      <c r="K16" s="11">
        <f t="shared" si="4"/>
        <v>2.2559999999999913E-2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11"/>
      <c r="H17" s="10"/>
      <c r="I17" s="10">
        <f t="shared" si="5"/>
        <v>3373</v>
      </c>
      <c r="J17" s="10">
        <f t="shared" si="3"/>
        <v>44693846418.35347</v>
      </c>
      <c r="K17" s="11">
        <f t="shared" si="4"/>
        <v>2.359E-2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11"/>
      <c r="H18" s="10"/>
      <c r="I18" s="10">
        <f t="shared" si="5"/>
        <v>3373</v>
      </c>
      <c r="J18" s="10">
        <f t="shared" si="3"/>
        <v>43663816975.892174</v>
      </c>
      <c r="K18" s="11">
        <f t="shared" si="4"/>
        <v>2.487000000000017E-2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11"/>
      <c r="H19" s="10"/>
      <c r="I19" s="10">
        <f t="shared" si="5"/>
        <v>3373</v>
      </c>
      <c r="J19" s="10">
        <f t="shared" si="3"/>
        <v>42604249295.903061</v>
      </c>
      <c r="K19" s="11">
        <f t="shared" si="4"/>
        <v>2.0729999999999693E-2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11"/>
      <c r="H20" s="10"/>
      <c r="I20" s="10">
        <f t="shared" si="5"/>
        <v>3373</v>
      </c>
      <c r="J20" s="10">
        <f t="shared" si="3"/>
        <v>41738999829.438805</v>
      </c>
      <c r="K20" s="11">
        <f t="shared" si="4"/>
        <v>1.7320000000000002E-2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11"/>
      <c r="H21" s="10"/>
      <c r="I21" s="10">
        <f t="shared" si="5"/>
        <v>3373</v>
      </c>
      <c r="J21" s="10">
        <f t="shared" si="3"/>
        <v>41028388146.737312</v>
      </c>
      <c r="K21" s="11">
        <f t="shared" si="4"/>
        <v>1.8499999999999961E-2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11"/>
      <c r="H22" s="10"/>
      <c r="I22" s="10">
        <f t="shared" si="5"/>
        <v>3373</v>
      </c>
      <c r="J22" s="10">
        <f t="shared" si="3"/>
        <v>40283149874.06707</v>
      </c>
      <c r="K22" s="11">
        <f t="shared" si="4"/>
        <v>-1.5619999999999967E-2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11"/>
      <c r="H23" s="10"/>
      <c r="I23" s="10">
        <f t="shared" si="5"/>
        <v>3373</v>
      </c>
      <c r="J23" s="10">
        <f t="shared" si="3"/>
        <v>40922357091.841637</v>
      </c>
      <c r="K23" s="11">
        <f t="shared" si="4"/>
        <v>-8.0299999999999816E-3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11"/>
      <c r="H24" s="10"/>
      <c r="I24" s="10">
        <f t="shared" si="5"/>
        <v>3373</v>
      </c>
      <c r="J24" s="10">
        <f t="shared" si="3"/>
        <v>41253623690.072922</v>
      </c>
      <c r="K24" s="11">
        <f t="shared" si="4"/>
        <v>7.4000000000000732E-3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11"/>
      <c r="H25" s="10"/>
      <c r="I25" s="10">
        <f t="shared" si="5"/>
        <v>3373</v>
      </c>
      <c r="J25" s="10">
        <f t="shared" si="3"/>
        <v>40950589329.03804</v>
      </c>
      <c r="K25" s="11">
        <f t="shared" si="4"/>
        <v>-1.7129999999999979E-2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11"/>
      <c r="H26" s="10"/>
      <c r="I26" s="10">
        <f t="shared" si="5"/>
        <v>3373</v>
      </c>
      <c r="J26" s="10">
        <f t="shared" si="3"/>
        <v>41664298766.915298</v>
      </c>
      <c r="K26" s="11">
        <f t="shared" si="4"/>
        <v>1.0489999999999888E-2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11"/>
      <c r="H27" s="10"/>
      <c r="I27" s="10">
        <f t="shared" si="5"/>
        <v>3373</v>
      </c>
      <c r="J27" s="10">
        <f t="shared" si="3"/>
        <v>41231777421.761032</v>
      </c>
      <c r="K27" s="11">
        <f t="shared" si="4"/>
        <v>2.4950000000000028E-2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11"/>
      <c r="H28" s="10"/>
      <c r="I28" s="10">
        <f t="shared" si="5"/>
        <v>3373</v>
      </c>
      <c r="J28" s="10">
        <f t="shared" si="3"/>
        <v>40228086659.603912</v>
      </c>
      <c r="K28" s="11">
        <f t="shared" si="4"/>
        <v>2.9110000000000191E-2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11"/>
      <c r="H29" s="10"/>
      <c r="I29" s="10">
        <f t="shared" si="5"/>
        <v>3373</v>
      </c>
      <c r="J29" s="10">
        <f t="shared" si="3"/>
        <v>39090171759.679634</v>
      </c>
      <c r="K29" s="11">
        <f t="shared" si="4"/>
        <v>2.9630000000000045E-2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11"/>
      <c r="H30" s="10"/>
      <c r="I30" s="10">
        <f t="shared" si="5"/>
        <v>3373</v>
      </c>
      <c r="J30" s="10">
        <f t="shared" si="3"/>
        <v>37965261074.055374</v>
      </c>
      <c r="K30" s="11">
        <f t="shared" si="4"/>
        <v>3.0260000000000176E-2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11"/>
      <c r="H31" s="10"/>
      <c r="I31" s="10">
        <f t="shared" si="5"/>
        <v>3373</v>
      </c>
      <c r="J31" s="10">
        <f t="shared" si="3"/>
        <v>36850174785.059471</v>
      </c>
      <c r="K31" s="11">
        <f t="shared" si="4"/>
        <v>3.0729999999999702E-2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11"/>
      <c r="H32" s="10"/>
      <c r="I32" s="10">
        <f t="shared" si="5"/>
        <v>3373</v>
      </c>
      <c r="J32" s="10">
        <f t="shared" si="3"/>
        <v>35751530260.164619</v>
      </c>
      <c r="K32" s="11">
        <f t="shared" si="4"/>
        <v>3.0990000000000073E-2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11"/>
      <c r="H33" s="10"/>
      <c r="I33" s="10">
        <f t="shared" si="5"/>
        <v>3373</v>
      </c>
      <c r="J33" s="10">
        <f t="shared" si="3"/>
        <v>34676893335.691536</v>
      </c>
      <c r="K33" s="11">
        <f t="shared" si="4"/>
        <v>3.1379999999999963E-2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11"/>
      <c r="H34" s="10"/>
      <c r="I34" s="10">
        <f t="shared" si="5"/>
        <v>3373</v>
      </c>
      <c r="J34" s="10">
        <f t="shared" ref="J34:J65" si="6">IF(I34="","",I34*C34)</f>
        <v>33621839996.598286</v>
      </c>
      <c r="K34" s="11">
        <f t="shared" ref="K34:K65" si="7">IFERROR(J34/J35-1,"")</f>
        <v>3.1809999999999894E-2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11"/>
      <c r="H35" s="10"/>
      <c r="I35" s="10">
        <f t="shared" ref="I35:I66" si="8">IF(H35&lt;&gt;"",H35,I34/(1+IF(G34="",0,G34)))</f>
        <v>3373</v>
      </c>
      <c r="J35" s="10">
        <f t="shared" si="6"/>
        <v>32585301554.160446</v>
      </c>
      <c r="K35" s="11">
        <f t="shared" si="7"/>
        <v>3.1919999999999948E-2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11"/>
      <c r="H36" s="10"/>
      <c r="I36" s="10">
        <f t="shared" si="8"/>
        <v>3373</v>
      </c>
      <c r="J36" s="10">
        <f t="shared" si="6"/>
        <v>31577352463.524738</v>
      </c>
      <c r="K36" s="11">
        <f t="shared" si="7"/>
        <v>3.2459999999999933E-2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11"/>
      <c r="H37" s="10"/>
      <c r="I37" s="10">
        <f t="shared" si="8"/>
        <v>3373</v>
      </c>
      <c r="J37" s="10">
        <f t="shared" si="6"/>
        <v>30584577091.146137</v>
      </c>
      <c r="K37" s="11">
        <f t="shared" si="7"/>
        <v>3.3060000000000089E-2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11"/>
      <c r="H38" s="10"/>
      <c r="I38" s="10">
        <f t="shared" si="8"/>
        <v>3373</v>
      </c>
      <c r="J38" s="10">
        <f t="shared" si="6"/>
        <v>29605809044.146645</v>
      </c>
      <c r="K38" s="11">
        <f t="shared" si="7"/>
        <v>3.3600000000000074E-2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11"/>
      <c r="H39" s="10"/>
      <c r="I39" s="10">
        <f t="shared" si="8"/>
        <v>3373</v>
      </c>
      <c r="J39" s="10">
        <f t="shared" si="6"/>
        <v>28643391103.083054</v>
      </c>
      <c r="K39" s="11">
        <f t="shared" si="7"/>
        <v>3.4129999999999772E-2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11"/>
      <c r="H40" s="10"/>
      <c r="I40" s="10">
        <f t="shared" si="8"/>
        <v>3373</v>
      </c>
      <c r="J40" s="10">
        <f t="shared" si="6"/>
        <v>27698056436.891937</v>
      </c>
      <c r="K40" s="11">
        <f t="shared" si="7"/>
        <v>3.4159999999999968E-2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11"/>
      <c r="H41" s="10"/>
      <c r="I41" s="10">
        <f t="shared" si="8"/>
        <v>3373</v>
      </c>
      <c r="J41" s="10">
        <f t="shared" si="6"/>
        <v>26783144229.995296</v>
      </c>
      <c r="K41" s="11">
        <f t="shared" si="7"/>
        <v>3.4140000000000059E-2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11"/>
      <c r="H42" s="10"/>
      <c r="I42" s="10">
        <f t="shared" si="8"/>
        <v>3373</v>
      </c>
      <c r="J42" s="10">
        <f t="shared" si="6"/>
        <v>25898953942.401699</v>
      </c>
      <c r="K42" s="11">
        <f t="shared" si="7"/>
        <v>3.4119999999999928E-2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11"/>
      <c r="H43" s="10"/>
      <c r="I43" s="10">
        <f t="shared" si="8"/>
        <v>3373</v>
      </c>
      <c r="J43" s="10">
        <f t="shared" si="6"/>
        <v>25044437727.151299</v>
      </c>
      <c r="K43" s="11">
        <f t="shared" si="7"/>
        <v>3.4019999999999939E-2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11"/>
      <c r="H44" s="10"/>
      <c r="I44" s="10">
        <f t="shared" si="8"/>
        <v>3373</v>
      </c>
      <c r="J44" s="10">
        <f t="shared" si="6"/>
        <v>24220457754.34837</v>
      </c>
      <c r="K44" s="11">
        <f t="shared" si="7"/>
        <v>3.4059999999999979E-2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11"/>
      <c r="H45" s="10"/>
      <c r="I45" s="10">
        <f t="shared" si="8"/>
        <v>3373</v>
      </c>
      <c r="J45" s="10">
        <f t="shared" si="6"/>
        <v>23422681231.600071</v>
      </c>
      <c r="K45" s="11">
        <f t="shared" si="7"/>
        <v>3.4050000000000136E-2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11"/>
      <c r="H46" s="10"/>
      <c r="I46" s="10">
        <f t="shared" si="8"/>
        <v>3373</v>
      </c>
      <c r="J46" s="10">
        <f t="shared" si="6"/>
        <v>22651401026.642879</v>
      </c>
      <c r="K46" s="11">
        <f t="shared" si="7"/>
        <v>3.4030000000000005E-2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11"/>
      <c r="H47" s="10"/>
      <c r="I47" s="10">
        <f t="shared" si="8"/>
        <v>3373</v>
      </c>
      <c r="J47" s="10">
        <f t="shared" si="6"/>
        <v>21905941826.29409</v>
      </c>
      <c r="K47" s="11">
        <f t="shared" si="7"/>
        <v>3.404000000000007E-2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11"/>
      <c r="H48" s="10"/>
      <c r="I48" s="10">
        <f t="shared" si="8"/>
        <v>3373</v>
      </c>
      <c r="J48" s="10">
        <f t="shared" si="6"/>
        <v>21184810864.467609</v>
      </c>
      <c r="K48" s="11">
        <f t="shared" si="7"/>
        <v>3.3959999999999768E-2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11"/>
      <c r="H49" s="10"/>
      <c r="I49" s="10">
        <f t="shared" si="8"/>
        <v>3373</v>
      </c>
      <c r="J49" s="10">
        <f t="shared" si="6"/>
        <v>20489004279.147755</v>
      </c>
      <c r="K49" s="11">
        <f t="shared" si="7"/>
        <v>3.3579999999999943E-2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11"/>
      <c r="H50" s="10"/>
      <c r="I50" s="10">
        <f t="shared" si="8"/>
        <v>3373</v>
      </c>
      <c r="J50" s="10">
        <f t="shared" si="6"/>
        <v>19823336634.946262</v>
      </c>
      <c r="K50" s="11">
        <f t="shared" si="7"/>
        <v>3.3130000000000104E-2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11"/>
      <c r="H51" s="10"/>
      <c r="I51" s="10">
        <f t="shared" si="8"/>
        <v>3373</v>
      </c>
      <c r="J51" s="10">
        <f t="shared" si="6"/>
        <v>19187649797.166145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11"/>
      <c r="H52" s="10"/>
      <c r="I52" s="10">
        <f t="shared" si="8"/>
        <v>3373</v>
      </c>
      <c r="J52" s="10">
        <f t="shared" si="6"/>
        <v>18579901227.998318</v>
      </c>
      <c r="K52" s="11">
        <f t="shared" si="7"/>
        <v>3.2210000000000072E-2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11"/>
      <c r="H53" s="10"/>
      <c r="I53" s="10">
        <f t="shared" si="8"/>
        <v>3373</v>
      </c>
      <c r="J53" s="10">
        <f t="shared" si="6"/>
        <v>18000117445.091908</v>
      </c>
      <c r="K53" s="11">
        <f t="shared" si="7"/>
        <v>3.167999999999993E-2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11"/>
      <c r="H54" s="10"/>
      <c r="I54" s="10">
        <f t="shared" si="8"/>
        <v>3373</v>
      </c>
      <c r="J54" s="10">
        <f t="shared" si="6"/>
        <v>17447384310.146469</v>
      </c>
      <c r="K54" s="11">
        <f t="shared" si="7"/>
        <v>3.1199999999999894E-2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11"/>
      <c r="H55" s="10"/>
      <c r="I55" s="10">
        <f t="shared" si="8"/>
        <v>3373</v>
      </c>
      <c r="J55" s="10">
        <f t="shared" si="6"/>
        <v>16919496033.88913</v>
      </c>
      <c r="K55" s="11">
        <f t="shared" si="7"/>
        <v>3.1109999999999971E-2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11"/>
      <c r="H56" s="10"/>
      <c r="I56" s="10">
        <f t="shared" si="8"/>
        <v>3373</v>
      </c>
      <c r="J56" s="10">
        <f t="shared" si="6"/>
        <v>16409011680.508509</v>
      </c>
      <c r="K56" s="11">
        <f t="shared" si="7"/>
        <v>2.8939999999999744E-2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11"/>
      <c r="H57" s="10"/>
      <c r="I57" s="10">
        <f t="shared" si="8"/>
        <v>3373</v>
      </c>
      <c r="J57" s="10">
        <f t="shared" si="6"/>
        <v>15947491282.784721</v>
      </c>
      <c r="K57" s="11">
        <f t="shared" si="7"/>
        <v>2.8399999999999981E-2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11"/>
      <c r="H58" s="10"/>
      <c r="I58" s="10">
        <f t="shared" si="8"/>
        <v>3373</v>
      </c>
      <c r="J58" s="10">
        <f t="shared" si="6"/>
        <v>15507089928.806614</v>
      </c>
      <c r="K58" s="11">
        <f t="shared" si="7"/>
        <v>2.8350000000000097E-2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11"/>
      <c r="H59" s="10"/>
      <c r="I59" s="10">
        <f t="shared" si="8"/>
        <v>3373</v>
      </c>
      <c r="J59" s="10">
        <f t="shared" si="6"/>
        <v>15079583730.059429</v>
      </c>
      <c r="K59" s="11">
        <f t="shared" si="7"/>
        <v>2.8059999999999974E-2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11"/>
      <c r="H60" s="10"/>
      <c r="I60" s="10">
        <f t="shared" si="8"/>
        <v>3373</v>
      </c>
      <c r="J60" s="10">
        <f t="shared" si="6"/>
        <v>14667999659.610752</v>
      </c>
      <c r="K60" s="11">
        <f t="shared" si="7"/>
        <v>2.8029999999999999E-2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11"/>
      <c r="H61" s="10"/>
      <c r="I61" s="10">
        <f t="shared" si="8"/>
        <v>3373</v>
      </c>
      <c r="J61" s="10">
        <f t="shared" si="6"/>
        <v>14268065775.91194</v>
      </c>
      <c r="K61" s="11">
        <f t="shared" si="7"/>
        <v>2.7810000000000334E-2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11"/>
      <c r="H62" s="10"/>
      <c r="I62" s="10">
        <f t="shared" si="8"/>
        <v>3373</v>
      </c>
      <c r="J62" s="10">
        <f t="shared" si="6"/>
        <v>13882007156.879128</v>
      </c>
      <c r="K62" s="11">
        <f t="shared" si="7"/>
        <v>2.7309999999999945E-2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11"/>
      <c r="H63" s="10"/>
      <c r="I63" s="10">
        <f t="shared" si="8"/>
        <v>3373</v>
      </c>
      <c r="J63" s="10">
        <f t="shared" si="6"/>
        <v>13512968000.777885</v>
      </c>
      <c r="K63" s="11">
        <f t="shared" si="7"/>
        <v>2.7490000000000014E-2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11"/>
      <c r="H64" s="10"/>
      <c r="I64" s="10">
        <f t="shared" si="8"/>
        <v>3373</v>
      </c>
      <c r="J64" s="10">
        <f t="shared" si="6"/>
        <v>13151435051.219851</v>
      </c>
      <c r="K64" s="11">
        <f t="shared" si="7"/>
        <v>2.6969999999999938E-2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11"/>
      <c r="H65" s="10"/>
      <c r="I65" s="10">
        <f t="shared" si="8"/>
        <v>3373</v>
      </c>
      <c r="J65" s="10">
        <f t="shared" si="6"/>
        <v>12806055728.229502</v>
      </c>
      <c r="K65" s="11">
        <f t="shared" si="7"/>
        <v>2.7049999999999796E-2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6">
        <f>SUM(F2)</f>
        <v>16302960</v>
      </c>
      <c r="G66" s="11"/>
      <c r="H66" s="10"/>
      <c r="I66" s="10">
        <f t="shared" si="8"/>
        <v>3373</v>
      </c>
      <c r="J66" s="10">
        <f t="shared" ref="J66:J97" si="9">IF(I66="","",I66*C66)</f>
        <v>12468775354.879999</v>
      </c>
      <c r="K66" s="11">
        <f t="shared" ref="K66:K97" si="10">IFERROR(J66/J67-1,"")</f>
        <v>2.6559999999999917E-2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11"/>
      <c r="H67" s="10"/>
      <c r="I67" s="10">
        <f t="shared" ref="I67:I98" si="11">IF(H67&lt;&gt;"",H67,I66/(1+IF(G66="",0,G66)))</f>
        <v>3373</v>
      </c>
      <c r="J67" s="10">
        <f t="shared" si="9"/>
        <v>12146173000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5">
        <v>189681</v>
      </c>
      <c r="G2" s="11"/>
      <c r="H2" s="10"/>
      <c r="I2" s="10">
        <f>IF(H2&lt;&gt;"",H2,10754)</f>
        <v>10754</v>
      </c>
      <c r="J2" s="10">
        <f t="shared" ref="J2:J33" si="3">IF(I2="","",I2*C2)</f>
        <v>2039291058.0692136</v>
      </c>
      <c r="K2" s="11">
        <f t="shared" ref="K2:K33" si="4">IFERROR(J2/J3-1,"")</f>
        <v>2.4999999999999911E-2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11"/>
      <c r="H3" s="10"/>
      <c r="I3" s="10">
        <f t="shared" ref="I3:I34" si="5">IF(H3&lt;&gt;"",H3,I2/(1+IF(G2="",0,G2)))</f>
        <v>10754</v>
      </c>
      <c r="J3" s="10">
        <f t="shared" si="3"/>
        <v>1989552251.7748427</v>
      </c>
      <c r="K3" s="11">
        <f t="shared" si="4"/>
        <v>4.451000000000005E-2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11"/>
      <c r="H4" s="10"/>
      <c r="I4" s="10">
        <f t="shared" si="5"/>
        <v>10754</v>
      </c>
      <c r="J4" s="10">
        <f t="shared" si="3"/>
        <v>1904770899.057781</v>
      </c>
      <c r="K4" s="11">
        <f t="shared" si="4"/>
        <v>2.5809999999999889E-2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11"/>
      <c r="H5" s="10"/>
      <c r="I5" s="10">
        <f t="shared" si="5"/>
        <v>10754</v>
      </c>
      <c r="J5" s="10">
        <f t="shared" si="3"/>
        <v>1856845711.2504082</v>
      </c>
      <c r="K5" s="11">
        <f t="shared" si="4"/>
        <v>-4.4549999999999979E-2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11"/>
      <c r="H6" s="10"/>
      <c r="I6" s="10">
        <f t="shared" si="5"/>
        <v>10754</v>
      </c>
      <c r="J6" s="10">
        <f t="shared" si="3"/>
        <v>1943425308.7554641</v>
      </c>
      <c r="K6" s="11">
        <f t="shared" si="4"/>
        <v>1.5840000000000076E-2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11"/>
      <c r="H7" s="10"/>
      <c r="I7" s="10">
        <f t="shared" si="5"/>
        <v>10754</v>
      </c>
      <c r="J7" s="10">
        <f t="shared" si="3"/>
        <v>1913121464.7537644</v>
      </c>
      <c r="K7" s="11">
        <f t="shared" si="4"/>
        <v>1.7609999999999904E-2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11"/>
      <c r="H8" s="10"/>
      <c r="I8" s="10">
        <f t="shared" si="5"/>
        <v>10754</v>
      </c>
      <c r="J8" s="10">
        <f t="shared" si="3"/>
        <v>1880014410.976469</v>
      </c>
      <c r="K8" s="11">
        <f t="shared" si="4"/>
        <v>1.7309999999999937E-2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11"/>
      <c r="H9" s="10"/>
      <c r="I9" s="10">
        <f t="shared" si="5"/>
        <v>10754</v>
      </c>
      <c r="J9" s="10">
        <f t="shared" si="3"/>
        <v>1848025096.5551002</v>
      </c>
      <c r="K9" s="11">
        <f t="shared" si="4"/>
        <v>1.7149999999999777E-2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11"/>
      <c r="H10" s="10"/>
      <c r="I10" s="10">
        <f t="shared" si="5"/>
        <v>10754</v>
      </c>
      <c r="J10" s="10">
        <f t="shared" si="3"/>
        <v>1816865847.2743454</v>
      </c>
      <c r="K10" s="11">
        <f t="shared" si="4"/>
        <v>1.6250000000000098E-2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11"/>
      <c r="H11" s="10"/>
      <c r="I11" s="10">
        <f t="shared" si="5"/>
        <v>10754</v>
      </c>
      <c r="J11" s="10">
        <f t="shared" si="3"/>
        <v>1787813871.8566742</v>
      </c>
      <c r="K11" s="11">
        <f t="shared" si="4"/>
        <v>1.6599999999999948E-2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11"/>
      <c r="H12" s="10"/>
      <c r="I12" s="10">
        <f t="shared" si="5"/>
        <v>10754</v>
      </c>
      <c r="J12" s="10">
        <f t="shared" si="3"/>
        <v>1758620767.1224418</v>
      </c>
      <c r="K12" s="11">
        <f t="shared" si="4"/>
        <v>1.6219999999999901E-2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11"/>
      <c r="H13" s="10"/>
      <c r="I13" s="10">
        <f t="shared" si="5"/>
        <v>10754</v>
      </c>
      <c r="J13" s="10">
        <f t="shared" si="3"/>
        <v>1730551226.2329435</v>
      </c>
      <c r="K13" s="11">
        <f t="shared" si="4"/>
        <v>1.6489999999999894E-2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11"/>
      <c r="H14" s="10"/>
      <c r="I14" s="10">
        <f t="shared" si="5"/>
        <v>10754</v>
      </c>
      <c r="J14" s="10">
        <f t="shared" si="3"/>
        <v>1702477374.3302381</v>
      </c>
      <c r="K14" s="11">
        <f t="shared" si="4"/>
        <v>1.5749999999999931E-2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11"/>
      <c r="H15" s="10"/>
      <c r="I15" s="10">
        <f t="shared" si="5"/>
        <v>10754</v>
      </c>
      <c r="J15" s="10">
        <f t="shared" si="3"/>
        <v>1676079128.0632422</v>
      </c>
      <c r="K15" s="11">
        <f t="shared" si="4"/>
        <v>1.6170000000000018E-2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11"/>
      <c r="H16" s="10"/>
      <c r="I16" s="10">
        <f t="shared" si="5"/>
        <v>10754</v>
      </c>
      <c r="J16" s="10">
        <f t="shared" si="3"/>
        <v>1649408197.5095134</v>
      </c>
      <c r="K16" s="11">
        <f t="shared" si="4"/>
        <v>2.1009999999999973E-2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11"/>
      <c r="H17" s="10"/>
      <c r="I17" s="10">
        <f t="shared" si="5"/>
        <v>10754</v>
      </c>
      <c r="J17" s="10">
        <f t="shared" si="3"/>
        <v>1615467230.9864874</v>
      </c>
      <c r="K17" s="11">
        <f t="shared" si="4"/>
        <v>3.1230000000000091E-2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11"/>
      <c r="H18" s="10"/>
      <c r="I18" s="10">
        <f t="shared" si="5"/>
        <v>10754</v>
      </c>
      <c r="J18" s="10">
        <f t="shared" si="3"/>
        <v>1566544059.9929087</v>
      </c>
      <c r="K18" s="11">
        <f t="shared" si="4"/>
        <v>2.970000000000006E-2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11"/>
      <c r="H19" s="10"/>
      <c r="I19" s="10">
        <f t="shared" si="5"/>
        <v>10754</v>
      </c>
      <c r="J19" s="10">
        <f t="shared" si="3"/>
        <v>1521359677.5691061</v>
      </c>
      <c r="K19" s="11">
        <f t="shared" si="4"/>
        <v>2.7240000000000153E-2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11"/>
      <c r="H20" s="10"/>
      <c r="I20" s="10">
        <f t="shared" si="5"/>
        <v>10754</v>
      </c>
      <c r="J20" s="10">
        <f t="shared" si="3"/>
        <v>1481016780.4691269</v>
      </c>
      <c r="K20" s="11">
        <f t="shared" si="4"/>
        <v>2.7209999999999956E-2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11"/>
      <c r="H21" s="10"/>
      <c r="I21" s="10">
        <f t="shared" si="5"/>
        <v>10754</v>
      </c>
      <c r="J21" s="10">
        <f t="shared" si="3"/>
        <v>1441785789.146452</v>
      </c>
      <c r="K21" s="11">
        <f t="shared" si="4"/>
        <v>2.7359999999999829E-2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11"/>
      <c r="H22" s="10"/>
      <c r="I22" s="10">
        <f t="shared" si="5"/>
        <v>10754</v>
      </c>
      <c r="J22" s="10">
        <f t="shared" si="3"/>
        <v>1403389064.345947</v>
      </c>
      <c r="K22" s="11">
        <f t="shared" si="4"/>
        <v>2.6149999999999896E-2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11"/>
      <c r="H23" s="10"/>
      <c r="I23" s="10">
        <f t="shared" si="5"/>
        <v>10754</v>
      </c>
      <c r="J23" s="10">
        <f t="shared" si="3"/>
        <v>1367625653.5067458</v>
      </c>
      <c r="K23" s="11">
        <f t="shared" si="4"/>
        <v>2.5349999999999984E-2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11"/>
      <c r="H24" s="10"/>
      <c r="I24" s="10">
        <f t="shared" si="5"/>
        <v>10754</v>
      </c>
      <c r="J24" s="10">
        <f t="shared" si="3"/>
        <v>1333813481.7445221</v>
      </c>
      <c r="K24" s="11">
        <f t="shared" si="4"/>
        <v>2.5789999999999758E-2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11"/>
      <c r="H25" s="10"/>
      <c r="I25" s="10">
        <f t="shared" si="5"/>
        <v>10754</v>
      </c>
      <c r="J25" s="10">
        <f t="shared" si="3"/>
        <v>1300279279.1356149</v>
      </c>
      <c r="K25" s="11">
        <f t="shared" si="4"/>
        <v>2.8280000000000083E-2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11"/>
      <c r="H26" s="10"/>
      <c r="I26" s="10">
        <f t="shared" si="5"/>
        <v>10754</v>
      </c>
      <c r="J26" s="10">
        <f t="shared" si="3"/>
        <v>1264518690.566397</v>
      </c>
      <c r="K26" s="11">
        <f t="shared" si="4"/>
        <v>3.5050000000000026E-2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11"/>
      <c r="H27" s="10"/>
      <c r="I27" s="10">
        <f t="shared" si="5"/>
        <v>10754</v>
      </c>
      <c r="J27" s="10">
        <f t="shared" si="3"/>
        <v>1221698169.7177885</v>
      </c>
      <c r="K27" s="11">
        <f t="shared" si="4"/>
        <v>3.5959999999999992E-2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11"/>
      <c r="H28" s="10"/>
      <c r="I28" s="10">
        <f t="shared" si="5"/>
        <v>10754</v>
      </c>
      <c r="J28" s="10">
        <f t="shared" si="3"/>
        <v>1179290870.0314572</v>
      </c>
      <c r="K28" s="11">
        <f t="shared" si="4"/>
        <v>3.9069999999999938E-2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11"/>
      <c r="H29" s="10"/>
      <c r="I29" s="10">
        <f t="shared" si="5"/>
        <v>10754</v>
      </c>
      <c r="J29" s="10">
        <f t="shared" si="3"/>
        <v>1134948434.6881897</v>
      </c>
      <c r="K29" s="11">
        <f t="shared" si="4"/>
        <v>3.8420000000000121E-2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11"/>
      <c r="H30" s="10"/>
      <c r="I30" s="10">
        <f t="shared" si="5"/>
        <v>10754</v>
      </c>
      <c r="J30" s="10">
        <f t="shared" si="3"/>
        <v>1092957025.7585464</v>
      </c>
      <c r="K30" s="11">
        <f t="shared" si="4"/>
        <v>3.6690000000000111E-2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11"/>
      <c r="H31" s="10"/>
      <c r="I31" s="10">
        <f t="shared" si="5"/>
        <v>10754</v>
      </c>
      <c r="J31" s="10">
        <f t="shared" si="3"/>
        <v>1054275652.0835991</v>
      </c>
      <c r="K31" s="11">
        <f t="shared" si="4"/>
        <v>3.8510000000000044E-2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11"/>
      <c r="H32" s="10"/>
      <c r="I32" s="10">
        <f t="shared" si="5"/>
        <v>10754</v>
      </c>
      <c r="J32" s="10">
        <f t="shared" si="3"/>
        <v>1015181030.5953714</v>
      </c>
      <c r="K32" s="11">
        <f t="shared" si="4"/>
        <v>3.6099999999999799E-2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11"/>
      <c r="H33" s="10"/>
      <c r="I33" s="10">
        <f t="shared" si="5"/>
        <v>10754</v>
      </c>
      <c r="J33" s="10">
        <f t="shared" si="3"/>
        <v>979809893.44211125</v>
      </c>
      <c r="K33" s="11">
        <f t="shared" si="4"/>
        <v>2.5809999999999889E-2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11"/>
      <c r="H34" s="10"/>
      <c r="I34" s="10">
        <f t="shared" si="5"/>
        <v>10754</v>
      </c>
      <c r="J34" s="10">
        <f t="shared" ref="J34:J65" si="6">IF(I34="","",I34*C34)</f>
        <v>955157283.94352889</v>
      </c>
      <c r="K34" s="11">
        <f t="shared" ref="K34:K65" si="7">IFERROR(J34/J35-1,"")</f>
        <v>2.4100000000000232E-3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11"/>
      <c r="H35" s="10"/>
      <c r="I35" s="10">
        <f t="shared" ref="I35:I66" si="8">IF(H35&lt;&gt;"",H35,I34/(1+IF(G34="",0,G34)))</f>
        <v>10754</v>
      </c>
      <c r="J35" s="10">
        <f t="shared" si="6"/>
        <v>952860889.20055544</v>
      </c>
      <c r="K35" s="11">
        <f t="shared" si="7"/>
        <v>3.4700000000000841E-3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11"/>
      <c r="H36" s="10"/>
      <c r="I36" s="10">
        <f t="shared" si="8"/>
        <v>10754</v>
      </c>
      <c r="J36" s="10">
        <f t="shared" si="6"/>
        <v>949565895.54302108</v>
      </c>
      <c r="K36" s="11">
        <f t="shared" si="7"/>
        <v>3.6300000000000221E-3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11"/>
      <c r="H37" s="10"/>
      <c r="I37" s="10">
        <f t="shared" si="8"/>
        <v>10754</v>
      </c>
      <c r="J37" s="10">
        <f t="shared" si="6"/>
        <v>946131438.42155087</v>
      </c>
      <c r="K37" s="11">
        <f t="shared" si="7"/>
        <v>1.2099999999999334E-3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11"/>
      <c r="H38" s="10"/>
      <c r="I38" s="10">
        <f t="shared" si="8"/>
        <v>10754</v>
      </c>
      <c r="J38" s="10">
        <f t="shared" si="6"/>
        <v>944988002.93799603</v>
      </c>
      <c r="K38" s="11">
        <f t="shared" si="7"/>
        <v>2.2800000000002818E-3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11"/>
      <c r="H39" s="10"/>
      <c r="I39" s="10">
        <f t="shared" si="8"/>
        <v>10754</v>
      </c>
      <c r="J39" s="10">
        <f t="shared" si="6"/>
        <v>942838331.54207993</v>
      </c>
      <c r="K39" s="11">
        <f t="shared" si="7"/>
        <v>2.4399999999999977E-3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11"/>
      <c r="H40" s="10"/>
      <c r="I40" s="10">
        <f t="shared" si="8"/>
        <v>10754</v>
      </c>
      <c r="J40" s="10">
        <f t="shared" si="6"/>
        <v>940543405.63233697</v>
      </c>
      <c r="K40" s="11">
        <f t="shared" si="7"/>
        <v>3.2099999999999351E-3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11"/>
      <c r="H41" s="10"/>
      <c r="I41" s="10">
        <f t="shared" si="8"/>
        <v>10754</v>
      </c>
      <c r="J41" s="10">
        <f t="shared" si="6"/>
        <v>937533921.74354029</v>
      </c>
      <c r="K41" s="11">
        <f t="shared" si="7"/>
        <v>3.5300000000000331E-3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11"/>
      <c r="H42" s="10"/>
      <c r="I42" s="10">
        <f t="shared" si="8"/>
        <v>10754</v>
      </c>
      <c r="J42" s="10">
        <f t="shared" si="6"/>
        <v>934236068.42201054</v>
      </c>
      <c r="K42" s="11">
        <f t="shared" si="7"/>
        <v>3.0799999999999716E-3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11"/>
      <c r="H43" s="10"/>
      <c r="I43" s="10">
        <f t="shared" si="8"/>
        <v>10754</v>
      </c>
      <c r="J43" s="10">
        <f t="shared" si="6"/>
        <v>931367456.65551162</v>
      </c>
      <c r="K43" s="11">
        <f t="shared" si="7"/>
        <v>3.2399999999999096E-3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11"/>
      <c r="H44" s="10"/>
      <c r="I44" s="10">
        <f t="shared" si="8"/>
        <v>10754</v>
      </c>
      <c r="J44" s="10">
        <f t="shared" si="6"/>
        <v>928359571.6433872</v>
      </c>
      <c r="K44" s="11">
        <f t="shared" si="7"/>
        <v>6.5100000000000158E-3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11"/>
      <c r="H45" s="10"/>
      <c r="I45" s="10">
        <f t="shared" si="8"/>
        <v>10754</v>
      </c>
      <c r="J45" s="10">
        <f t="shared" si="6"/>
        <v>922355040.33083344</v>
      </c>
      <c r="K45" s="11">
        <f t="shared" si="7"/>
        <v>7.1799999999999642E-3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11"/>
      <c r="H46" s="10"/>
      <c r="I46" s="10">
        <f t="shared" si="8"/>
        <v>10754</v>
      </c>
      <c r="J46" s="10">
        <f t="shared" si="6"/>
        <v>915779741.78481853</v>
      </c>
      <c r="K46" s="11">
        <f t="shared" si="7"/>
        <v>7.8700000000000436E-3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11"/>
      <c r="H47" s="10"/>
      <c r="I47" s="10">
        <f t="shared" si="8"/>
        <v>10754</v>
      </c>
      <c r="J47" s="10">
        <f t="shared" si="6"/>
        <v>908628832.87013054</v>
      </c>
      <c r="K47" s="11">
        <f t="shared" si="7"/>
        <v>1.0000000000000009E-2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11"/>
      <c r="H48" s="10"/>
      <c r="I48" s="10">
        <f t="shared" si="8"/>
        <v>10754</v>
      </c>
      <c r="J48" s="10">
        <f t="shared" si="6"/>
        <v>899632507.79220843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11"/>
      <c r="H49" s="10"/>
      <c r="I49" s="10">
        <f t="shared" si="8"/>
        <v>10754</v>
      </c>
      <c r="J49" s="10">
        <f t="shared" si="6"/>
        <v>891343017.72734404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11"/>
      <c r="H50" s="10"/>
      <c r="I50" s="10">
        <f t="shared" si="8"/>
        <v>10754</v>
      </c>
      <c r="J50" s="10">
        <f t="shared" si="6"/>
        <v>883909340.17646003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11"/>
      <c r="H51" s="10"/>
      <c r="I51" s="10">
        <f t="shared" si="8"/>
        <v>10754</v>
      </c>
      <c r="J51" s="10">
        <f t="shared" si="6"/>
        <v>876190105.34834111</v>
      </c>
      <c r="K51" s="11">
        <f t="shared" si="7"/>
        <v>1.0380000000000278E-2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11"/>
      <c r="H52" s="10"/>
      <c r="I52" s="10">
        <f t="shared" si="8"/>
        <v>10754</v>
      </c>
      <c r="J52" s="10">
        <f t="shared" si="6"/>
        <v>867188686.77956903</v>
      </c>
      <c r="K52" s="11">
        <f t="shared" si="7"/>
        <v>7.4799999999999311E-3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11"/>
      <c r="H53" s="10"/>
      <c r="I53" s="10">
        <f t="shared" si="8"/>
        <v>10754</v>
      </c>
      <c r="J53" s="10">
        <f t="shared" si="6"/>
        <v>860750274.72462881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11"/>
      <c r="H54" s="10"/>
      <c r="I54" s="10">
        <f t="shared" si="8"/>
        <v>10754</v>
      </c>
      <c r="J54" s="10">
        <f t="shared" si="6"/>
        <v>853461711.70665407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11"/>
      <c r="H55" s="10"/>
      <c r="I55" s="10">
        <f t="shared" si="8"/>
        <v>10754</v>
      </c>
      <c r="J55" s="10">
        <f t="shared" si="6"/>
        <v>847596344.99925911</v>
      </c>
      <c r="K55" s="11">
        <f t="shared" si="7"/>
        <v>9.5300000000000384E-3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11"/>
      <c r="H56" s="10"/>
      <c r="I56" s="10">
        <f t="shared" si="8"/>
        <v>10754</v>
      </c>
      <c r="J56" s="10">
        <f t="shared" si="6"/>
        <v>839595004.60536993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11"/>
      <c r="H57" s="10"/>
      <c r="I57" s="10">
        <f t="shared" si="8"/>
        <v>10754</v>
      </c>
      <c r="J57" s="10">
        <f t="shared" si="6"/>
        <v>832584641.92040014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11"/>
      <c r="H58" s="10"/>
      <c r="I58" s="10">
        <f t="shared" si="8"/>
        <v>10754</v>
      </c>
      <c r="J58" s="10">
        <f t="shared" si="6"/>
        <v>827857575.16620111</v>
      </c>
      <c r="K58" s="11">
        <f t="shared" si="7"/>
        <v>-4.149999999999876E-3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11"/>
      <c r="H59" s="10"/>
      <c r="I59" s="10">
        <f t="shared" si="8"/>
        <v>10754</v>
      </c>
      <c r="J59" s="10">
        <f t="shared" si="6"/>
        <v>831307501.29658186</v>
      </c>
      <c r="K59" s="11">
        <f t="shared" si="7"/>
        <v>-1.9000000000001238E-3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11"/>
      <c r="H60" s="10"/>
      <c r="I60" s="10">
        <f t="shared" si="8"/>
        <v>10754</v>
      </c>
      <c r="J60" s="10">
        <f t="shared" si="6"/>
        <v>832889992.28191757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11"/>
      <c r="H61" s="10"/>
      <c r="I61" s="10">
        <f t="shared" si="8"/>
        <v>10754</v>
      </c>
      <c r="J61" s="10">
        <f t="shared" si="6"/>
        <v>831742188.06239152</v>
      </c>
      <c r="K61" s="11">
        <f t="shared" si="7"/>
        <v>3.9800000000000946E-3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11"/>
      <c r="H62" s="10"/>
      <c r="I62" s="10">
        <f t="shared" si="8"/>
        <v>10754</v>
      </c>
      <c r="J62" s="10">
        <f t="shared" si="6"/>
        <v>828444977.05371761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11"/>
      <c r="H63" s="10"/>
      <c r="I63" s="10">
        <f t="shared" si="8"/>
        <v>10754</v>
      </c>
      <c r="J63" s="10">
        <f t="shared" si="6"/>
        <v>820445632.14034927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11"/>
      <c r="H64" s="10"/>
      <c r="I64" s="10">
        <f t="shared" si="8"/>
        <v>10754</v>
      </c>
      <c r="J64" s="10">
        <f t="shared" si="6"/>
        <v>800864495.23192847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11"/>
      <c r="H65" s="10"/>
      <c r="I65" s="10">
        <f t="shared" si="8"/>
        <v>10754</v>
      </c>
      <c r="J65" s="10">
        <f t="shared" si="6"/>
        <v>780440370.72992623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6">
        <f>SUM(F2)</f>
        <v>189681</v>
      </c>
      <c r="G66" s="11"/>
      <c r="H66" s="10"/>
      <c r="I66" s="10">
        <f t="shared" si="8"/>
        <v>10754</v>
      </c>
      <c r="J66" s="10">
        <f t="shared" ref="J66:J97" si="9">IF(I66="","",I66*C66)</f>
        <v>762819246.14399993</v>
      </c>
      <c r="K66" s="11">
        <f t="shared" ref="K66:K97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11"/>
      <c r="H67" s="10"/>
      <c r="I67" s="10">
        <f t="shared" ref="I67:I98" si="11">IF(H67&lt;&gt;"",H67,I66/(1+IF(G66="",0,G66)))</f>
        <v>10754</v>
      </c>
      <c r="J67" s="10">
        <f t="shared" si="9"/>
        <v>735573600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5">
        <v>220218</v>
      </c>
      <c r="G2" s="11"/>
      <c r="H2" s="10"/>
      <c r="I2" s="10">
        <f>IF(H2&lt;&gt;"",H2,3452)</f>
        <v>3452</v>
      </c>
      <c r="J2" s="10">
        <f t="shared" ref="J2:J33" si="3">IF(I2="","",I2*C2)</f>
        <v>760813211.30481482</v>
      </c>
      <c r="K2" s="11">
        <f t="shared" ref="K2:K33" si="4">IFERROR(J2/J3-1,"")</f>
        <v>-6.7300000000000137E-3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11"/>
      <c r="H3" s="10"/>
      <c r="I3" s="10">
        <f t="shared" ref="I3:I34" si="5">IF(H3&lt;&gt;"",H3,I2/(1+IF(G2="",0,G2)))</f>
        <v>3452</v>
      </c>
      <c r="J3" s="10">
        <f t="shared" si="3"/>
        <v>765968177.13694644</v>
      </c>
      <c r="K3" s="11">
        <f t="shared" si="4"/>
        <v>-6.0299999999999798E-3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11"/>
      <c r="H4" s="10"/>
      <c r="I4" s="10">
        <f t="shared" si="5"/>
        <v>3452</v>
      </c>
      <c r="J4" s="10">
        <f t="shared" si="3"/>
        <v>770614985.4995085</v>
      </c>
      <c r="K4" s="11">
        <f t="shared" si="4"/>
        <v>-5.3399999999999004E-3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11"/>
      <c r="H5" s="10"/>
      <c r="I5" s="10">
        <f t="shared" si="5"/>
        <v>3452</v>
      </c>
      <c r="J5" s="10">
        <f t="shared" si="3"/>
        <v>774752162.04482782</v>
      </c>
      <c r="K5" s="11">
        <f t="shared" si="4"/>
        <v>-9.0299999999999825E-3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11"/>
      <c r="H6" s="10"/>
      <c r="I6" s="10">
        <f t="shared" si="5"/>
        <v>3452</v>
      </c>
      <c r="J6" s="10">
        <f t="shared" si="3"/>
        <v>781811923.71598315</v>
      </c>
      <c r="K6" s="11">
        <f t="shared" si="4"/>
        <v>-8.1299999999999706E-3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11"/>
      <c r="H7" s="10"/>
      <c r="I7" s="10">
        <f t="shared" si="5"/>
        <v>3452</v>
      </c>
      <c r="J7" s="10">
        <f t="shared" si="3"/>
        <v>788220153.56446218</v>
      </c>
      <c r="K7" s="11">
        <f t="shared" si="4"/>
        <v>-7.4199999999998711E-3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11"/>
      <c r="H8" s="10"/>
      <c r="I8" s="10">
        <f t="shared" si="5"/>
        <v>3452</v>
      </c>
      <c r="J8" s="10">
        <f t="shared" si="3"/>
        <v>794112468.07759786</v>
      </c>
      <c r="K8" s="11">
        <f t="shared" si="4"/>
        <v>-6.0999999999999943E-3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11"/>
      <c r="H9" s="10"/>
      <c r="I9" s="10">
        <f t="shared" si="5"/>
        <v>3452</v>
      </c>
      <c r="J9" s="10">
        <f t="shared" si="3"/>
        <v>798986284.41251421</v>
      </c>
      <c r="K9" s="11">
        <f t="shared" si="4"/>
        <v>-6.5699999999999648E-3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11"/>
      <c r="H10" s="10"/>
      <c r="I10" s="10">
        <f t="shared" si="5"/>
        <v>3452</v>
      </c>
      <c r="J10" s="10">
        <f t="shared" si="3"/>
        <v>804270340.54992723</v>
      </c>
      <c r="K10" s="11">
        <f t="shared" si="4"/>
        <v>-7.0000000000000062E-3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11"/>
      <c r="H11" s="10"/>
      <c r="I11" s="10">
        <f t="shared" si="5"/>
        <v>3452</v>
      </c>
      <c r="J11" s="10">
        <f t="shared" si="3"/>
        <v>809939919.98985624</v>
      </c>
      <c r="K11" s="11">
        <f t="shared" si="4"/>
        <v>-7.0300000000000917E-3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11"/>
      <c r="H12" s="10"/>
      <c r="I12" s="10">
        <f t="shared" si="5"/>
        <v>3452</v>
      </c>
      <c r="J12" s="10">
        <f t="shared" si="3"/>
        <v>815674108.97595727</v>
      </c>
      <c r="K12" s="11">
        <f t="shared" si="4"/>
        <v>-7.2499999999999787E-3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11"/>
      <c r="H13" s="10"/>
      <c r="I13" s="10">
        <f t="shared" si="5"/>
        <v>3452</v>
      </c>
      <c r="J13" s="10">
        <f t="shared" si="3"/>
        <v>821630933.24196148</v>
      </c>
      <c r="K13" s="11">
        <f t="shared" si="4"/>
        <v>-6.8399999999999572E-3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11"/>
      <c r="H14" s="10"/>
      <c r="I14" s="10">
        <f t="shared" si="5"/>
        <v>3452</v>
      </c>
      <c r="J14" s="10">
        <f t="shared" si="3"/>
        <v>827289594.06536853</v>
      </c>
      <c r="K14" s="11">
        <f t="shared" si="4"/>
        <v>-7.2999999999999732E-3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11"/>
      <c r="H15" s="10"/>
      <c r="I15" s="10">
        <f t="shared" si="5"/>
        <v>3452</v>
      </c>
      <c r="J15" s="10">
        <f t="shared" si="3"/>
        <v>833373218.56086278</v>
      </c>
      <c r="K15" s="11">
        <f t="shared" si="4"/>
        <v>-7.3900000000001187E-3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11"/>
      <c r="H16" s="10"/>
      <c r="I16" s="10">
        <f t="shared" si="5"/>
        <v>3452</v>
      </c>
      <c r="J16" s="10">
        <f t="shared" si="3"/>
        <v>839577697.74721479</v>
      </c>
      <c r="K16" s="11">
        <f t="shared" si="4"/>
        <v>-9.4499999999998474E-3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11"/>
      <c r="H17" s="10"/>
      <c r="I17" s="10">
        <f t="shared" si="5"/>
        <v>3452</v>
      </c>
      <c r="J17" s="10">
        <f t="shared" si="3"/>
        <v>847587398.66459513</v>
      </c>
      <c r="K17" s="11">
        <f t="shared" si="4"/>
        <v>-8.6500000000001576E-3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11"/>
      <c r="H18" s="10"/>
      <c r="I18" s="10">
        <f t="shared" si="5"/>
        <v>3452</v>
      </c>
      <c r="J18" s="10">
        <f t="shared" si="3"/>
        <v>854983001.62868333</v>
      </c>
      <c r="K18" s="11">
        <f t="shared" si="4"/>
        <v>-8.0200000000000271E-3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11"/>
      <c r="H19" s="10"/>
      <c r="I19" s="10">
        <f t="shared" si="5"/>
        <v>3452</v>
      </c>
      <c r="J19" s="10">
        <f t="shared" si="3"/>
        <v>861895402.75880897</v>
      </c>
      <c r="K19" s="11">
        <f t="shared" si="4"/>
        <v>-9.4300000000000495E-3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11"/>
      <c r="H20" s="10"/>
      <c r="I20" s="10">
        <f t="shared" si="5"/>
        <v>3452</v>
      </c>
      <c r="J20" s="10">
        <f t="shared" si="3"/>
        <v>870100450.00233102</v>
      </c>
      <c r="K20" s="11">
        <f t="shared" si="4"/>
        <v>-9.8599999999998689E-3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11"/>
      <c r="H21" s="10"/>
      <c r="I21" s="10">
        <f t="shared" si="5"/>
        <v>3452</v>
      </c>
      <c r="J21" s="10">
        <f t="shared" si="3"/>
        <v>878765073.62830603</v>
      </c>
      <c r="K21" s="11">
        <f t="shared" si="4"/>
        <v>-8.1499999999999906E-3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11"/>
      <c r="H22" s="10"/>
      <c r="I22" s="10">
        <f t="shared" si="5"/>
        <v>3452</v>
      </c>
      <c r="J22" s="10">
        <f t="shared" si="3"/>
        <v>885985858.37405455</v>
      </c>
      <c r="K22" s="11">
        <f t="shared" si="4"/>
        <v>-7.7500000000000346E-3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11"/>
      <c r="H23" s="10"/>
      <c r="I23" s="10">
        <f t="shared" si="5"/>
        <v>3452</v>
      </c>
      <c r="J23" s="10">
        <f t="shared" si="3"/>
        <v>892905878.93580711</v>
      </c>
      <c r="K23" s="11">
        <f t="shared" si="4"/>
        <v>-6.3999999999999613E-3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11"/>
      <c r="H24" s="10"/>
      <c r="I24" s="10">
        <f t="shared" si="5"/>
        <v>3452</v>
      </c>
      <c r="J24" s="10">
        <f t="shared" si="3"/>
        <v>898657285.5634129</v>
      </c>
      <c r="K24" s="11">
        <f t="shared" si="4"/>
        <v>-5.3500000000000769E-3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11"/>
      <c r="H25" s="10"/>
      <c r="I25" s="10">
        <f t="shared" si="5"/>
        <v>3452</v>
      </c>
      <c r="J25" s="10">
        <f t="shared" si="3"/>
        <v>903490962.21124315</v>
      </c>
      <c r="K25" s="11">
        <f t="shared" si="4"/>
        <v>-1.6329999999999845E-2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11"/>
      <c r="H26" s="10"/>
      <c r="I26" s="10">
        <f t="shared" si="5"/>
        <v>3452</v>
      </c>
      <c r="J26" s="10">
        <f t="shared" si="3"/>
        <v>918489902.31606436</v>
      </c>
      <c r="K26" s="11">
        <f t="shared" si="4"/>
        <v>-1.5359999999999929E-2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11"/>
      <c r="H27" s="10"/>
      <c r="I27" s="10">
        <f t="shared" si="5"/>
        <v>3452</v>
      </c>
      <c r="J27" s="10">
        <f t="shared" si="3"/>
        <v>932817986.59008801</v>
      </c>
      <c r="K27" s="11">
        <f t="shared" si="4"/>
        <v>-1.3549999999999951E-2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11"/>
      <c r="H28" s="10"/>
      <c r="I28" s="10">
        <f t="shared" si="5"/>
        <v>3452</v>
      </c>
      <c r="J28" s="10">
        <f t="shared" si="3"/>
        <v>945631290.57741189</v>
      </c>
      <c r="K28" s="11">
        <f t="shared" si="4"/>
        <v>-1.2139999999999929E-2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11"/>
      <c r="H29" s="10"/>
      <c r="I29" s="10">
        <f t="shared" si="5"/>
        <v>3452</v>
      </c>
      <c r="J29" s="10">
        <f t="shared" si="3"/>
        <v>957252333.91109252</v>
      </c>
      <c r="K29" s="11">
        <f t="shared" si="4"/>
        <v>1.0900000000002574E-3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11"/>
      <c r="H30" s="10"/>
      <c r="I30" s="10">
        <f t="shared" si="5"/>
        <v>3452</v>
      </c>
      <c r="J30" s="10">
        <f t="shared" si="3"/>
        <v>956210064.94030738</v>
      </c>
      <c r="K30" s="11">
        <f t="shared" si="4"/>
        <v>1.0199999999997988E-3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11"/>
      <c r="H31" s="10"/>
      <c r="I31" s="10">
        <f t="shared" si="5"/>
        <v>3452</v>
      </c>
      <c r="J31" s="10">
        <f t="shared" si="3"/>
        <v>955235724.50131619</v>
      </c>
      <c r="K31" s="11">
        <f t="shared" si="4"/>
        <v>1.8199999999999328E-3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11"/>
      <c r="H32" s="10"/>
      <c r="I32" s="10">
        <f t="shared" si="5"/>
        <v>3452</v>
      </c>
      <c r="J32" s="10">
        <f t="shared" si="3"/>
        <v>953500353.85729599</v>
      </c>
      <c r="K32" s="11">
        <f t="shared" si="4"/>
        <v>-7.899999999999574E-4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11"/>
      <c r="H33" s="10"/>
      <c r="I33" s="10">
        <f t="shared" si="5"/>
        <v>3452</v>
      </c>
      <c r="J33" s="10">
        <f t="shared" si="3"/>
        <v>954254214.68689859</v>
      </c>
      <c r="K33" s="11">
        <f t="shared" si="4"/>
        <v>2.1800000000002928E-3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11"/>
      <c r="H34" s="10"/>
      <c r="I34" s="10">
        <f t="shared" si="5"/>
        <v>3452</v>
      </c>
      <c r="J34" s="10">
        <f t="shared" ref="J34:J65" si="6">IF(I34="","",I34*C34)</f>
        <v>952178465.63182104</v>
      </c>
      <c r="K34" s="11">
        <f t="shared" ref="K34:K65" si="7">IFERROR(J34/J35-1,"")</f>
        <v>2.1299999999999653E-3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11"/>
      <c r="H35" s="10"/>
      <c r="I35" s="10">
        <f t="shared" ref="I35:I66" si="8">IF(H35&lt;&gt;"",H35,I34/(1+IF(G34="",0,G34)))</f>
        <v>3452</v>
      </c>
      <c r="J35" s="10">
        <f t="shared" si="6"/>
        <v>950154636.25659454</v>
      </c>
      <c r="K35" s="11">
        <f t="shared" si="7"/>
        <v>2.4899999999998812E-3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11"/>
      <c r="H36" s="10"/>
      <c r="I36" s="10">
        <f t="shared" si="8"/>
        <v>3452</v>
      </c>
      <c r="J36" s="10">
        <f t="shared" si="6"/>
        <v>947794627.63378644</v>
      </c>
      <c r="K36" s="11">
        <f t="shared" si="7"/>
        <v>3.1200000000000117E-3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11"/>
      <c r="H37" s="10"/>
      <c r="I37" s="10">
        <f t="shared" si="8"/>
        <v>3452</v>
      </c>
      <c r="J37" s="10">
        <f t="shared" si="6"/>
        <v>944846705.9113431</v>
      </c>
      <c r="K37" s="11">
        <f t="shared" si="7"/>
        <v>3.2600000000000406E-3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11"/>
      <c r="H38" s="10"/>
      <c r="I38" s="10">
        <f t="shared" si="8"/>
        <v>3452</v>
      </c>
      <c r="J38" s="10">
        <f t="shared" si="6"/>
        <v>941776514.47415733</v>
      </c>
      <c r="K38" s="11">
        <f t="shared" si="7"/>
        <v>4.5599999999998975E-3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11"/>
      <c r="H39" s="10"/>
      <c r="I39" s="10">
        <f t="shared" si="8"/>
        <v>3452</v>
      </c>
      <c r="J39" s="10">
        <f t="shared" si="6"/>
        <v>937501507.59950364</v>
      </c>
      <c r="K39" s="11">
        <f t="shared" si="7"/>
        <v>-2.0099999999998452E-3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11"/>
      <c r="H40" s="10"/>
      <c r="I40" s="10">
        <f t="shared" si="8"/>
        <v>3452</v>
      </c>
      <c r="J40" s="10">
        <f t="shared" si="6"/>
        <v>939389680.85802817</v>
      </c>
      <c r="K40" s="11">
        <f t="shared" si="7"/>
        <v>4.0800000000000836E-3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11"/>
      <c r="H41" s="10"/>
      <c r="I41" s="10">
        <f t="shared" si="8"/>
        <v>3452</v>
      </c>
      <c r="J41" s="10">
        <f t="shared" si="6"/>
        <v>935572544.87493837</v>
      </c>
      <c r="K41" s="11">
        <f t="shared" si="7"/>
        <v>6.2400000000000233E-3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11"/>
      <c r="H42" s="10"/>
      <c r="I42" s="10">
        <f t="shared" si="8"/>
        <v>3452</v>
      </c>
      <c r="J42" s="10">
        <f t="shared" si="6"/>
        <v>929770775.23745656</v>
      </c>
      <c r="K42" s="11">
        <f t="shared" si="7"/>
        <v>2.0599999999997287E-3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11"/>
      <c r="H43" s="10"/>
      <c r="I43" s="10">
        <f t="shared" si="8"/>
        <v>3452</v>
      </c>
      <c r="J43" s="10">
        <f t="shared" si="6"/>
        <v>927859384.90455341</v>
      </c>
      <c r="K43" s="11">
        <f t="shared" si="7"/>
        <v>7.2400000000001352E-3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11"/>
      <c r="H44" s="10"/>
      <c r="I44" s="10">
        <f t="shared" si="8"/>
        <v>3452</v>
      </c>
      <c r="J44" s="10">
        <f t="shared" si="6"/>
        <v>921189969.52519095</v>
      </c>
      <c r="K44" s="11">
        <f t="shared" si="7"/>
        <v>6.1500000000000998E-3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11"/>
      <c r="H45" s="10"/>
      <c r="I45" s="10">
        <f t="shared" si="8"/>
        <v>3452</v>
      </c>
      <c r="J45" s="10">
        <f t="shared" si="6"/>
        <v>915559279.95347703</v>
      </c>
      <c r="K45" s="11">
        <f t="shared" si="7"/>
        <v>4.2800000000000615E-3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11"/>
      <c r="H46" s="10"/>
      <c r="I46" s="10">
        <f t="shared" si="8"/>
        <v>3452</v>
      </c>
      <c r="J46" s="10">
        <f t="shared" si="6"/>
        <v>911657386.3399421</v>
      </c>
      <c r="K46" s="11">
        <f t="shared" si="7"/>
        <v>5.3099999999999259E-3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11"/>
      <c r="H47" s="10"/>
      <c r="I47" s="10">
        <f t="shared" si="8"/>
        <v>3452</v>
      </c>
      <c r="J47" s="10">
        <f t="shared" si="6"/>
        <v>906842055.02774489</v>
      </c>
      <c r="K47" s="11">
        <f t="shared" si="7"/>
        <v>5.9800000000000963E-3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11"/>
      <c r="H48" s="10"/>
      <c r="I48" s="10">
        <f t="shared" si="8"/>
        <v>3452</v>
      </c>
      <c r="J48" s="10">
        <f t="shared" si="6"/>
        <v>901451375.80045807</v>
      </c>
      <c r="K48" s="11">
        <f t="shared" si="7"/>
        <v>7.1499999999999897E-3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11"/>
      <c r="H49" s="10"/>
      <c r="I49" s="10">
        <f t="shared" si="8"/>
        <v>3452</v>
      </c>
      <c r="J49" s="10">
        <f t="shared" si="6"/>
        <v>895051755.7468679</v>
      </c>
      <c r="K49" s="11">
        <f t="shared" si="7"/>
        <v>8.2400000000000251E-3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11"/>
      <c r="H50" s="10"/>
      <c r="I50" s="10">
        <f t="shared" si="8"/>
        <v>3452</v>
      </c>
      <c r="J50" s="10">
        <f t="shared" si="6"/>
        <v>887736804.47796941</v>
      </c>
      <c r="K50" s="11">
        <f t="shared" si="7"/>
        <v>6.0199999999999143E-3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11"/>
      <c r="H51" s="10"/>
      <c r="I51" s="10">
        <f t="shared" si="8"/>
        <v>3452</v>
      </c>
      <c r="J51" s="10">
        <f t="shared" si="6"/>
        <v>882424608.33578801</v>
      </c>
      <c r="K51" s="11">
        <f t="shared" si="7"/>
        <v>6.6200000000000703E-3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11"/>
      <c r="H52" s="10"/>
      <c r="I52" s="10">
        <f t="shared" si="8"/>
        <v>3452</v>
      </c>
      <c r="J52" s="10">
        <f t="shared" si="6"/>
        <v>876621374.83438432</v>
      </c>
      <c r="K52" s="11">
        <f t="shared" si="7"/>
        <v>7.0799999999999752E-3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11"/>
      <c r="H53" s="10"/>
      <c r="I53" s="10">
        <f t="shared" si="8"/>
        <v>3452</v>
      </c>
      <c r="J53" s="10">
        <f t="shared" si="6"/>
        <v>870458528.4529376</v>
      </c>
      <c r="K53" s="11">
        <f t="shared" si="7"/>
        <v>8.1800000000000761E-3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11"/>
      <c r="H54" s="10"/>
      <c r="I54" s="10">
        <f t="shared" si="8"/>
        <v>3452</v>
      </c>
      <c r="J54" s="10">
        <f t="shared" si="6"/>
        <v>863395949.58532953</v>
      </c>
      <c r="K54" s="11">
        <f t="shared" si="7"/>
        <v>8.1899999999999196E-3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11"/>
      <c r="H55" s="10"/>
      <c r="I55" s="10">
        <f t="shared" si="8"/>
        <v>3452</v>
      </c>
      <c r="J55" s="10">
        <f t="shared" si="6"/>
        <v>856382179.53493845</v>
      </c>
      <c r="K55" s="11">
        <f t="shared" si="7"/>
        <v>8.0800000000000871E-3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11"/>
      <c r="H56" s="10"/>
      <c r="I56" s="10">
        <f t="shared" si="8"/>
        <v>3452</v>
      </c>
      <c r="J56" s="10">
        <f t="shared" si="6"/>
        <v>849518073.50104988</v>
      </c>
      <c r="K56" s="11">
        <f t="shared" si="7"/>
        <v>9.5000000000000639E-3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11"/>
      <c r="H57" s="10"/>
      <c r="I57" s="10">
        <f t="shared" si="8"/>
        <v>3452</v>
      </c>
      <c r="J57" s="10">
        <f t="shared" si="6"/>
        <v>841523599.30762744</v>
      </c>
      <c r="K57" s="11">
        <f t="shared" si="7"/>
        <v>9.5900000000002095E-3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11"/>
      <c r="H58" s="10"/>
      <c r="I58" s="10">
        <f t="shared" si="8"/>
        <v>3452</v>
      </c>
      <c r="J58" s="10">
        <f t="shared" si="6"/>
        <v>833530046.16490591</v>
      </c>
      <c r="K58" s="11">
        <f t="shared" si="7"/>
        <v>7.9700000000000326E-3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11"/>
      <c r="H59" s="10"/>
      <c r="I59" s="10">
        <f t="shared" si="8"/>
        <v>3452</v>
      </c>
      <c r="J59" s="10">
        <f t="shared" si="6"/>
        <v>826939339.62807012</v>
      </c>
      <c r="K59" s="11">
        <f t="shared" si="7"/>
        <v>9.8899999999999544E-3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11"/>
      <c r="H60" s="10"/>
      <c r="I60" s="10">
        <f t="shared" si="8"/>
        <v>3452</v>
      </c>
      <c r="J60" s="10">
        <f t="shared" si="6"/>
        <v>818841002.11713171</v>
      </c>
      <c r="K60" s="11">
        <f t="shared" si="7"/>
        <v>9.7099999999998854E-3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11"/>
      <c r="H61" s="10"/>
      <c r="I61" s="10">
        <f t="shared" si="8"/>
        <v>3452</v>
      </c>
      <c r="J61" s="10">
        <f t="shared" si="6"/>
        <v>810966517.23478198</v>
      </c>
      <c r="K61" s="11">
        <f t="shared" si="7"/>
        <v>6.6500000000002668E-3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11"/>
      <c r="H62" s="10"/>
      <c r="I62" s="10">
        <f t="shared" si="8"/>
        <v>3452</v>
      </c>
      <c r="J62" s="10">
        <f t="shared" si="6"/>
        <v>805609215.94872284</v>
      </c>
      <c r="K62" s="11">
        <f t="shared" si="7"/>
        <v>7.5099999999999056E-3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11"/>
      <c r="H63" s="10"/>
      <c r="I63" s="10">
        <f t="shared" si="8"/>
        <v>3452</v>
      </c>
      <c r="J63" s="10">
        <f t="shared" si="6"/>
        <v>799604188.49313951</v>
      </c>
      <c r="K63" s="11">
        <f t="shared" si="7"/>
        <v>7.7899999999999636E-3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11"/>
      <c r="H64" s="10"/>
      <c r="I64" s="10">
        <f t="shared" si="8"/>
        <v>3452</v>
      </c>
      <c r="J64" s="10">
        <f t="shared" si="6"/>
        <v>793423420.05094266</v>
      </c>
      <c r="K64" s="11">
        <f t="shared" si="7"/>
        <v>8.4200000000000941E-3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11"/>
      <c r="H65" s="10"/>
      <c r="I65" s="10">
        <f t="shared" si="8"/>
        <v>3452</v>
      </c>
      <c r="J65" s="10">
        <f t="shared" si="6"/>
        <v>786798576.04068005</v>
      </c>
      <c r="K65" s="11">
        <f t="shared" si="7"/>
        <v>6.1800000000000743E-3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6">
        <f>SUM(F2)</f>
        <v>220218</v>
      </c>
      <c r="G66" s="11"/>
      <c r="H66" s="10"/>
      <c r="I66" s="10">
        <f t="shared" si="8"/>
        <v>3452</v>
      </c>
      <c r="J66" s="10">
        <f t="shared" ref="J66:J97" si="9">IF(I66="","",I66*C66)</f>
        <v>781966026</v>
      </c>
      <c r="K66" s="11">
        <f t="shared" ref="K66:K97" si="10">IFERROR(J66/J67-1,"")</f>
        <v>6.7800000000000082E-3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11"/>
      <c r="H67" s="10"/>
      <c r="I67" s="10">
        <f t="shared" ref="I67:I98" si="11">IF(H67&lt;&gt;"",H67,I66/(1+IF(G66="",0,G66)))</f>
        <v>3452</v>
      </c>
      <c r="J67" s="10">
        <f t="shared" si="9"/>
        <v>776700000</v>
      </c>
      <c r="K67" s="11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5">
        <v>10967500</v>
      </c>
      <c r="G2" s="11"/>
      <c r="H2" s="10"/>
      <c r="I2" s="10">
        <f>IF(H2&lt;&gt;"",H2,10516)</f>
        <v>10516</v>
      </c>
      <c r="J2" s="10">
        <f t="shared" ref="J2:J33" si="3">IF(I2="","",I2*C2)</f>
        <v>115334663468.76584</v>
      </c>
      <c r="K2" s="11">
        <f t="shared" ref="K2:K33" si="4">IFERROR(J2/J3-1,"")</f>
        <v>1.7479999999999718E-2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11"/>
      <c r="H3" s="10"/>
      <c r="I3" s="10">
        <f t="shared" ref="I3:I34" si="5">IF(H3&lt;&gt;"",H3,I2/(1+IF(G2="",0,G2)))</f>
        <v>10516</v>
      </c>
      <c r="J3" s="10">
        <f t="shared" si="3"/>
        <v>113353248681.80786</v>
      </c>
      <c r="K3" s="11">
        <f t="shared" si="4"/>
        <v>1.7179999999999973E-2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11"/>
      <c r="H4" s="10"/>
      <c r="I4" s="10">
        <f t="shared" si="5"/>
        <v>10516</v>
      </c>
      <c r="J4" s="10">
        <f t="shared" si="3"/>
        <v>111438731278.4442</v>
      </c>
      <c r="K4" s="11">
        <f t="shared" si="4"/>
        <v>1.7109999999999959E-2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11"/>
      <c r="H5" s="10"/>
      <c r="I5" s="10">
        <f t="shared" si="5"/>
        <v>10516</v>
      </c>
      <c r="J5" s="10">
        <f t="shared" si="3"/>
        <v>109564089703.61536</v>
      </c>
      <c r="K5" s="11">
        <f t="shared" si="4"/>
        <v>1.7079999999999984E-2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11"/>
      <c r="H6" s="10"/>
      <c r="I6" s="10">
        <f t="shared" si="5"/>
        <v>10516</v>
      </c>
      <c r="J6" s="10">
        <f t="shared" si="3"/>
        <v>107724161033.16882</v>
      </c>
      <c r="K6" s="11">
        <f t="shared" si="4"/>
        <v>1.6979999999999995E-2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11"/>
      <c r="H7" s="10"/>
      <c r="I7" s="10">
        <f t="shared" si="5"/>
        <v>10516</v>
      </c>
      <c r="J7" s="10">
        <f t="shared" si="3"/>
        <v>105925545274.40936</v>
      </c>
      <c r="K7" s="11">
        <f t="shared" si="4"/>
        <v>1.8060000000000187E-2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11"/>
      <c r="H8" s="10"/>
      <c r="I8" s="10">
        <f t="shared" si="5"/>
        <v>10516</v>
      </c>
      <c r="J8" s="10">
        <f t="shared" si="3"/>
        <v>104046466096.7029</v>
      </c>
      <c r="K8" s="11">
        <f t="shared" si="4"/>
        <v>1.9360000000000044E-2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11"/>
      <c r="H9" s="10"/>
      <c r="I9" s="10">
        <f t="shared" si="5"/>
        <v>10516</v>
      </c>
      <c r="J9" s="10">
        <f t="shared" si="3"/>
        <v>102070383472.67197</v>
      </c>
      <c r="K9" s="11">
        <f t="shared" si="4"/>
        <v>2.0489999999999897E-2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11"/>
      <c r="H10" s="10"/>
      <c r="I10" s="10">
        <f t="shared" si="5"/>
        <v>10516</v>
      </c>
      <c r="J10" s="10">
        <f t="shared" si="3"/>
        <v>100020954122.69789</v>
      </c>
      <c r="K10" s="11">
        <f t="shared" si="4"/>
        <v>2.143000000000006E-2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11"/>
      <c r="H11" s="10"/>
      <c r="I11" s="10">
        <f t="shared" si="5"/>
        <v>10516</v>
      </c>
      <c r="J11" s="10">
        <f t="shared" si="3"/>
        <v>97922475473.304962</v>
      </c>
      <c r="K11" s="11">
        <f t="shared" si="4"/>
        <v>2.2050000000000125E-2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11"/>
      <c r="H12" s="10"/>
      <c r="I12" s="10">
        <f t="shared" si="5"/>
        <v>10516</v>
      </c>
      <c r="J12" s="10">
        <f t="shared" si="3"/>
        <v>95809867886.409622</v>
      </c>
      <c r="K12" s="11">
        <f t="shared" si="4"/>
        <v>2.2499999999999964E-2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11"/>
      <c r="H13" s="10"/>
      <c r="I13" s="10">
        <f t="shared" si="5"/>
        <v>10516</v>
      </c>
      <c r="J13" s="10">
        <f t="shared" si="3"/>
        <v>93701582284.997192</v>
      </c>
      <c r="K13" s="11">
        <f t="shared" si="4"/>
        <v>2.2860000000000102E-2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11"/>
      <c r="H14" s="10"/>
      <c r="I14" s="10">
        <f t="shared" si="5"/>
        <v>10516</v>
      </c>
      <c r="J14" s="10">
        <f t="shared" si="3"/>
        <v>91607436291.376312</v>
      </c>
      <c r="K14" s="11">
        <f t="shared" si="4"/>
        <v>2.3379999999999956E-2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11"/>
      <c r="H15" s="10"/>
      <c r="I15" s="10">
        <f t="shared" si="5"/>
        <v>10516</v>
      </c>
      <c r="J15" s="10">
        <f t="shared" si="3"/>
        <v>89514585287.35788</v>
      </c>
      <c r="K15" s="11">
        <f t="shared" si="4"/>
        <v>2.3949999999999916E-2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11"/>
      <c r="H16" s="10"/>
      <c r="I16" s="10">
        <f t="shared" si="5"/>
        <v>10516</v>
      </c>
      <c r="J16" s="10">
        <f t="shared" si="3"/>
        <v>87420855791.159607</v>
      </c>
      <c r="K16" s="11">
        <f t="shared" si="4"/>
        <v>2.4420000000000108E-2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11"/>
      <c r="H17" s="10"/>
      <c r="I17" s="10">
        <f t="shared" si="5"/>
        <v>10516</v>
      </c>
      <c r="J17" s="10">
        <f t="shared" si="3"/>
        <v>85336928009.175537</v>
      </c>
      <c r="K17" s="11">
        <f t="shared" si="4"/>
        <v>2.3640000000000105E-2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11"/>
      <c r="H18" s="10"/>
      <c r="I18" s="10">
        <f t="shared" si="5"/>
        <v>10516</v>
      </c>
      <c r="J18" s="10">
        <f t="shared" si="3"/>
        <v>83366152171.833389</v>
      </c>
      <c r="K18" s="11">
        <f t="shared" si="4"/>
        <v>2.3250000000000215E-2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11"/>
      <c r="H19" s="10"/>
      <c r="I19" s="10">
        <f t="shared" si="5"/>
        <v>10516</v>
      </c>
      <c r="J19" s="10">
        <f t="shared" si="3"/>
        <v>81471929803.892868</v>
      </c>
      <c r="K19" s="11">
        <f t="shared" si="4"/>
        <v>2.4469999999999992E-2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11"/>
      <c r="H20" s="10"/>
      <c r="I20" s="10">
        <f t="shared" si="5"/>
        <v>10516</v>
      </c>
      <c r="J20" s="10">
        <f t="shared" si="3"/>
        <v>79525930289.703812</v>
      </c>
      <c r="K20" s="11">
        <f t="shared" si="4"/>
        <v>2.4659999999999682E-2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11"/>
      <c r="H21" s="10"/>
      <c r="I21" s="10">
        <f t="shared" si="5"/>
        <v>10516</v>
      </c>
      <c r="J21" s="10">
        <f t="shared" si="3"/>
        <v>77612017927.608994</v>
      </c>
      <c r="K21" s="11">
        <f t="shared" si="4"/>
        <v>2.5100000000000122E-2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11"/>
      <c r="H22" s="10"/>
      <c r="I22" s="10">
        <f t="shared" si="5"/>
        <v>10516</v>
      </c>
      <c r="J22" s="10">
        <f t="shared" si="3"/>
        <v>75711655377.630463</v>
      </c>
      <c r="K22" s="11">
        <f t="shared" si="4"/>
        <v>2.5369999999999893E-2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11"/>
      <c r="H23" s="10"/>
      <c r="I23" s="10">
        <f t="shared" si="5"/>
        <v>10516</v>
      </c>
      <c r="J23" s="10">
        <f t="shared" si="3"/>
        <v>73838375783.990631</v>
      </c>
      <c r="K23" s="11">
        <f t="shared" si="4"/>
        <v>2.5460000000000038E-2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11"/>
      <c r="H24" s="10"/>
      <c r="I24" s="10">
        <f t="shared" si="5"/>
        <v>10516</v>
      </c>
      <c r="J24" s="10">
        <f t="shared" si="3"/>
        <v>72005125294.005249</v>
      </c>
      <c r="K24" s="11">
        <f t="shared" si="4"/>
        <v>2.5409999999999711E-2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11"/>
      <c r="H25" s="10"/>
      <c r="I25" s="10">
        <f t="shared" si="5"/>
        <v>10516</v>
      </c>
      <c r="J25" s="10">
        <f t="shared" si="3"/>
        <v>70220814400.098755</v>
      </c>
      <c r="K25" s="11">
        <f t="shared" si="4"/>
        <v>2.5760000000000005E-2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11"/>
      <c r="H26" s="10"/>
      <c r="I26" s="10">
        <f t="shared" si="5"/>
        <v>10516</v>
      </c>
      <c r="J26" s="10">
        <f t="shared" si="3"/>
        <v>68457352987.149773</v>
      </c>
      <c r="K26" s="11">
        <f t="shared" si="4"/>
        <v>2.7209999999999956E-2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11"/>
      <c r="H27" s="10"/>
      <c r="I27" s="10">
        <f t="shared" si="5"/>
        <v>10516</v>
      </c>
      <c r="J27" s="10">
        <f t="shared" si="3"/>
        <v>66643970548.524429</v>
      </c>
      <c r="K27" s="11">
        <f t="shared" si="4"/>
        <v>2.9139999999999944E-2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11"/>
      <c r="H28" s="10"/>
      <c r="I28" s="10">
        <f t="shared" si="5"/>
        <v>10516</v>
      </c>
      <c r="J28" s="10">
        <f t="shared" si="3"/>
        <v>64756952939.857002</v>
      </c>
      <c r="K28" s="11">
        <f t="shared" si="4"/>
        <v>2.9849999999999932E-2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11"/>
      <c r="H29" s="10"/>
      <c r="I29" s="10">
        <f t="shared" si="5"/>
        <v>10516</v>
      </c>
      <c r="J29" s="10">
        <f t="shared" si="3"/>
        <v>62879985376.372299</v>
      </c>
      <c r="K29" s="11">
        <f t="shared" si="4"/>
        <v>3.0960000000000099E-2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11"/>
      <c r="H30" s="10"/>
      <c r="I30" s="10">
        <f t="shared" si="5"/>
        <v>10516</v>
      </c>
      <c r="J30" s="10">
        <f t="shared" si="3"/>
        <v>60991682874.575439</v>
      </c>
      <c r="K30" s="11">
        <f t="shared" si="4"/>
        <v>3.1940000000000301E-2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11"/>
      <c r="H31" s="10"/>
      <c r="I31" s="10">
        <f t="shared" si="5"/>
        <v>10516</v>
      </c>
      <c r="J31" s="10">
        <f t="shared" si="3"/>
        <v>59103904175.218933</v>
      </c>
      <c r="K31" s="11">
        <f t="shared" si="4"/>
        <v>3.2540000000000013E-2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11"/>
      <c r="H32" s="10"/>
      <c r="I32" s="10">
        <f t="shared" si="5"/>
        <v>10516</v>
      </c>
      <c r="J32" s="10">
        <f t="shared" si="3"/>
        <v>57241273147.015068</v>
      </c>
      <c r="K32" s="11">
        <f t="shared" si="4"/>
        <v>3.3009999999999984E-2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11"/>
      <c r="H33" s="10"/>
      <c r="I33" s="10">
        <f t="shared" si="5"/>
        <v>10516</v>
      </c>
      <c r="J33" s="10">
        <f t="shared" si="3"/>
        <v>55412119095.667099</v>
      </c>
      <c r="K33" s="11">
        <f t="shared" si="4"/>
        <v>3.2729999999999926E-2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11"/>
      <c r="H34" s="10"/>
      <c r="I34" s="10">
        <f t="shared" si="5"/>
        <v>10516</v>
      </c>
      <c r="J34" s="10">
        <f t="shared" ref="J34:J65" si="6">IF(I34="","",I34*C34)</f>
        <v>53655959539.925346</v>
      </c>
      <c r="K34" s="11">
        <f t="shared" ref="K34:K65" si="7">IFERROR(J34/J35-1,"")</f>
        <v>3.2419999999999893E-2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11"/>
      <c r="H35" s="10"/>
      <c r="I35" s="10">
        <f t="shared" ref="I35:I66" si="8">IF(H35&lt;&gt;"",H35,I34/(1+IF(G34="",0,G34)))</f>
        <v>10516</v>
      </c>
      <c r="J35" s="10">
        <f t="shared" si="6"/>
        <v>51971057844.60331</v>
      </c>
      <c r="K35" s="11">
        <f t="shared" si="7"/>
        <v>3.2030000000000003E-2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11"/>
      <c r="H36" s="10"/>
      <c r="I36" s="10">
        <f t="shared" si="8"/>
        <v>10516</v>
      </c>
      <c r="J36" s="10">
        <f t="shared" si="6"/>
        <v>50358088277.088181</v>
      </c>
      <c r="K36" s="11">
        <f t="shared" si="7"/>
        <v>3.1660000000000244E-2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11"/>
      <c r="H37" s="10"/>
      <c r="I37" s="10">
        <f t="shared" si="8"/>
        <v>10516</v>
      </c>
      <c r="J37" s="10">
        <f t="shared" si="6"/>
        <v>48812678864.24614</v>
      </c>
      <c r="K37" s="11">
        <f t="shared" si="7"/>
        <v>3.1389999999999807E-2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11"/>
      <c r="H38" s="10"/>
      <c r="I38" s="10">
        <f t="shared" si="8"/>
        <v>10516</v>
      </c>
      <c r="J38" s="10">
        <f t="shared" si="6"/>
        <v>47327081767.562363</v>
      </c>
      <c r="K38" s="11">
        <f t="shared" si="7"/>
        <v>2.4029999999999774E-2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11"/>
      <c r="H39" s="10"/>
      <c r="I39" s="10">
        <f t="shared" si="8"/>
        <v>10516</v>
      </c>
      <c r="J39" s="10">
        <f t="shared" si="6"/>
        <v>46216499289.6325</v>
      </c>
      <c r="K39" s="11">
        <f t="shared" si="7"/>
        <v>2.4010000000000309E-2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11"/>
      <c r="H40" s="10"/>
      <c r="I40" s="10">
        <f t="shared" si="8"/>
        <v>10516</v>
      </c>
      <c r="J40" s="10">
        <f t="shared" si="6"/>
        <v>45132859336.952263</v>
      </c>
      <c r="K40" s="11">
        <f t="shared" si="7"/>
        <v>2.4009999999999865E-2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11"/>
      <c r="H41" s="10"/>
      <c r="I41" s="10">
        <f t="shared" si="8"/>
        <v>10516</v>
      </c>
      <c r="J41" s="10">
        <f t="shared" si="6"/>
        <v>44074627529.957977</v>
      </c>
      <c r="K41" s="11">
        <f t="shared" si="7"/>
        <v>2.4029999999999996E-2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11"/>
      <c r="H42" s="10"/>
      <c r="I42" s="10">
        <f t="shared" si="8"/>
        <v>10516</v>
      </c>
      <c r="J42" s="10">
        <f t="shared" si="6"/>
        <v>43040367498.958015</v>
      </c>
      <c r="K42" s="11">
        <f t="shared" si="7"/>
        <v>2.3889999999999967E-2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11"/>
      <c r="H43" s="10"/>
      <c r="I43" s="10">
        <f t="shared" si="8"/>
        <v>10516</v>
      </c>
      <c r="J43" s="10">
        <f t="shared" si="6"/>
        <v>42036124485.011101</v>
      </c>
      <c r="K43" s="11">
        <f t="shared" si="7"/>
        <v>2.3919999999999941E-2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11"/>
      <c r="H44" s="10"/>
      <c r="I44" s="10">
        <f t="shared" si="8"/>
        <v>10516</v>
      </c>
      <c r="J44" s="10">
        <f t="shared" si="6"/>
        <v>41054110169.750664</v>
      </c>
      <c r="K44" s="11">
        <f t="shared" si="7"/>
        <v>2.401999999999993E-2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11"/>
      <c r="H45" s="10"/>
      <c r="I45" s="10">
        <f t="shared" si="8"/>
        <v>10516</v>
      </c>
      <c r="J45" s="10">
        <f t="shared" si="6"/>
        <v>40091121432.931648</v>
      </c>
      <c r="K45" s="11">
        <f t="shared" si="7"/>
        <v>2.3879999999999901E-2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11"/>
      <c r="H46" s="10"/>
      <c r="I46" s="10">
        <f t="shared" si="8"/>
        <v>10516</v>
      </c>
      <c r="J46" s="10">
        <f t="shared" si="6"/>
        <v>39156074376.813347</v>
      </c>
      <c r="K46" s="11">
        <f t="shared" si="7"/>
        <v>2.4159999999999959E-2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11"/>
      <c r="H47" s="10"/>
      <c r="I47" s="10">
        <f t="shared" si="8"/>
        <v>10516</v>
      </c>
      <c r="J47" s="10">
        <f t="shared" si="6"/>
        <v>38232380074.220192</v>
      </c>
      <c r="K47" s="11">
        <f t="shared" si="7"/>
        <v>2.3330000000000295E-2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11"/>
      <c r="H48" s="10"/>
      <c r="I48" s="10">
        <f t="shared" si="8"/>
        <v>10516</v>
      </c>
      <c r="J48" s="10">
        <f t="shared" si="6"/>
        <v>37360753690.618065</v>
      </c>
      <c r="K48" s="11">
        <f t="shared" si="7"/>
        <v>2.2610000000000019E-2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11"/>
      <c r="H49" s="10"/>
      <c r="I49" s="10">
        <f t="shared" si="8"/>
        <v>10516</v>
      </c>
      <c r="J49" s="10">
        <f t="shared" si="6"/>
        <v>36534704032.444496</v>
      </c>
      <c r="K49" s="11">
        <f t="shared" si="7"/>
        <v>2.259000000000011E-2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11"/>
      <c r="H50" s="10"/>
      <c r="I50" s="10">
        <f t="shared" si="8"/>
        <v>10516</v>
      </c>
      <c r="J50" s="10">
        <f t="shared" si="6"/>
        <v>35727617160.782417</v>
      </c>
      <c r="K50" s="11">
        <f t="shared" si="7"/>
        <v>2.2790000000000088E-2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11"/>
      <c r="H51" s="10"/>
      <c r="I51" s="10">
        <f t="shared" si="8"/>
        <v>10516</v>
      </c>
      <c r="J51" s="10">
        <f t="shared" si="6"/>
        <v>34931527645.736092</v>
      </c>
      <c r="K51" s="11">
        <f t="shared" si="7"/>
        <v>2.4580000000000046E-2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11"/>
      <c r="H52" s="10"/>
      <c r="I52" s="10">
        <f t="shared" si="8"/>
        <v>10516</v>
      </c>
      <c r="J52" s="10">
        <f t="shared" si="6"/>
        <v>34093509189.849586</v>
      </c>
      <c r="K52" s="11">
        <f t="shared" si="7"/>
        <v>2.522000000000002E-2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11"/>
      <c r="H53" s="10"/>
      <c r="I53" s="10">
        <f t="shared" si="8"/>
        <v>10516</v>
      </c>
      <c r="J53" s="10">
        <f t="shared" si="6"/>
        <v>33254822564.766182</v>
      </c>
      <c r="K53" s="11">
        <f t="shared" si="7"/>
        <v>2.5779999999999914E-2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11"/>
      <c r="H54" s="10"/>
      <c r="I54" s="10">
        <f t="shared" si="8"/>
        <v>10516</v>
      </c>
      <c r="J54" s="10">
        <f t="shared" si="6"/>
        <v>32419059218.122974</v>
      </c>
      <c r="K54" s="11">
        <f t="shared" si="7"/>
        <v>2.6140000000000052E-2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11"/>
      <c r="H55" s="10"/>
      <c r="I55" s="10">
        <f t="shared" si="8"/>
        <v>10516</v>
      </c>
      <c r="J55" s="10">
        <f t="shared" si="6"/>
        <v>31593212639.720673</v>
      </c>
      <c r="K55" s="11">
        <f t="shared" si="7"/>
        <v>2.6149999999999896E-2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11"/>
      <c r="H56" s="10"/>
      <c r="I56" s="10">
        <f t="shared" si="8"/>
        <v>10516</v>
      </c>
      <c r="J56" s="10">
        <f t="shared" si="6"/>
        <v>30788103727.25301</v>
      </c>
      <c r="K56" s="11">
        <f t="shared" si="7"/>
        <v>2.6010000000000089E-2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11"/>
      <c r="H57" s="10"/>
      <c r="I57" s="10">
        <f t="shared" si="8"/>
        <v>10516</v>
      </c>
      <c r="J57" s="10">
        <f t="shared" si="6"/>
        <v>30007605897.84993</v>
      </c>
      <c r="K57" s="11">
        <f t="shared" si="7"/>
        <v>2.5660000000000016E-2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11"/>
      <c r="H58" s="10"/>
      <c r="I58" s="10">
        <f t="shared" si="8"/>
        <v>10516</v>
      </c>
      <c r="J58" s="10">
        <f t="shared" si="6"/>
        <v>29256874498.225464</v>
      </c>
      <c r="K58" s="11">
        <f t="shared" si="7"/>
        <v>2.5360000000000049E-2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11"/>
      <c r="H59" s="10"/>
      <c r="I59" s="10">
        <f t="shared" si="8"/>
        <v>10516</v>
      </c>
      <c r="J59" s="10">
        <f t="shared" si="6"/>
        <v>28533270751.955864</v>
      </c>
      <c r="K59" s="11">
        <f t="shared" si="7"/>
        <v>2.5009999999999977E-2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11"/>
      <c r="H60" s="10"/>
      <c r="I60" s="10">
        <f t="shared" si="8"/>
        <v>10516</v>
      </c>
      <c r="J60" s="10">
        <f t="shared" si="6"/>
        <v>27837065737.852184</v>
      </c>
      <c r="K60" s="11">
        <f t="shared" si="7"/>
        <v>2.8659999999999908E-2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11"/>
      <c r="H61" s="10"/>
      <c r="I61" s="10">
        <f t="shared" si="8"/>
        <v>10516</v>
      </c>
      <c r="J61" s="10">
        <f t="shared" si="6"/>
        <v>27061483617.378128</v>
      </c>
      <c r="K61" s="11">
        <f t="shared" si="7"/>
        <v>2.8149999999999897E-2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11"/>
      <c r="H62" s="10"/>
      <c r="I62" s="10">
        <f t="shared" si="8"/>
        <v>10516</v>
      </c>
      <c r="J62" s="10">
        <f t="shared" si="6"/>
        <v>26320559857.392532</v>
      </c>
      <c r="K62" s="11">
        <f t="shared" si="7"/>
        <v>2.7579999999999938E-2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11"/>
      <c r="H63" s="10"/>
      <c r="I63" s="10">
        <f t="shared" si="8"/>
        <v>10516</v>
      </c>
      <c r="J63" s="10">
        <f t="shared" si="6"/>
        <v>25614122362.631165</v>
      </c>
      <c r="K63" s="11">
        <f t="shared" si="7"/>
        <v>2.7060000000000084E-2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11"/>
      <c r="H64" s="10"/>
      <c r="I64" s="10">
        <f t="shared" si="8"/>
        <v>10516</v>
      </c>
      <c r="J64" s="10">
        <f t="shared" si="6"/>
        <v>24939265829.290562</v>
      </c>
      <c r="K64" s="11">
        <f t="shared" si="7"/>
        <v>2.6329999999999965E-2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11"/>
      <c r="H65" s="10"/>
      <c r="I65" s="10">
        <f t="shared" si="8"/>
        <v>10516</v>
      </c>
      <c r="J65" s="10">
        <f t="shared" si="6"/>
        <v>24299461020.617699</v>
      </c>
      <c r="K65" s="11">
        <f t="shared" si="7"/>
        <v>2.6250000000000107E-2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6">
        <f>SUM(F2)</f>
        <v>10967500</v>
      </c>
      <c r="G66" s="11"/>
      <c r="H66" s="10"/>
      <c r="I66" s="10">
        <f t="shared" si="8"/>
        <v>10516</v>
      </c>
      <c r="J66" s="10">
        <f t="shared" ref="J66:J97" si="9">IF(I66="","",I66*C66)</f>
        <v>23677915732.636002</v>
      </c>
      <c r="K66" s="11">
        <f t="shared" ref="K66:K97" si="10">IFERROR(J66/J67-1,"")</f>
        <v>2.5930000000000009E-2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11"/>
      <c r="H67" s="10"/>
      <c r="I67" s="10">
        <f t="shared" ref="I67:I98" si="11">IF(H67&lt;&gt;"",H67,I66/(1+IF(G66="",0,G66)))</f>
        <v>10516</v>
      </c>
      <c r="J67" s="10">
        <f t="shared" si="9"/>
        <v>23079465200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5">
        <v>88913943</v>
      </c>
      <c r="G2" s="11"/>
      <c r="H2" s="10"/>
      <c r="I2" s="10">
        <f>IF(H2&lt;&gt;"",H2,488)</f>
        <v>488</v>
      </c>
      <c r="J2" s="10">
        <f t="shared" ref="J2:J33" si="3">IF(I2="","",I2*C2)</f>
        <v>43389572980.036835</v>
      </c>
      <c r="K2" s="11">
        <f t="shared" ref="K2:K33" si="4">IFERROR(J2/J3-1,"")</f>
        <v>1.3700000000000045E-2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11"/>
      <c r="H3" s="10"/>
      <c r="I3" s="10">
        <f t="shared" ref="I3:I34" si="5">IF(H3&lt;&gt;"",H3,I2/(1+IF(G2="",0,G2)))</f>
        <v>488</v>
      </c>
      <c r="J3" s="10">
        <f t="shared" si="3"/>
        <v>42803169557.1045</v>
      </c>
      <c r="K3" s="11">
        <f t="shared" si="4"/>
        <v>1.3530000000000042E-2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11"/>
      <c r="H4" s="10"/>
      <c r="I4" s="10">
        <f t="shared" si="5"/>
        <v>488</v>
      </c>
      <c r="J4" s="10">
        <f t="shared" si="3"/>
        <v>42231773659.491577</v>
      </c>
      <c r="K4" s="11">
        <f t="shared" si="4"/>
        <v>1.3330000000000064E-2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11"/>
      <c r="H5" s="10"/>
      <c r="I5" s="10">
        <f t="shared" si="5"/>
        <v>488</v>
      </c>
      <c r="J5" s="10">
        <f t="shared" si="3"/>
        <v>41676229519.990105</v>
      </c>
      <c r="K5" s="11">
        <f t="shared" si="4"/>
        <v>1.2799999999999923E-2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11"/>
      <c r="H6" s="10"/>
      <c r="I6" s="10">
        <f t="shared" si="5"/>
        <v>488</v>
      </c>
      <c r="J6" s="10">
        <f t="shared" si="3"/>
        <v>41149515718.789597</v>
      </c>
      <c r="K6" s="11">
        <f t="shared" si="4"/>
        <v>1.2219999999999676E-2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11"/>
      <c r="H7" s="10"/>
      <c r="I7" s="10">
        <f t="shared" si="5"/>
        <v>488</v>
      </c>
      <c r="J7" s="10">
        <f t="shared" si="3"/>
        <v>40652739245.213104</v>
      </c>
      <c r="K7" s="11">
        <f t="shared" si="4"/>
        <v>1.2500000000000178E-2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11"/>
      <c r="H8" s="10"/>
      <c r="I8" s="10">
        <f t="shared" si="5"/>
        <v>488</v>
      </c>
      <c r="J8" s="10">
        <f t="shared" si="3"/>
        <v>40150853575.519112</v>
      </c>
      <c r="K8" s="11">
        <f t="shared" si="4"/>
        <v>1.2539999999999996E-2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11"/>
      <c r="H9" s="10"/>
      <c r="I9" s="10">
        <f t="shared" si="5"/>
        <v>488</v>
      </c>
      <c r="J9" s="10">
        <f t="shared" si="3"/>
        <v>39653597463.328964</v>
      </c>
      <c r="K9" s="11">
        <f t="shared" si="4"/>
        <v>1.2299999999999756E-2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11"/>
      <c r="H10" s="10"/>
      <c r="I10" s="10">
        <f t="shared" si="5"/>
        <v>488</v>
      </c>
      <c r="J10" s="10">
        <f t="shared" si="3"/>
        <v>39171784513.80912</v>
      </c>
      <c r="K10" s="11">
        <f t="shared" si="4"/>
        <v>1.1989999999999945E-2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11"/>
      <c r="H11" s="10"/>
      <c r="I11" s="10">
        <f t="shared" si="5"/>
        <v>488</v>
      </c>
      <c r="J11" s="10">
        <f t="shared" si="3"/>
        <v>38707679437.355232</v>
      </c>
      <c r="K11" s="11">
        <f t="shared" si="4"/>
        <v>2.0790000000000086E-2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11"/>
      <c r="H12" s="10"/>
      <c r="I12" s="10">
        <f t="shared" si="5"/>
        <v>488</v>
      </c>
      <c r="J12" s="10">
        <f t="shared" si="3"/>
        <v>37919336432.914925</v>
      </c>
      <c r="K12" s="11">
        <f t="shared" si="4"/>
        <v>2.2319999999999673E-2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11"/>
      <c r="H13" s="10"/>
      <c r="I13" s="10">
        <f t="shared" si="5"/>
        <v>488</v>
      </c>
      <c r="J13" s="10">
        <f t="shared" si="3"/>
        <v>37091455153.880325</v>
      </c>
      <c r="K13" s="11">
        <f t="shared" si="4"/>
        <v>2.1940000000000071E-2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11"/>
      <c r="H14" s="10"/>
      <c r="I14" s="10">
        <f t="shared" si="5"/>
        <v>488</v>
      </c>
      <c r="J14" s="10">
        <f t="shared" si="3"/>
        <v>36295139786.954536</v>
      </c>
      <c r="K14" s="11">
        <f t="shared" si="4"/>
        <v>2.083999999999997E-2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11"/>
      <c r="H15" s="10"/>
      <c r="I15" s="10">
        <f t="shared" si="5"/>
        <v>488</v>
      </c>
      <c r="J15" s="10">
        <f t="shared" si="3"/>
        <v>35554190457.813698</v>
      </c>
      <c r="K15" s="11">
        <f t="shared" si="4"/>
        <v>2.1220000000000017E-2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11"/>
      <c r="H16" s="10"/>
      <c r="I16" s="10">
        <f t="shared" si="5"/>
        <v>488</v>
      </c>
      <c r="J16" s="10">
        <f t="shared" si="3"/>
        <v>34815407510.442116</v>
      </c>
      <c r="K16" s="11">
        <f t="shared" si="4"/>
        <v>1.5349999999999975E-2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11"/>
      <c r="H17" s="10"/>
      <c r="I17" s="10">
        <f t="shared" si="5"/>
        <v>488</v>
      </c>
      <c r="J17" s="10">
        <f t="shared" si="3"/>
        <v>34289070281.619259</v>
      </c>
      <c r="K17" s="11">
        <f t="shared" si="4"/>
        <v>1.5530000000000044E-2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11"/>
      <c r="H18" s="10"/>
      <c r="I18" s="10">
        <f t="shared" si="5"/>
        <v>488</v>
      </c>
      <c r="J18" s="10">
        <f t="shared" si="3"/>
        <v>33764704421.946426</v>
      </c>
      <c r="K18" s="11">
        <f t="shared" si="4"/>
        <v>1.3980000000000103E-2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11"/>
      <c r="H19" s="10"/>
      <c r="I19" s="10">
        <f t="shared" si="5"/>
        <v>488</v>
      </c>
      <c r="J19" s="10">
        <f t="shared" si="3"/>
        <v>33299181859.549911</v>
      </c>
      <c r="K19" s="11">
        <f t="shared" si="4"/>
        <v>1.4509999999999801E-2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11"/>
      <c r="H20" s="10"/>
      <c r="I20" s="10">
        <f t="shared" si="5"/>
        <v>488</v>
      </c>
      <c r="J20" s="10">
        <f t="shared" si="3"/>
        <v>32822921271.894722</v>
      </c>
      <c r="K20" s="11">
        <f t="shared" si="4"/>
        <v>1.2960000000000083E-2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11"/>
      <c r="H21" s="10"/>
      <c r="I21" s="10">
        <f t="shared" si="5"/>
        <v>488</v>
      </c>
      <c r="J21" s="10">
        <f t="shared" si="3"/>
        <v>32402978668.352863</v>
      </c>
      <c r="K21" s="11">
        <f t="shared" si="4"/>
        <v>1.1009999999999964E-2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11"/>
      <c r="H22" s="10"/>
      <c r="I22" s="10">
        <f t="shared" si="5"/>
        <v>488</v>
      </c>
      <c r="J22" s="10">
        <f t="shared" si="3"/>
        <v>32050106990.388683</v>
      </c>
      <c r="K22" s="11">
        <f t="shared" si="4"/>
        <v>1.0599999999999943E-2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11"/>
      <c r="H23" s="10"/>
      <c r="I23" s="10">
        <f t="shared" si="5"/>
        <v>488</v>
      </c>
      <c r="J23" s="10">
        <f t="shared" si="3"/>
        <v>31713939234.502953</v>
      </c>
      <c r="K23" s="11">
        <f t="shared" si="4"/>
        <v>1.1549999999999727E-2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11"/>
      <c r="H24" s="10"/>
      <c r="I24" s="10">
        <f t="shared" si="5"/>
        <v>488</v>
      </c>
      <c r="J24" s="10">
        <f t="shared" si="3"/>
        <v>31351825648.265491</v>
      </c>
      <c r="K24" s="11">
        <f t="shared" si="4"/>
        <v>1.7759999999999998E-2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11"/>
      <c r="H25" s="10"/>
      <c r="I25" s="10">
        <f t="shared" si="5"/>
        <v>488</v>
      </c>
      <c r="J25" s="10">
        <f t="shared" si="3"/>
        <v>30804733579.886703</v>
      </c>
      <c r="K25" s="11">
        <f t="shared" si="4"/>
        <v>1.493000000000011E-2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11"/>
      <c r="H26" s="10"/>
      <c r="I26" s="10">
        <f t="shared" si="5"/>
        <v>488</v>
      </c>
      <c r="J26" s="10">
        <f t="shared" si="3"/>
        <v>30351584424.429958</v>
      </c>
      <c r="K26" s="11">
        <f t="shared" si="4"/>
        <v>2.4719999999999853E-2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11"/>
      <c r="H27" s="10"/>
      <c r="I27" s="10">
        <f t="shared" si="5"/>
        <v>488</v>
      </c>
      <c r="J27" s="10">
        <f t="shared" si="3"/>
        <v>29619393028.759037</v>
      </c>
      <c r="K27" s="11">
        <f t="shared" si="4"/>
        <v>2.966000000000002E-2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11"/>
      <c r="H28" s="10"/>
      <c r="I28" s="10">
        <f t="shared" si="5"/>
        <v>488</v>
      </c>
      <c r="J28" s="10">
        <f t="shared" si="3"/>
        <v>28766187895.770481</v>
      </c>
      <c r="K28" s="11">
        <f t="shared" si="4"/>
        <v>2.8560000000000141E-2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11"/>
      <c r="H29" s="10"/>
      <c r="I29" s="10">
        <f t="shared" si="5"/>
        <v>488</v>
      </c>
      <c r="J29" s="10">
        <f t="shared" si="3"/>
        <v>27967437870.197636</v>
      </c>
      <c r="K29" s="11">
        <f t="shared" si="4"/>
        <v>2.9879999999999907E-2</v>
      </c>
      <c r="L29" t="inlineStr">
        <is>
          <t xml:space="preserve">Ocaun Famine.</t>
        </is>
      </c>
      <c r="M29" t="inlineStr">
        <is>
          <t xml:space="preserve">Ocaun Famine (1738): a mass food shortage.</t>
        </is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11"/>
      <c r="H30" s="10"/>
      <c r="I30" s="10">
        <f t="shared" si="5"/>
        <v>488</v>
      </c>
      <c r="J30" s="10">
        <f t="shared" si="3"/>
        <v>27156016108.864761</v>
      </c>
      <c r="K30" s="11">
        <f t="shared" si="4"/>
        <v>3.4759999999999902E-2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11"/>
      <c r="H31" s="10"/>
      <c r="I31" s="10">
        <f t="shared" si="5"/>
        <v>488</v>
      </c>
      <c r="J31" s="10">
        <f t="shared" si="3"/>
        <v>26243782238.262749</v>
      </c>
      <c r="K31" s="11">
        <f t="shared" si="4"/>
        <v>3.6969999999999947E-2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11"/>
      <c r="H32" s="10"/>
      <c r="I32" s="10">
        <f t="shared" si="5"/>
        <v>488</v>
      </c>
      <c r="J32" s="10">
        <f t="shared" si="3"/>
        <v>25308140291.679363</v>
      </c>
      <c r="K32" s="11">
        <f t="shared" si="4"/>
        <v>3.6829999999999696E-2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11"/>
      <c r="H33" s="10"/>
      <c r="I33" s="10">
        <f t="shared" si="5"/>
        <v>488</v>
      </c>
      <c r="J33" s="10">
        <f t="shared" si="3"/>
        <v>24409151251.101307</v>
      </c>
      <c r="K33" s="11">
        <f t="shared" si="4"/>
        <v>3.6640000000000006E-2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11"/>
      <c r="H34" s="10"/>
      <c r="I34" s="10">
        <f t="shared" si="5"/>
        <v>488</v>
      </c>
      <c r="J34" s="10">
        <f t="shared" ref="J34:J65" si="6">IF(I34="","",I34*C34)</f>
        <v>23546410760.824688</v>
      </c>
      <c r="K34" s="11">
        <f t="shared" ref="K34:K65" si="7">IFERROR(J34/J35-1,"")</f>
        <v>3.8639999999999786E-2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11"/>
      <c r="H35" s="10"/>
      <c r="I35" s="10">
        <f t="shared" ref="I35:I66" si="8">IF(H35&lt;&gt;"",H35,I34/(1+IF(G34="",0,G34)))</f>
        <v>488</v>
      </c>
      <c r="J35" s="10">
        <f t="shared" si="6"/>
        <v>22670425518.779068</v>
      </c>
      <c r="K35" s="11">
        <f t="shared" si="7"/>
        <v>3.9230000000000098E-2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11"/>
      <c r="H36" s="10"/>
      <c r="I36" s="10">
        <f t="shared" si="8"/>
        <v>488</v>
      </c>
      <c r="J36" s="10">
        <f t="shared" si="6"/>
        <v>21814637297.594437</v>
      </c>
      <c r="K36" s="11">
        <f t="shared" si="7"/>
        <v>3.74000000000001E-2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11"/>
      <c r="H37" s="10"/>
      <c r="I37" s="10">
        <f t="shared" si="8"/>
        <v>488</v>
      </c>
      <c r="J37" s="10">
        <f t="shared" si="6"/>
        <v>21028183244.259144</v>
      </c>
      <c r="K37" s="11">
        <f t="shared" si="7"/>
        <v>3.6769999999999969E-2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11"/>
      <c r="H38" s="10"/>
      <c r="I38" s="10">
        <f t="shared" si="8"/>
        <v>488</v>
      </c>
      <c r="J38" s="10">
        <f t="shared" si="6"/>
        <v>20282399417.671368</v>
      </c>
      <c r="K38" s="11">
        <f t="shared" si="7"/>
        <v>3.5649999999999959E-2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11"/>
      <c r="H39" s="10"/>
      <c r="I39" s="10">
        <f t="shared" si="8"/>
        <v>488</v>
      </c>
      <c r="J39" s="10">
        <f t="shared" si="6"/>
        <v>19584221906.697598</v>
      </c>
      <c r="K39" s="11">
        <f t="shared" si="7"/>
        <v>3.3050000000000024E-2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11"/>
      <c r="H40" s="10"/>
      <c r="I40" s="10">
        <f t="shared" si="8"/>
        <v>488</v>
      </c>
      <c r="J40" s="10">
        <f t="shared" si="6"/>
        <v>18957670883.981991</v>
      </c>
      <c r="K40" s="11">
        <f t="shared" si="7"/>
        <v>3.2280000000000086E-2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11"/>
      <c r="H41" s="10"/>
      <c r="I41" s="10">
        <f t="shared" si="8"/>
        <v>488</v>
      </c>
      <c r="J41" s="10">
        <f t="shared" si="6"/>
        <v>18364853415.722469</v>
      </c>
      <c r="K41" s="11">
        <f t="shared" si="7"/>
        <v>2.9630000000000045E-2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11"/>
      <c r="H42" s="10"/>
      <c r="I42" s="10">
        <f t="shared" si="8"/>
        <v>488</v>
      </c>
      <c r="J42" s="10">
        <f t="shared" si="6"/>
        <v>17836362009.384407</v>
      </c>
      <c r="K42" s="11">
        <f t="shared" si="7"/>
        <v>3.065999999999991E-2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11"/>
      <c r="H43" s="10"/>
      <c r="I43" s="10">
        <f t="shared" si="8"/>
        <v>488</v>
      </c>
      <c r="J43" s="10">
        <f t="shared" si="6"/>
        <v>17305767187.418167</v>
      </c>
      <c r="K43" s="11">
        <f t="shared" si="7"/>
        <v>2.9779999999999696E-2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11"/>
      <c r="H44" s="10"/>
      <c r="I44" s="10">
        <f t="shared" si="8"/>
        <v>488</v>
      </c>
      <c r="J44" s="10">
        <f t="shared" si="6"/>
        <v>16805305198.603752</v>
      </c>
      <c r="K44" s="11">
        <f t="shared" si="7"/>
        <v>2.9420000000000002E-2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11"/>
      <c r="H45" s="10"/>
      <c r="I45" s="10">
        <f t="shared" si="8"/>
        <v>488</v>
      </c>
      <c r="J45" s="10">
        <f t="shared" si="6"/>
        <v>16325023021.316616</v>
      </c>
      <c r="K45" s="11">
        <f t="shared" si="7"/>
        <v>2.91300000000001E-2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11"/>
      <c r="H46" s="10"/>
      <c r="I46" s="10">
        <f t="shared" si="8"/>
        <v>488</v>
      </c>
      <c r="J46" s="10">
        <f t="shared" si="6"/>
        <v>15862935704.25176</v>
      </c>
      <c r="K46" s="11">
        <f t="shared" si="7"/>
        <v>2.9430000000000067E-2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11"/>
      <c r="H47" s="10"/>
      <c r="I47" s="10">
        <f t="shared" si="8"/>
        <v>488</v>
      </c>
      <c r="J47" s="10">
        <f t="shared" si="6"/>
        <v>15409436002.692518</v>
      </c>
      <c r="K47" s="11">
        <f t="shared" si="7"/>
        <v>3.0350000000000099E-2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11"/>
      <c r="H48" s="10"/>
      <c r="I48" s="10">
        <f t="shared" si="8"/>
        <v>488</v>
      </c>
      <c r="J48" s="10">
        <f t="shared" si="6"/>
        <v>14955535500.259636</v>
      </c>
      <c r="K48" s="11">
        <f t="shared" si="7"/>
        <v>3.0380000000000074E-2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11"/>
      <c r="H49" s="10"/>
      <c r="I49" s="10">
        <f t="shared" si="8"/>
        <v>488</v>
      </c>
      <c r="J49" s="10">
        <f t="shared" si="6"/>
        <v>14514582484.384048</v>
      </c>
      <c r="K49" s="11">
        <f t="shared" si="7"/>
        <v>2.9649999999999954E-2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11"/>
      <c r="H50" s="10"/>
      <c r="I50" s="10">
        <f t="shared" si="8"/>
        <v>488</v>
      </c>
      <c r="J50" s="10">
        <f t="shared" si="6"/>
        <v>14096617767.575438</v>
      </c>
      <c r="K50" s="11">
        <f t="shared" si="7"/>
        <v>3.0219999999999914E-2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11"/>
      <c r="H51" s="10"/>
      <c r="I51" s="10">
        <f t="shared" si="8"/>
        <v>488</v>
      </c>
      <c r="J51" s="10">
        <f t="shared" si="6"/>
        <v>13683114060.662226</v>
      </c>
      <c r="K51" s="11">
        <f t="shared" si="7"/>
        <v>3.0729999999999924E-2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11"/>
      <c r="H52" s="10"/>
      <c r="I52" s="10">
        <f t="shared" si="8"/>
        <v>488</v>
      </c>
      <c r="J52" s="10">
        <f t="shared" si="6"/>
        <v>13275168143.609119</v>
      </c>
      <c r="K52" s="11">
        <f t="shared" si="7"/>
        <v>3.1590000000000229E-2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11"/>
      <c r="H53" s="10"/>
      <c r="I53" s="10">
        <f t="shared" si="8"/>
        <v>488</v>
      </c>
      <c r="J53" s="10">
        <f t="shared" si="6"/>
        <v>12868647566.96858</v>
      </c>
      <c r="K53" s="11">
        <f t="shared" si="7"/>
        <v>3.1220000000000026E-2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11"/>
      <c r="H54" s="10"/>
      <c r="I54" s="10">
        <f t="shared" si="8"/>
        <v>488</v>
      </c>
      <c r="J54" s="10">
        <f t="shared" si="6"/>
        <v>12479051576.742674</v>
      </c>
      <c r="K54" s="11">
        <f t="shared" si="7"/>
        <v>3.1050000000000022E-2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11"/>
      <c r="H55" s="10"/>
      <c r="I55" s="10">
        <f t="shared" si="8"/>
        <v>488</v>
      </c>
      <c r="J55" s="10">
        <f t="shared" si="6"/>
        <v>12103245794.813709</v>
      </c>
      <c r="K55" s="11">
        <f t="shared" si="7"/>
        <v>3.0340000000000034E-2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11"/>
      <c r="H56" s="10"/>
      <c r="I56" s="10">
        <f t="shared" si="8"/>
        <v>488</v>
      </c>
      <c r="J56" s="10">
        <f t="shared" si="6"/>
        <v>11746846472.828104</v>
      </c>
      <c r="K56" s="11">
        <f t="shared" si="7"/>
        <v>3.0399999999999761E-2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11"/>
      <c r="H57" s="10"/>
      <c r="I57" s="10">
        <f t="shared" si="8"/>
        <v>488</v>
      </c>
      <c r="J57" s="10">
        <f t="shared" si="6"/>
        <v>11400278020.990009</v>
      </c>
      <c r="K57" s="11">
        <f t="shared" si="7"/>
        <v>2.9719999999999969E-2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11"/>
      <c r="H58" s="10"/>
      <c r="I58" s="10">
        <f t="shared" si="8"/>
        <v>488</v>
      </c>
      <c r="J58" s="10">
        <f t="shared" si="6"/>
        <v>11071240746.018345</v>
      </c>
      <c r="K58" s="11">
        <f t="shared" si="7"/>
        <v>2.9230000000000089E-2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11"/>
      <c r="H59" s="10"/>
      <c r="I59" s="10">
        <f t="shared" si="8"/>
        <v>488</v>
      </c>
      <c r="J59" s="10">
        <f t="shared" si="6"/>
        <v>10756818928.731522</v>
      </c>
      <c r="K59" s="11">
        <f t="shared" si="7"/>
        <v>2.7209999999999956E-2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11"/>
      <c r="H60" s="10"/>
      <c r="I60" s="10">
        <f t="shared" si="8"/>
        <v>488</v>
      </c>
      <c r="J60" s="10">
        <f t="shared" si="6"/>
        <v>10471879098.46236</v>
      </c>
      <c r="K60" s="11">
        <f t="shared" si="7"/>
        <v>2.676999999999996E-2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11"/>
      <c r="H61" s="10"/>
      <c r="I61" s="10">
        <f t="shared" si="8"/>
        <v>488</v>
      </c>
      <c r="J61" s="10">
        <f t="shared" si="6"/>
        <v>10198855730.555393</v>
      </c>
      <c r="K61" s="11">
        <f t="shared" si="7"/>
        <v>2.6920000000000055E-2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11"/>
      <c r="H62" s="10"/>
      <c r="I62" s="10">
        <f t="shared" si="8"/>
        <v>488</v>
      </c>
      <c r="J62" s="10">
        <f t="shared" si="6"/>
        <v>9931499757.0944118</v>
      </c>
      <c r="K62" s="11">
        <f t="shared" si="7"/>
        <v>2.621999999999991E-2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11"/>
      <c r="H63" s="10"/>
      <c r="I63" s="10">
        <f t="shared" si="8"/>
        <v>488</v>
      </c>
      <c r="J63" s="10">
        <f t="shared" si="6"/>
        <v>9677749173.7584648</v>
      </c>
      <c r="K63" s="11">
        <f t="shared" si="7"/>
        <v>2.517999999999998E-2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11"/>
      <c r="H64" s="10"/>
      <c r="I64" s="10">
        <f t="shared" si="8"/>
        <v>488</v>
      </c>
      <c r="J64" s="10">
        <f t="shared" si="6"/>
        <v>9440048746.3259773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11"/>
      <c r="H65" s="10"/>
      <c r="I65" s="10">
        <f t="shared" si="8"/>
        <v>488</v>
      </c>
      <c r="J65" s="10">
        <f t="shared" si="6"/>
        <v>9213399127.7825279</v>
      </c>
      <c r="K65" s="11">
        <f t="shared" si="7"/>
        <v>2.4800000000000155E-2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6">
        <f>SUM(F2)</f>
        <v>88913943</v>
      </c>
      <c r="G66" s="11"/>
      <c r="H66" s="10"/>
      <c r="I66" s="10">
        <f t="shared" si="8"/>
        <v>488</v>
      </c>
      <c r="J66" s="10">
        <f t="shared" ref="J66:J97" si="9">IF(I66="","",I66*C66)</f>
        <v>8990436307.3599987</v>
      </c>
      <c r="K66" s="11">
        <f t="shared" ref="K66:K97" si="10">IFERROR(J66/J67-1,"")</f>
        <v>2.4599999999999955E-2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11"/>
      <c r="H67" s="10"/>
      <c r="I67" s="10">
        <f t="shared" ref="I67:I98" si="11">IF(H67&lt;&gt;"",H67,I66/(1+IF(G66="",0,G66)))</f>
        <v>488</v>
      </c>
      <c r="J67" s="10">
        <f t="shared" si="9"/>
        <v>8774581600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5">
        <v>33245174</v>
      </c>
      <c r="G2" s="11"/>
      <c r="H2" s="10"/>
      <c r="I2" s="10">
        <f>IF(H2&lt;&gt;"",H2,8770)</f>
        <v>8770</v>
      </c>
      <c r="J2" s="10">
        <f t="shared" ref="J2:J33" si="3">IF(I2="","",I2*C2)</f>
        <v>291567044909.09741</v>
      </c>
      <c r="K2" s="11">
        <f t="shared" ref="K2:K33" si="4">IFERROR(J2/J3-1,"")</f>
        <v>1.7309999999999715E-2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11"/>
      <c r="H3" s="10"/>
      <c r="I3" s="10">
        <f t="shared" ref="I3:I34" si="5">IF(H3&lt;&gt;"",H3,I2/(1+IF(G2="",0,G2)))</f>
        <v>8770</v>
      </c>
      <c r="J3" s="10">
        <f t="shared" si="3"/>
        <v>286605896834.88562</v>
      </c>
      <c r="K3" s="11">
        <f t="shared" si="4"/>
        <v>1.7300000000000093E-2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11"/>
      <c r="H4" s="10"/>
      <c r="I4" s="10">
        <f t="shared" si="5"/>
        <v>8770</v>
      </c>
      <c r="J4" s="10">
        <f t="shared" si="3"/>
        <v>281731934370.27972</v>
      </c>
      <c r="K4" s="11">
        <f t="shared" si="4"/>
        <v>1.7309999999999937E-2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11"/>
      <c r="H5" s="10"/>
      <c r="I5" s="10">
        <f t="shared" si="5"/>
        <v>8770</v>
      </c>
      <c r="J5" s="10">
        <f t="shared" si="3"/>
        <v>276938135249.11749</v>
      </c>
      <c r="K5" s="11">
        <f t="shared" si="4"/>
        <v>1.7539999999999889E-2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11"/>
      <c r="H6" s="10"/>
      <c r="I6" s="10">
        <f t="shared" si="5"/>
        <v>8770</v>
      </c>
      <c r="J6" s="10">
        <f t="shared" si="3"/>
        <v>272164372161.40646</v>
      </c>
      <c r="K6" s="11">
        <f t="shared" si="4"/>
        <v>1.7749999999999932E-2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11"/>
      <c r="H7" s="10"/>
      <c r="I7" s="10">
        <f t="shared" si="5"/>
        <v>8770</v>
      </c>
      <c r="J7" s="10">
        <f t="shared" si="3"/>
        <v>267417707847.12012</v>
      </c>
      <c r="K7" s="11">
        <f t="shared" si="4"/>
        <v>1.7740000000000089E-2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11"/>
      <c r="H8" s="10"/>
      <c r="I8" s="10">
        <f t="shared" si="5"/>
        <v>8770</v>
      </c>
      <c r="J8" s="10">
        <f t="shared" si="3"/>
        <v>262756409148.82004</v>
      </c>
      <c r="K8" s="11">
        <f t="shared" si="4"/>
        <v>1.7940000000000067E-2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11"/>
      <c r="H9" s="10"/>
      <c r="I9" s="10">
        <f t="shared" si="5"/>
        <v>8770</v>
      </c>
      <c r="J9" s="10">
        <f t="shared" si="3"/>
        <v>258125635252.39209</v>
      </c>
      <c r="K9" s="11">
        <f t="shared" si="4"/>
        <v>1.8149999999999888E-2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11"/>
      <c r="H10" s="10"/>
      <c r="I10" s="10">
        <f t="shared" si="5"/>
        <v>8770</v>
      </c>
      <c r="J10" s="10">
        <f t="shared" si="3"/>
        <v>253524171538.95999</v>
      </c>
      <c r="K10" s="11">
        <f t="shared" si="4"/>
        <v>1.8270000000000008E-2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11"/>
      <c r="H11" s="10"/>
      <c r="I11" s="10">
        <f t="shared" si="5"/>
        <v>8770</v>
      </c>
      <c r="J11" s="10">
        <f t="shared" si="3"/>
        <v>248975391142.78137</v>
      </c>
      <c r="K11" s="11">
        <f t="shared" si="4"/>
        <v>1.8410000000000037E-2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11"/>
      <c r="H12" s="10"/>
      <c r="I12" s="10">
        <f t="shared" si="5"/>
        <v>8770</v>
      </c>
      <c r="J12" s="10">
        <f t="shared" si="3"/>
        <v>244474613508.09729</v>
      </c>
      <c r="K12" s="11">
        <f t="shared" si="4"/>
        <v>1.8669999999999964E-2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11"/>
      <c r="H13" s="10"/>
      <c r="I13" s="10">
        <f t="shared" si="5"/>
        <v>8770</v>
      </c>
      <c r="J13" s="10">
        <f t="shared" si="3"/>
        <v>239993926893.00488</v>
      </c>
      <c r="K13" s="11">
        <f t="shared" si="4"/>
        <v>1.902999999999988E-2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11"/>
      <c r="H14" s="10"/>
      <c r="I14" s="10">
        <f t="shared" si="5"/>
        <v>8770</v>
      </c>
      <c r="J14" s="10">
        <f t="shared" si="3"/>
        <v>235512131039.32651</v>
      </c>
      <c r="K14" s="11">
        <f t="shared" si="4"/>
        <v>1.906999999999992E-2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11"/>
      <c r="H15" s="10"/>
      <c r="I15" s="10">
        <f t="shared" si="5"/>
        <v>8770</v>
      </c>
      <c r="J15" s="10">
        <f t="shared" si="3"/>
        <v>231104959462.37894</v>
      </c>
      <c r="K15" s="11">
        <f t="shared" si="4"/>
        <v>1.9209999999999949E-2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11"/>
      <c r="H16" s="10"/>
      <c r="I16" s="10">
        <f t="shared" si="5"/>
        <v>8770</v>
      </c>
      <c r="J16" s="10">
        <f t="shared" si="3"/>
        <v>226749109077.00958</v>
      </c>
      <c r="K16" s="11">
        <f t="shared" si="4"/>
        <v>1.9390000000000018E-2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11"/>
      <c r="H17" s="10"/>
      <c r="I17" s="10">
        <f t="shared" si="5"/>
        <v>8770</v>
      </c>
      <c r="J17" s="10">
        <f t="shared" si="3"/>
        <v>222436073609.71716</v>
      </c>
      <c r="K17" s="11">
        <f t="shared" si="4"/>
        <v>1.9539999999999891E-2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11"/>
      <c r="H18" s="10"/>
      <c r="I18" s="10">
        <f t="shared" si="5"/>
        <v>8770</v>
      </c>
      <c r="J18" s="10">
        <f t="shared" si="3"/>
        <v>218172973703.54984</v>
      </c>
      <c r="K18" s="11">
        <f t="shared" si="4"/>
        <v>1.9740000000000091E-2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11"/>
      <c r="H19" s="10"/>
      <c r="I19" s="10">
        <f t="shared" si="5"/>
        <v>8770</v>
      </c>
      <c r="J19" s="10">
        <f t="shared" si="3"/>
        <v>213949608433.08081</v>
      </c>
      <c r="K19" s="11">
        <f t="shared" si="4"/>
        <v>1.9889999999999963E-2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11"/>
      <c r="H20" s="10"/>
      <c r="I20" s="10">
        <f t="shared" si="5"/>
        <v>8770</v>
      </c>
      <c r="J20" s="10">
        <f t="shared" si="3"/>
        <v>209777141096.66809</v>
      </c>
      <c r="K20" s="11">
        <f t="shared" si="4"/>
        <v>2.0049999999999901E-2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11"/>
      <c r="H21" s="10"/>
      <c r="I21" s="10">
        <f t="shared" si="5"/>
        <v>8770</v>
      </c>
      <c r="J21" s="10">
        <f t="shared" si="3"/>
        <v>205653782752.48087</v>
      </c>
      <c r="K21" s="11">
        <f t="shared" si="4"/>
        <v>2.0160000000000178E-2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11"/>
      <c r="H22" s="10"/>
      <c r="I22" s="10">
        <f t="shared" si="5"/>
        <v>8770</v>
      </c>
      <c r="J22" s="10">
        <f t="shared" si="3"/>
        <v>201589733720.67209</v>
      </c>
      <c r="K22" s="11">
        <f t="shared" si="4"/>
        <v>2.0289999999999919E-2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11"/>
      <c r="H23" s="10"/>
      <c r="I23" s="10">
        <f t="shared" si="5"/>
        <v>8770</v>
      </c>
      <c r="J23" s="10">
        <f t="shared" si="3"/>
        <v>197580818905.08789</v>
      </c>
      <c r="K23" s="11">
        <f t="shared" si="4"/>
        <v>2.0510000000000028E-2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11"/>
      <c r="H24" s="10"/>
      <c r="I24" s="10">
        <f t="shared" si="5"/>
        <v>8770</v>
      </c>
      <c r="J24" s="10">
        <f t="shared" si="3"/>
        <v>193609880260.93607</v>
      </c>
      <c r="K24" s="11">
        <f t="shared" si="4"/>
        <v>2.0710000000000006E-2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11"/>
      <c r="H25" s="10"/>
      <c r="I25" s="10">
        <f t="shared" si="5"/>
        <v>8770</v>
      </c>
      <c r="J25" s="10">
        <f t="shared" si="3"/>
        <v>189681574845.87793</v>
      </c>
      <c r="K25" s="11">
        <f t="shared" si="4"/>
        <v>2.083999999999997E-2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11"/>
      <c r="H26" s="10"/>
      <c r="I26" s="10">
        <f t="shared" si="5"/>
        <v>8770</v>
      </c>
      <c r="J26" s="10">
        <f t="shared" si="3"/>
        <v>185809308849.45529</v>
      </c>
      <c r="K26" s="11">
        <f t="shared" si="4"/>
        <v>2.1039999999999948E-2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11"/>
      <c r="H27" s="10"/>
      <c r="I27" s="10">
        <f t="shared" si="5"/>
        <v>8770</v>
      </c>
      <c r="J27" s="10">
        <f t="shared" si="3"/>
        <v>181980440383.78055</v>
      </c>
      <c r="K27" s="11">
        <f t="shared" si="4"/>
        <v>2.1419999999999995E-2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11"/>
      <c r="H28" s="10"/>
      <c r="I28" s="10">
        <f t="shared" si="5"/>
        <v>8770</v>
      </c>
      <c r="J28" s="10">
        <f t="shared" si="3"/>
        <v>178164163991.09137</v>
      </c>
      <c r="K28" s="11">
        <f t="shared" si="4"/>
        <v>2.1190000000000042E-2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11"/>
      <c r="H29" s="10"/>
      <c r="I29" s="10">
        <f t="shared" si="5"/>
        <v>8770</v>
      </c>
      <c r="J29" s="10">
        <f t="shared" si="3"/>
        <v>174467203939.61102</v>
      </c>
      <c r="K29" s="11">
        <f t="shared" si="4"/>
        <v>2.1679999999999922E-2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11"/>
      <c r="H30" s="10"/>
      <c r="I30" s="10">
        <f t="shared" si="5"/>
        <v>8770</v>
      </c>
      <c r="J30" s="10">
        <f t="shared" si="3"/>
        <v>170765018341.9574</v>
      </c>
      <c r="K30" s="11">
        <f t="shared" si="4"/>
        <v>2.204000000000006E-2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11"/>
      <c r="H31" s="10"/>
      <c r="I31" s="10">
        <f t="shared" si="5"/>
        <v>8770</v>
      </c>
      <c r="J31" s="10">
        <f t="shared" si="3"/>
        <v>167082519609.75833</v>
      </c>
      <c r="K31" s="11">
        <f t="shared" si="4"/>
        <v>2.2450000000000303E-2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11"/>
      <c r="H32" s="10"/>
      <c r="I32" s="10">
        <f t="shared" si="5"/>
        <v>8770</v>
      </c>
      <c r="J32" s="10">
        <f t="shared" si="3"/>
        <v>163413878047.5899</v>
      </c>
      <c r="K32" s="11">
        <f t="shared" si="4"/>
        <v>2.2839999999999971E-2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11"/>
      <c r="H33" s="10"/>
      <c r="I33" s="10">
        <f t="shared" si="5"/>
        <v>8770</v>
      </c>
      <c r="J33" s="10">
        <f t="shared" si="3"/>
        <v>159764848898.74261</v>
      </c>
      <c r="K33" s="11">
        <f t="shared" si="4"/>
        <v>2.3250000000000215E-2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11"/>
      <c r="H34" s="10"/>
      <c r="I34" s="10">
        <f t="shared" si="5"/>
        <v>8770</v>
      </c>
      <c r="J34" s="10">
        <f t="shared" ref="J34:J65" si="6">IF(I34="","",I34*C34)</f>
        <v>156134716734.66171</v>
      </c>
      <c r="K34" s="11">
        <f t="shared" ref="K34:K65" si="7">IFERROR(J34/J35-1,"")</f>
        <v>2.3490000000000011E-2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11"/>
      <c r="H35" s="10"/>
      <c r="I35" s="10">
        <f t="shared" ref="I35:I66" si="8">IF(H35&lt;&gt;"",H35,I34/(1+IF(G34="",0,G34)))</f>
        <v>8770</v>
      </c>
      <c r="J35" s="10">
        <f t="shared" si="6"/>
        <v>152551287002.96213</v>
      </c>
      <c r="K35" s="11">
        <f t="shared" si="7"/>
        <v>2.3539999999999894E-2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11"/>
      <c r="H36" s="10"/>
      <c r="I36" s="10">
        <f t="shared" si="8"/>
        <v>8770</v>
      </c>
      <c r="J36" s="10">
        <f t="shared" si="6"/>
        <v>149042819042.69705</v>
      </c>
      <c r="K36" s="11">
        <f t="shared" si="7"/>
        <v>2.3640000000000105E-2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11"/>
      <c r="H37" s="10"/>
      <c r="I37" s="10">
        <f t="shared" si="8"/>
        <v>8770</v>
      </c>
      <c r="J37" s="10">
        <f t="shared" si="6"/>
        <v>145600815758.1738</v>
      </c>
      <c r="K37" s="11">
        <f t="shared" si="7"/>
        <v>2.3689999999999989E-2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11"/>
      <c r="H38" s="10"/>
      <c r="I38" s="10">
        <f t="shared" si="8"/>
        <v>8770</v>
      </c>
      <c r="J38" s="10">
        <f t="shared" si="6"/>
        <v>142231354959.19058</v>
      </c>
      <c r="K38" s="11">
        <f t="shared" si="7"/>
        <v>2.3849999999999927E-2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11"/>
      <c r="H39" s="10"/>
      <c r="I39" s="10">
        <f t="shared" si="8"/>
        <v>8770</v>
      </c>
      <c r="J39" s="10">
        <f t="shared" si="6"/>
        <v>138918156916.72665</v>
      </c>
      <c r="K39" s="11">
        <f t="shared" si="7"/>
        <v>2.405999999999997E-2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11"/>
      <c r="H40" s="10"/>
      <c r="I40" s="10">
        <f t="shared" si="8"/>
        <v>8770</v>
      </c>
      <c r="J40" s="10">
        <f t="shared" si="6"/>
        <v>135654314119.02296</v>
      </c>
      <c r="K40" s="11">
        <f t="shared" si="7"/>
        <v>2.4510000000000032E-2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11"/>
      <c r="H41" s="10"/>
      <c r="I41" s="10">
        <f t="shared" si="8"/>
        <v>8770</v>
      </c>
      <c r="J41" s="10">
        <f t="shared" si="6"/>
        <v>132408970257.9994</v>
      </c>
      <c r="K41" s="11">
        <f t="shared" si="7"/>
        <v>2.5079999999999991E-2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11"/>
      <c r="H42" s="10"/>
      <c r="I42" s="10">
        <f t="shared" si="8"/>
        <v>8770</v>
      </c>
      <c r="J42" s="10">
        <f t="shared" si="6"/>
        <v>129169401664.25977</v>
      </c>
      <c r="K42" s="11">
        <f t="shared" si="7"/>
        <v>2.5700000000000056E-2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11"/>
      <c r="H43" s="10"/>
      <c r="I43" s="10">
        <f t="shared" si="8"/>
        <v>8770</v>
      </c>
      <c r="J43" s="10">
        <f t="shared" si="6"/>
        <v>125932925479.4382</v>
      </c>
      <c r="K43" s="11">
        <f t="shared" si="7"/>
        <v>2.6310000000000056E-2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11"/>
      <c r="H44" s="10"/>
      <c r="I44" s="10">
        <f t="shared" si="8"/>
        <v>8770</v>
      </c>
      <c r="J44" s="10">
        <f t="shared" si="6"/>
        <v>122704568287.78653</v>
      </c>
      <c r="K44" s="11">
        <f t="shared" si="7"/>
        <v>2.681E-2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11"/>
      <c r="H45" s="10"/>
      <c r="I45" s="10">
        <f t="shared" si="8"/>
        <v>8770</v>
      </c>
      <c r="J45" s="10">
        <f t="shared" si="6"/>
        <v>119500753097.24928</v>
      </c>
      <c r="K45" s="11">
        <f t="shared" si="7"/>
        <v>2.7420000000000222E-2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11"/>
      <c r="H46" s="10"/>
      <c r="I46" s="10">
        <f t="shared" si="8"/>
        <v>8770</v>
      </c>
      <c r="J46" s="10">
        <f t="shared" si="6"/>
        <v>116311491986.96664</v>
      </c>
      <c r="K46" s="11">
        <f t="shared" si="7"/>
        <v>2.7910000000000101E-2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11"/>
      <c r="H47" s="10"/>
      <c r="I47" s="10">
        <f t="shared" si="8"/>
        <v>8770</v>
      </c>
      <c r="J47" s="10">
        <f t="shared" si="6"/>
        <v>113153381119.90996</v>
      </c>
      <c r="K47" s="11">
        <f t="shared" si="7"/>
        <v>2.8159999999999963E-2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11"/>
      <c r="H48" s="10"/>
      <c r="I48" s="10">
        <f t="shared" si="8"/>
        <v>8770</v>
      </c>
      <c r="J48" s="10">
        <f t="shared" si="6"/>
        <v>110054253345.69518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11"/>
      <c r="H49" s="10"/>
      <c r="I49" s="10">
        <f t="shared" si="8"/>
        <v>8770</v>
      </c>
      <c r="J49" s="10">
        <f t="shared" si="6"/>
        <v>107015026590.52428</v>
      </c>
      <c r="K49" s="11">
        <f t="shared" si="7"/>
        <v>2.8759999999999675E-2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11"/>
      <c r="H50" s="10"/>
      <c r="I50" s="10">
        <f t="shared" si="8"/>
        <v>8770</v>
      </c>
      <c r="J50" s="10">
        <f t="shared" si="6"/>
        <v>104023316021.73909</v>
      </c>
      <c r="K50" s="11">
        <f t="shared" si="7"/>
        <v>2.9190000000000049E-2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11"/>
      <c r="H51" s="10"/>
      <c r="I51" s="10">
        <f t="shared" si="8"/>
        <v>8770</v>
      </c>
      <c r="J51" s="10">
        <f t="shared" si="6"/>
        <v>101072995289.24599</v>
      </c>
      <c r="K51" s="11">
        <f t="shared" si="7"/>
        <v>2.9630000000000045E-2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11"/>
      <c r="H52" s="10"/>
      <c r="I52" s="10">
        <f t="shared" si="8"/>
        <v>8770</v>
      </c>
      <c r="J52" s="10">
        <f t="shared" si="6"/>
        <v>98164384574.309204</v>
      </c>
      <c r="K52" s="11">
        <f t="shared" si="7"/>
        <v>2.9909999999999881E-2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11"/>
      <c r="H53" s="10"/>
      <c r="I53" s="10">
        <f t="shared" si="8"/>
        <v>8770</v>
      </c>
      <c r="J53" s="10">
        <f t="shared" si="6"/>
        <v>95313556111.028351</v>
      </c>
      <c r="K53" s="11">
        <f t="shared" si="7"/>
        <v>3.0230000000000201E-2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11"/>
      <c r="H54" s="10"/>
      <c r="I54" s="10">
        <f t="shared" si="8"/>
        <v>8770</v>
      </c>
      <c r="J54" s="10">
        <f t="shared" si="6"/>
        <v>92516774032.03978</v>
      </c>
      <c r="K54" s="11">
        <f t="shared" si="7"/>
        <v>3.0429999999999957E-2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11"/>
      <c r="H55" s="10"/>
      <c r="I55" s="10">
        <f t="shared" si="8"/>
        <v>8770</v>
      </c>
      <c r="J55" s="10">
        <f t="shared" si="6"/>
        <v>89784627807.847</v>
      </c>
      <c r="K55" s="11">
        <f t="shared" si="7"/>
        <v>3.025000000000011E-2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11"/>
      <c r="H56" s="10"/>
      <c r="I56" s="10">
        <f t="shared" si="8"/>
        <v>8770</v>
      </c>
      <c r="J56" s="10">
        <f t="shared" si="6"/>
        <v>87148389039.404999</v>
      </c>
      <c r="K56" s="11">
        <f t="shared" si="7"/>
        <v>2.9930000000000012E-2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11"/>
      <c r="H57" s="10"/>
      <c r="I57" s="10">
        <f t="shared" si="8"/>
        <v>8770</v>
      </c>
      <c r="J57" s="10">
        <f t="shared" si="6"/>
        <v>84615837036.890854</v>
      </c>
      <c r="K57" s="11">
        <f t="shared" si="7"/>
        <v>2.9330000000000078E-2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11"/>
      <c r="H58" s="10"/>
      <c r="I58" s="10">
        <f t="shared" si="8"/>
        <v>8770</v>
      </c>
      <c r="J58" s="10">
        <f t="shared" si="6"/>
        <v>82204771100.512802</v>
      </c>
      <c r="K58" s="11">
        <f t="shared" si="7"/>
        <v>2.8699999999999726E-2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11"/>
      <c r="H59" s="10"/>
      <c r="I59" s="10">
        <f t="shared" si="8"/>
        <v>8770</v>
      </c>
      <c r="J59" s="10">
        <f t="shared" si="6"/>
        <v>79911316322.069427</v>
      </c>
      <c r="K59" s="11">
        <f t="shared" si="7"/>
        <v>2.8120000000000145E-2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11"/>
      <c r="H60" s="10"/>
      <c r="I60" s="10">
        <f t="shared" si="8"/>
        <v>8770</v>
      </c>
      <c r="J60" s="10">
        <f t="shared" si="6"/>
        <v>77725670468.495331</v>
      </c>
      <c r="K60" s="11">
        <f t="shared" si="7"/>
        <v>2.7679999999999705E-2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11"/>
      <c r="H61" s="10"/>
      <c r="I61" s="10">
        <f t="shared" si="8"/>
        <v>8770</v>
      </c>
      <c r="J61" s="10">
        <f t="shared" si="6"/>
        <v>75632171948.948456</v>
      </c>
      <c r="K61" s="11">
        <f t="shared" si="7"/>
        <v>2.7300000000000102E-2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11"/>
      <c r="H62" s="10"/>
      <c r="I62" s="10">
        <f t="shared" si="8"/>
        <v>8770</v>
      </c>
      <c r="J62" s="10">
        <f t="shared" si="6"/>
        <v>73622283606.491241</v>
      </c>
      <c r="K62" s="11">
        <f t="shared" si="7"/>
        <v>2.6929999999999676E-2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11"/>
      <c r="H63" s="10"/>
      <c r="I63" s="10">
        <f t="shared" si="8"/>
        <v>8770</v>
      </c>
      <c r="J63" s="10">
        <f t="shared" si="6"/>
        <v>71691628062.761108</v>
      </c>
      <c r="K63" s="11">
        <f t="shared" si="7"/>
        <v>2.6639999999999997E-2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11"/>
      <c r="H64" s="10"/>
      <c r="I64" s="10">
        <f t="shared" si="8"/>
        <v>8770</v>
      </c>
      <c r="J64" s="10">
        <f t="shared" si="6"/>
        <v>69831321653.901184</v>
      </c>
      <c r="K64" s="11">
        <f t="shared" si="7"/>
        <v>2.6280000000000081E-2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11"/>
      <c r="H65" s="10"/>
      <c r="I65" s="10">
        <f t="shared" si="8"/>
        <v>8770</v>
      </c>
      <c r="J65" s="10">
        <f t="shared" si="6"/>
        <v>68043147731.516907</v>
      </c>
      <c r="K65" s="11">
        <f t="shared" si="7"/>
        <v>2.5539999999999896E-2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6">
        <f>SUM(F2)</f>
        <v>33245174</v>
      </c>
      <c r="G66" s="11"/>
      <c r="H66" s="10"/>
      <c r="I66" s="10">
        <f t="shared" si="8"/>
        <v>8770</v>
      </c>
      <c r="J66" s="10">
        <f t="shared" ref="J66:J97" si="9">IF(I66="","",I66*C66)</f>
        <v>66348604375.760002</v>
      </c>
      <c r="K66" s="11">
        <f t="shared" ref="K66:K97" si="10">IFERROR(J66/J67-1,"")</f>
        <v>2.4720000000000075E-2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11"/>
      <c r="H67" s="10"/>
      <c r="I67" s="10">
        <f t="shared" ref="I67:I98" si="11">IF(H67&lt;&gt;"",H67,I66/(1+IF(G66="",0,G66)))</f>
        <v>8770</v>
      </c>
      <c r="J67" s="10">
        <f t="shared" si="9"/>
        <v>64748033000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5">
        <v>10233103</v>
      </c>
      <c r="G2" s="11"/>
      <c r="H2" s="10"/>
      <c r="I2" s="10">
        <f>IF(H2&lt;&gt;"",H2,3635)</f>
        <v>3635</v>
      </c>
      <c r="J2" s="10">
        <f t="shared" ref="J2:J33" si="3">IF(I2="","",I2*C2)</f>
        <v>37193966100.830978</v>
      </c>
      <c r="K2" s="11">
        <f t="shared" ref="K2:K33" si="4">IFERROR(J2/J3-1,"")</f>
        <v>7.8599999999999781E-3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11"/>
      <c r="H3" s="10"/>
      <c r="I3" s="10">
        <f t="shared" ref="I3:I34" si="5">IF(H3&lt;&gt;"",H3,I2/(1+IF(G2="",0,G2)))</f>
        <v>3635</v>
      </c>
      <c r="J3" s="10">
        <f t="shared" si="3"/>
        <v>36903901435.547577</v>
      </c>
      <c r="K3" s="11">
        <f t="shared" si="4"/>
        <v>8.1500000000001016E-3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11"/>
      <c r="H4" s="10"/>
      <c r="I4" s="10">
        <f t="shared" si="5"/>
        <v>3635</v>
      </c>
      <c r="J4" s="10">
        <f t="shared" si="3"/>
        <v>36605566072.06028</v>
      </c>
      <c r="K4" s="11">
        <f t="shared" si="4"/>
        <v>8.4500000000000686E-3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11"/>
      <c r="H5" s="10"/>
      <c r="I5" s="10">
        <f t="shared" si="5"/>
        <v>3635</v>
      </c>
      <c r="J5" s="10">
        <f t="shared" si="3"/>
        <v>36298840866.736359</v>
      </c>
      <c r="K5" s="11">
        <f t="shared" si="4"/>
        <v>8.539999999999992E-3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11"/>
      <c r="H6" s="10"/>
      <c r="I6" s="10">
        <f t="shared" si="5"/>
        <v>3635</v>
      </c>
      <c r="J6" s="10">
        <f t="shared" si="3"/>
        <v>35991473681.496376</v>
      </c>
      <c r="K6" s="11">
        <f t="shared" si="4"/>
        <v>8.2899999999999086E-3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11"/>
      <c r="H7" s="10"/>
      <c r="I7" s="10">
        <f t="shared" si="5"/>
        <v>3635</v>
      </c>
      <c r="J7" s="10">
        <f t="shared" si="3"/>
        <v>35695557509.740631</v>
      </c>
      <c r="K7" s="11">
        <f t="shared" si="4"/>
        <v>7.7799999999998981E-3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11"/>
      <c r="H8" s="10"/>
      <c r="I8" s="10">
        <f t="shared" si="5"/>
        <v>3635</v>
      </c>
      <c r="J8" s="10">
        <f t="shared" si="3"/>
        <v>35419989987.636818</v>
      </c>
      <c r="K8" s="11">
        <f t="shared" si="4"/>
        <v>7.1200000000000152E-3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11"/>
      <c r="H9" s="10"/>
      <c r="I9" s="10">
        <f t="shared" si="5"/>
        <v>3635</v>
      </c>
      <c r="J9" s="10">
        <f t="shared" si="3"/>
        <v>35169582559.810966</v>
      </c>
      <c r="K9" s="11">
        <f t="shared" si="4"/>
        <v>3.9800000000000946E-3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11"/>
      <c r="H10" s="10"/>
      <c r="I10" s="10">
        <f t="shared" si="5"/>
        <v>3635</v>
      </c>
      <c r="J10" s="10">
        <f t="shared" si="3"/>
        <v>35030162513.009186</v>
      </c>
      <c r="K10" s="11">
        <f t="shared" si="4"/>
        <v>7.0399999999999352E-3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11"/>
      <c r="H11" s="10"/>
      <c r="I11" s="10">
        <f t="shared" si="5"/>
        <v>3635</v>
      </c>
      <c r="J11" s="10">
        <f t="shared" si="3"/>
        <v>34785274182.762543</v>
      </c>
      <c r="K11" s="11">
        <f t="shared" si="4"/>
        <v>7.1399999999999242E-3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11"/>
      <c r="H12" s="10"/>
      <c r="I12" s="10">
        <f t="shared" si="5"/>
        <v>3635</v>
      </c>
      <c r="J12" s="10">
        <f t="shared" si="3"/>
        <v>34538668092.581512</v>
      </c>
      <c r="K12" s="11">
        <f t="shared" si="4"/>
        <v>7.4299999999998256E-3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11"/>
      <c r="H13" s="10"/>
      <c r="I13" s="10">
        <f t="shared" si="5"/>
        <v>3635</v>
      </c>
      <c r="J13" s="10">
        <f t="shared" si="3"/>
        <v>34283938430.046272</v>
      </c>
      <c r="K13" s="11">
        <f t="shared" si="4"/>
        <v>8.2199999999998941E-3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11"/>
      <c r="H14" s="10"/>
      <c r="I14" s="10">
        <f t="shared" si="5"/>
        <v>3635</v>
      </c>
      <c r="J14" s="10">
        <f t="shared" si="3"/>
        <v>34004422080.544201</v>
      </c>
      <c r="K14" s="11">
        <f t="shared" si="4"/>
        <v>8.920000000000039E-3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11"/>
      <c r="H15" s="10"/>
      <c r="I15" s="10">
        <f t="shared" si="5"/>
        <v>3635</v>
      </c>
      <c r="J15" s="10">
        <f t="shared" si="3"/>
        <v>33703784324.370815</v>
      </c>
      <c r="K15" s="11">
        <f t="shared" si="4"/>
        <v>9.7900000000001874E-3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11"/>
      <c r="H16" s="10"/>
      <c r="I16" s="10">
        <f t="shared" si="5"/>
        <v>3635</v>
      </c>
      <c r="J16" s="10">
        <f t="shared" si="3"/>
        <v>33377023266.590885</v>
      </c>
      <c r="K16" s="11">
        <f t="shared" si="4"/>
        <v>1.0280000000000067E-2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11"/>
      <c r="H17" s="10"/>
      <c r="I17" s="10">
        <f t="shared" si="5"/>
        <v>3635</v>
      </c>
      <c r="J17" s="10">
        <f t="shared" si="3"/>
        <v>33037398806.8564</v>
      </c>
      <c r="K17" s="11">
        <f t="shared" si="4"/>
        <v>1.0820000000000052E-2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11"/>
      <c r="H18" s="10"/>
      <c r="I18" s="10">
        <f t="shared" si="5"/>
        <v>3635</v>
      </c>
      <c r="J18" s="10">
        <f t="shared" si="3"/>
        <v>32683760518.051083</v>
      </c>
      <c r="K18" s="11">
        <f t="shared" si="4"/>
        <v>1.1519999999999975E-2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11"/>
      <c r="H19" s="10"/>
      <c r="I19" s="10">
        <f t="shared" si="5"/>
        <v>3635</v>
      </c>
      <c r="J19" s="10">
        <f t="shared" si="3"/>
        <v>32311531673.176094</v>
      </c>
      <c r="K19" s="11">
        <f t="shared" si="4"/>
        <v>1.2289999999999912E-2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11"/>
      <c r="H20" s="10"/>
      <c r="I20" s="10">
        <f t="shared" si="5"/>
        <v>3635</v>
      </c>
      <c r="J20" s="10">
        <f t="shared" si="3"/>
        <v>31919244162.419956</v>
      </c>
      <c r="K20" s="11">
        <f t="shared" si="4"/>
        <v>1.2680000000000025E-2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11"/>
      <c r="H21" s="10"/>
      <c r="I21" s="10">
        <f t="shared" si="5"/>
        <v>3635</v>
      </c>
      <c r="J21" s="10">
        <f t="shared" si="3"/>
        <v>31519575939.507008</v>
      </c>
      <c r="K21" s="11">
        <f t="shared" si="4"/>
        <v>1.2829999999999897E-2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11"/>
      <c r="H22" s="10"/>
      <c r="I22" s="10">
        <f t="shared" si="5"/>
        <v>3635</v>
      </c>
      <c r="J22" s="10">
        <f t="shared" si="3"/>
        <v>31120302458.958572</v>
      </c>
      <c r="K22" s="11">
        <f t="shared" si="4"/>
        <v>1.2799999999999923E-2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11"/>
      <c r="H23" s="10"/>
      <c r="I23" s="10">
        <f t="shared" si="5"/>
        <v>3635</v>
      </c>
      <c r="J23" s="10">
        <f t="shared" si="3"/>
        <v>30726996898.655781</v>
      </c>
      <c r="K23" s="11">
        <f t="shared" si="4"/>
        <v>1.3200000000000101E-2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11"/>
      <c r="H24" s="10"/>
      <c r="I24" s="10">
        <f t="shared" si="5"/>
        <v>3635</v>
      </c>
      <c r="J24" s="10">
        <f t="shared" si="3"/>
        <v>30326684661.128876</v>
      </c>
      <c r="K24" s="11">
        <f t="shared" si="4"/>
        <v>1.326000000000005E-2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11"/>
      <c r="H25" s="10"/>
      <c r="I25" s="10">
        <f t="shared" si="5"/>
        <v>3635</v>
      </c>
      <c r="J25" s="10">
        <f t="shared" si="3"/>
        <v>29929815310.116726</v>
      </c>
      <c r="K25" s="11">
        <f t="shared" si="4"/>
        <v>1.3519999999999754E-2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11"/>
      <c r="H26" s="10"/>
      <c r="I26" s="10">
        <f t="shared" si="5"/>
        <v>3635</v>
      </c>
      <c r="J26" s="10">
        <f t="shared" si="3"/>
        <v>29530562110.384335</v>
      </c>
      <c r="K26" s="11">
        <f t="shared" si="4"/>
        <v>1.3830000000000009E-2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11"/>
      <c r="H27" s="10"/>
      <c r="I27" s="10">
        <f t="shared" si="5"/>
        <v>3635</v>
      </c>
      <c r="J27" s="10">
        <f t="shared" si="3"/>
        <v>29127725664.445057</v>
      </c>
      <c r="K27" s="11">
        <f t="shared" si="4"/>
        <v>1.4950000000000019E-2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11"/>
      <c r="H28" s="10"/>
      <c r="I28" s="10">
        <f t="shared" si="5"/>
        <v>3635</v>
      </c>
      <c r="J28" s="10">
        <f t="shared" si="3"/>
        <v>28698680392.576046</v>
      </c>
      <c r="K28" s="11">
        <f t="shared" si="4"/>
        <v>1.5560000000000018E-2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11"/>
      <c r="H29" s="10"/>
      <c r="I29" s="10">
        <f t="shared" si="5"/>
        <v>3635</v>
      </c>
      <c r="J29" s="10">
        <f t="shared" si="3"/>
        <v>28258970806.821896</v>
      </c>
      <c r="K29" s="11">
        <f t="shared" si="4"/>
        <v>1.5989999999999949E-2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11"/>
      <c r="H30" s="10"/>
      <c r="I30" s="10">
        <f t="shared" si="5"/>
        <v>3635</v>
      </c>
      <c r="J30" s="10">
        <f t="shared" si="3"/>
        <v>27814221406.53146</v>
      </c>
      <c r="K30" s="11">
        <f t="shared" si="4"/>
        <v>1.6890000000000072E-2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11"/>
      <c r="H31" s="10"/>
      <c r="I31" s="10">
        <f t="shared" si="5"/>
        <v>3635</v>
      </c>
      <c r="J31" s="10">
        <f t="shared" si="3"/>
        <v>27352242038.501171</v>
      </c>
      <c r="K31" s="11">
        <f t="shared" si="4"/>
        <v>1.8009999999999859E-2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11"/>
      <c r="H32" s="10"/>
      <c r="I32" s="10">
        <f t="shared" si="5"/>
        <v>3635</v>
      </c>
      <c r="J32" s="10">
        <f t="shared" si="3"/>
        <v>26868343177.867775</v>
      </c>
      <c r="K32" s="11">
        <f t="shared" si="4"/>
        <v>1.9439999999999902E-2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11"/>
      <c r="H33" s="10"/>
      <c r="I33" s="10">
        <f t="shared" si="5"/>
        <v>3635</v>
      </c>
      <c r="J33" s="10">
        <f t="shared" si="3"/>
        <v>26355982870.858292</v>
      </c>
      <c r="K33" s="11">
        <f t="shared" si="4"/>
        <v>2.0480000000000054E-2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11"/>
      <c r="H34" s="10"/>
      <c r="I34" s="10">
        <f t="shared" si="5"/>
        <v>3635</v>
      </c>
      <c r="J34" s="10">
        <f t="shared" ref="J34:J65" si="6">IF(I34="","",I34*C34)</f>
        <v>25827044989.473866</v>
      </c>
      <c r="K34" s="11">
        <f t="shared" ref="K34:K65" si="7">IFERROR(J34/J35-1,"")</f>
        <v>2.0990000000000064E-2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11"/>
      <c r="H35" s="10"/>
      <c r="I35" s="10">
        <f t="shared" ref="I35:I66" si="8">IF(H35&lt;&gt;"",H35,I34/(1+IF(G34="",0,G34)))</f>
        <v>3635</v>
      </c>
      <c r="J35" s="10">
        <f t="shared" si="6"/>
        <v>25296080264.717445</v>
      </c>
      <c r="K35" s="11">
        <f t="shared" si="7"/>
        <v>1.8019999999999925E-2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11"/>
      <c r="H36" s="10"/>
      <c r="I36" s="10">
        <f t="shared" si="8"/>
        <v>3635</v>
      </c>
      <c r="J36" s="10">
        <f t="shared" si="6"/>
        <v>24848313652.695869</v>
      </c>
      <c r="K36" s="11">
        <f t="shared" si="7"/>
        <v>1.8520000000000092E-2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11"/>
      <c r="H37" s="10"/>
      <c r="I37" s="10">
        <f t="shared" si="8"/>
        <v>3635</v>
      </c>
      <c r="J37" s="10">
        <f t="shared" si="6"/>
        <v>24396490645.933186</v>
      </c>
      <c r="K37" s="11">
        <f t="shared" si="7"/>
        <v>1.915E-2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11"/>
      <c r="H38" s="10"/>
      <c r="I38" s="10">
        <f t="shared" si="8"/>
        <v>3635</v>
      </c>
      <c r="J38" s="10">
        <f t="shared" si="6"/>
        <v>23938076481.315983</v>
      </c>
      <c r="K38" s="11">
        <f t="shared" si="7"/>
        <v>1.9179999999999975E-2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11"/>
      <c r="H39" s="10"/>
      <c r="I39" s="10">
        <f t="shared" si="8"/>
        <v>3635</v>
      </c>
      <c r="J39" s="10">
        <f t="shared" si="6"/>
        <v>23487584608.524483</v>
      </c>
      <c r="K39" s="11">
        <f t="shared" si="7"/>
        <v>1.9449999999999967E-2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11"/>
      <c r="H40" s="10"/>
      <c r="I40" s="10">
        <f t="shared" si="8"/>
        <v>3635</v>
      </c>
      <c r="J40" s="10">
        <f t="shared" si="6"/>
        <v>23039466975.844311</v>
      </c>
      <c r="K40" s="11">
        <f t="shared" si="7"/>
        <v>1.9519999999999982E-2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11"/>
      <c r="H41" s="10"/>
      <c r="I41" s="10">
        <f t="shared" si="8"/>
        <v>3635</v>
      </c>
      <c r="J41" s="10">
        <f t="shared" si="6"/>
        <v>22598347237.763176</v>
      </c>
      <c r="K41" s="11">
        <f t="shared" si="7"/>
        <v>1.8930000000000113E-2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11"/>
      <c r="H42" s="10"/>
      <c r="I42" s="10">
        <f t="shared" si="8"/>
        <v>3635</v>
      </c>
      <c r="J42" s="10">
        <f t="shared" si="6"/>
        <v>22178508079.812328</v>
      </c>
      <c r="K42" s="11">
        <f t="shared" si="7"/>
        <v>1.9290000000000029E-2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11"/>
      <c r="H43" s="10"/>
      <c r="I43" s="10">
        <f t="shared" si="8"/>
        <v>3635</v>
      </c>
      <c r="J43" s="10">
        <f t="shared" si="6"/>
        <v>21758781190.644791</v>
      </c>
      <c r="K43" s="11">
        <f t="shared" si="7"/>
        <v>1.9409999999999927E-2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11"/>
      <c r="H44" s="10"/>
      <c r="I44" s="10">
        <f t="shared" si="8"/>
        <v>3635</v>
      </c>
      <c r="J44" s="10">
        <f t="shared" si="6"/>
        <v>21344484741.806332</v>
      </c>
      <c r="K44" s="11">
        <f t="shared" si="7"/>
        <v>1.9600000000000284E-2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11"/>
      <c r="H45" s="10"/>
      <c r="I45" s="10">
        <f t="shared" si="8"/>
        <v>3635</v>
      </c>
      <c r="J45" s="10">
        <f t="shared" si="6"/>
        <v>20934174913.501694</v>
      </c>
      <c r="K45" s="11">
        <f t="shared" si="7"/>
        <v>2.2059999999999969E-2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11"/>
      <c r="H46" s="10"/>
      <c r="I46" s="10">
        <f t="shared" si="8"/>
        <v>3635</v>
      </c>
      <c r="J46" s="10">
        <f t="shared" si="6"/>
        <v>20482334611.961819</v>
      </c>
      <c r="K46" s="11">
        <f t="shared" si="7"/>
        <v>2.212000000000014E-2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11"/>
      <c r="H47" s="10"/>
      <c r="I47" s="10">
        <f t="shared" si="8"/>
        <v>3635</v>
      </c>
      <c r="J47" s="10">
        <f t="shared" si="6"/>
        <v>20039070375.261044</v>
      </c>
      <c r="K47" s="11">
        <f t="shared" si="7"/>
        <v>2.2559999999999913E-2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11"/>
      <c r="H48" s="10"/>
      <c r="I48" s="10">
        <f t="shared" si="8"/>
        <v>3635</v>
      </c>
      <c r="J48" s="10">
        <f t="shared" si="6"/>
        <v>19596962892.408314</v>
      </c>
      <c r="K48" s="11">
        <f t="shared" si="7"/>
        <v>2.2659999999999902E-2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11"/>
      <c r="H49" s="10"/>
      <c r="I49" s="10">
        <f t="shared" si="8"/>
        <v>3635</v>
      </c>
      <c r="J49" s="10">
        <f t="shared" si="6"/>
        <v>19162735310.277428</v>
      </c>
      <c r="K49" s="11">
        <f t="shared" si="7"/>
        <v>2.2639999999999771E-2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11"/>
      <c r="H50" s="10"/>
      <c r="I50" s="10">
        <f t="shared" si="8"/>
        <v>3635</v>
      </c>
      <c r="J50" s="10">
        <f t="shared" si="6"/>
        <v>18738495766.132198</v>
      </c>
      <c r="K50" s="11">
        <f t="shared" si="7"/>
        <v>2.275000000000027E-2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11"/>
      <c r="H51" s="10"/>
      <c r="I51" s="10">
        <f t="shared" si="8"/>
        <v>3635</v>
      </c>
      <c r="J51" s="10">
        <f t="shared" si="6"/>
        <v>18321677600.715908</v>
      </c>
      <c r="K51" s="11">
        <f t="shared" si="7"/>
        <v>2.2620000000000084E-2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11"/>
      <c r="H52" s="10"/>
      <c r="I52" s="10">
        <f t="shared" si="8"/>
        <v>3635</v>
      </c>
      <c r="J52" s="10">
        <f t="shared" si="6"/>
        <v>17916408441.763222</v>
      </c>
      <c r="K52" s="11">
        <f t="shared" si="7"/>
        <v>2.2749999999999826E-2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11"/>
      <c r="H53" s="10"/>
      <c r="I53" s="10">
        <f t="shared" si="8"/>
        <v>3635</v>
      </c>
      <c r="J53" s="10">
        <f t="shared" si="6"/>
        <v>17517876745.796356</v>
      </c>
      <c r="K53" s="11">
        <f t="shared" si="7"/>
        <v>2.2410000000000041E-2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11"/>
      <c r="H54" s="10"/>
      <c r="I54" s="10">
        <f t="shared" si="8"/>
        <v>3635</v>
      </c>
      <c r="J54" s="10">
        <f t="shared" si="6"/>
        <v>17133905914.257837</v>
      </c>
      <c r="K54" s="11">
        <f t="shared" si="7"/>
        <v>2.2219999999999906E-2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11"/>
      <c r="H55" s="10"/>
      <c r="I55" s="10">
        <f t="shared" si="8"/>
        <v>3635</v>
      </c>
      <c r="J55" s="10">
        <f t="shared" si="6"/>
        <v>16761466136.700356</v>
      </c>
      <c r="K55" s="11">
        <f t="shared" si="7"/>
        <v>2.2089999999999943E-2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11"/>
      <c r="H56" s="10"/>
      <c r="I56" s="10">
        <f t="shared" si="8"/>
        <v>3635</v>
      </c>
      <c r="J56" s="10">
        <f t="shared" si="6"/>
        <v>16399207639.93421</v>
      </c>
      <c r="K56" s="11">
        <f t="shared" si="7"/>
        <v>2.191999999999994E-2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11"/>
      <c r="H57" s="10"/>
      <c r="I57" s="10">
        <f t="shared" si="8"/>
        <v>3635</v>
      </c>
      <c r="J57" s="10">
        <f t="shared" si="6"/>
        <v>16047447588.787979</v>
      </c>
      <c r="K57" s="11">
        <f t="shared" si="7"/>
        <v>2.1810000000000107E-2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11"/>
      <c r="H58" s="10"/>
      <c r="I58" s="10">
        <f t="shared" si="8"/>
        <v>3635</v>
      </c>
      <c r="J58" s="10">
        <f t="shared" si="6"/>
        <v>15704923213.501509</v>
      </c>
      <c r="K58" s="11">
        <f t="shared" si="7"/>
        <v>2.1570000000000089E-2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11"/>
      <c r="H59" s="10"/>
      <c r="I59" s="10">
        <f t="shared" si="8"/>
        <v>3635</v>
      </c>
      <c r="J59" s="10">
        <f t="shared" si="6"/>
        <v>15373320686.298059</v>
      </c>
      <c r="K59" s="11">
        <f t="shared" si="7"/>
        <v>2.0969999999999933E-2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11"/>
      <c r="H60" s="10"/>
      <c r="I60" s="10">
        <f t="shared" si="8"/>
        <v>3635</v>
      </c>
      <c r="J60" s="10">
        <f t="shared" si="6"/>
        <v>15057563578.066015</v>
      </c>
      <c r="K60" s="11">
        <f t="shared" si="7"/>
        <v>2.1139999999999937E-2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11"/>
      <c r="H61" s="10"/>
      <c r="I61" s="10">
        <f t="shared" si="8"/>
        <v>3635</v>
      </c>
      <c r="J61" s="10">
        <f t="shared" si="6"/>
        <v>14745836592.500555</v>
      </c>
      <c r="K61" s="11">
        <f t="shared" si="7"/>
        <v>2.0850000000000035E-2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11"/>
      <c r="H62" s="10"/>
      <c r="I62" s="10">
        <f t="shared" si="8"/>
        <v>3635</v>
      </c>
      <c r="J62" s="10">
        <f t="shared" si="6"/>
        <v>14444665320.566738</v>
      </c>
      <c r="K62" s="11">
        <f t="shared" si="7"/>
        <v>2.0529999999999937E-2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11"/>
      <c r="H63" s="10"/>
      <c r="I63" s="10">
        <f t="shared" si="8"/>
        <v>3635</v>
      </c>
      <c r="J63" s="10">
        <f t="shared" si="6"/>
        <v>14154082016.762604</v>
      </c>
      <c r="K63" s="11">
        <f t="shared" si="7"/>
        <v>2.0170000000000021E-2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11"/>
      <c r="H64" s="10"/>
      <c r="I64" s="10">
        <f t="shared" si="8"/>
        <v>3635</v>
      </c>
      <c r="J64" s="10">
        <f t="shared" si="6"/>
        <v>13874238623.722128</v>
      </c>
      <c r="K64" s="11">
        <f t="shared" si="7"/>
        <v>1.9549999999999956E-2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11"/>
      <c r="H65" s="10"/>
      <c r="I65" s="10">
        <f t="shared" si="8"/>
        <v>3635</v>
      </c>
      <c r="J65" s="10">
        <f t="shared" si="6"/>
        <v>13608198346.056721</v>
      </c>
      <c r="K65" s="11">
        <f t="shared" si="7"/>
        <v>1.9360000000000266E-2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6">
        <f>SUM(F2)</f>
        <v>10233103</v>
      </c>
      <c r="G66" s="11"/>
      <c r="H66" s="10"/>
      <c r="I66" s="10">
        <f t="shared" si="8"/>
        <v>3635</v>
      </c>
      <c r="J66" s="10">
        <f t="shared" ref="J66:J97" si="9">IF(I66="","",I66*C66)</f>
        <v>13349747239.499998</v>
      </c>
      <c r="K66" s="11">
        <f t="shared" ref="K66:K97" si="10">IFERROR(J66/J67-1,"")</f>
        <v>1.8739999999999757E-2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11"/>
      <c r="H67" s="10"/>
      <c r="I67" s="10">
        <f t="shared" ref="I67:I98" si="11">IF(H67&lt;&gt;"",H67,I66/(1+IF(G66="",0,G66)))</f>
        <v>3635</v>
      </c>
      <c r="J67" s="10">
        <f t="shared" si="9"/>
        <v>13104175000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5">
        <v>22386666</v>
      </c>
      <c r="G2" s="11"/>
      <c r="H2" s="10"/>
      <c r="I2" s="10">
        <f>IF(H2&lt;&gt;"",H2,1512)</f>
        <v>1512</v>
      </c>
      <c r="J2" s="10">
        <f t="shared" ref="J2:J33" si="3">IF(I2="","",I2*C2)</f>
        <v>33848412445.249958</v>
      </c>
      <c r="K2" s="11">
        <f t="shared" ref="K2:K33" si="4">IFERROR(J2/J3-1,"")</f>
        <v>2.4199999999999999E-2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11"/>
      <c r="H3" s="10"/>
      <c r="I3" s="10">
        <f t="shared" ref="I3:I34" si="5">IF(H3&lt;&gt;"",H3,I2/(1+IF(G2="",0,G2)))</f>
        <v>1512</v>
      </c>
      <c r="J3" s="10">
        <f t="shared" si="3"/>
        <v>33048635466.949776</v>
      </c>
      <c r="K3" s="11">
        <f t="shared" si="4"/>
        <v>2.4199999999999999E-2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11"/>
      <c r="H4" s="10"/>
      <c r="I4" s="10">
        <f t="shared" si="5"/>
        <v>1512</v>
      </c>
      <c r="J4" s="10">
        <f t="shared" si="3"/>
        <v>32267755777.142918</v>
      </c>
      <c r="K4" s="11">
        <f t="shared" si="4"/>
        <v>2.4299999999999988E-2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11"/>
      <c r="H5" s="10"/>
      <c r="I5" s="10">
        <f t="shared" si="5"/>
        <v>1512</v>
      </c>
      <c r="J5" s="10">
        <f t="shared" si="3"/>
        <v>31502251075.996212</v>
      </c>
      <c r="K5" s="11">
        <f t="shared" si="4"/>
        <v>2.8000000000000025E-2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11"/>
      <c r="H6" s="10"/>
      <c r="I6" s="10">
        <f t="shared" si="5"/>
        <v>1512</v>
      </c>
      <c r="J6" s="10">
        <f t="shared" si="3"/>
        <v>30644213108.945732</v>
      </c>
      <c r="K6" s="11">
        <f t="shared" si="4"/>
        <v>3.2499999999999973E-2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11"/>
      <c r="H7" s="10"/>
      <c r="I7" s="10">
        <f t="shared" si="5"/>
        <v>1512</v>
      </c>
      <c r="J7" s="10">
        <f t="shared" si="3"/>
        <v>29679625287.114513</v>
      </c>
      <c r="K7" s="11">
        <f t="shared" si="4"/>
        <v>4.1400000000000103E-2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11"/>
      <c r="H8" s="10"/>
      <c r="I8" s="10">
        <f t="shared" si="5"/>
        <v>1512</v>
      </c>
      <c r="J8" s="10">
        <f t="shared" si="3"/>
        <v>28499736208.099205</v>
      </c>
      <c r="K8" s="11">
        <f t="shared" si="4"/>
        <v>4.0000000000000036E-2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11"/>
      <c r="H9" s="10"/>
      <c r="I9" s="10">
        <f t="shared" si="5"/>
        <v>1512</v>
      </c>
      <c r="J9" s="10">
        <f t="shared" si="3"/>
        <v>27403592507.787697</v>
      </c>
      <c r="K9" s="11">
        <f t="shared" si="4"/>
        <v>3.2899999999999929E-2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11"/>
      <c r="H10" s="10"/>
      <c r="I10" s="10">
        <f t="shared" si="5"/>
        <v>1512</v>
      </c>
      <c r="J10" s="10">
        <f t="shared" si="3"/>
        <v>26530731443.303028</v>
      </c>
      <c r="K10" s="11">
        <f t="shared" si="4"/>
        <v>3.6599999999999966E-2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11"/>
      <c r="H11" s="10"/>
      <c r="I11" s="10">
        <f t="shared" si="5"/>
        <v>1512</v>
      </c>
      <c r="J11" s="10">
        <f t="shared" si="3"/>
        <v>25593991359.543728</v>
      </c>
      <c r="K11" s="11">
        <f t="shared" si="4"/>
        <v>3.74000000000001E-2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11"/>
      <c r="H12" s="10"/>
      <c r="I12" s="10">
        <f t="shared" si="5"/>
        <v>1512</v>
      </c>
      <c r="J12" s="10">
        <f t="shared" si="3"/>
        <v>24671285289.708622</v>
      </c>
      <c r="K12" s="11">
        <f t="shared" si="4"/>
        <v>3.6000000000000032E-2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11"/>
      <c r="H13" s="10"/>
      <c r="I13" s="10">
        <f t="shared" si="5"/>
        <v>1512</v>
      </c>
      <c r="J13" s="10">
        <f t="shared" si="3"/>
        <v>23813981939.873188</v>
      </c>
      <c r="K13" s="11">
        <f t="shared" si="4"/>
        <v>3.4200000000000008E-2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11"/>
      <c r="H14" s="10"/>
      <c r="I14" s="10">
        <f t="shared" si="5"/>
        <v>1512</v>
      </c>
      <c r="J14" s="10">
        <f t="shared" si="3"/>
        <v>23026476445.439167</v>
      </c>
      <c r="K14" s="11">
        <f t="shared" si="4"/>
        <v>2.8000000000000025E-2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11"/>
      <c r="H15" s="10"/>
      <c r="I15" s="10">
        <f t="shared" si="5"/>
        <v>1512</v>
      </c>
      <c r="J15" s="10">
        <f t="shared" si="3"/>
        <v>22399296153.15094</v>
      </c>
      <c r="K15" s="11">
        <f t="shared" si="4"/>
        <v>2.3600000000000065E-2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11"/>
      <c r="H16" s="10"/>
      <c r="I16" s="10">
        <f t="shared" si="5"/>
        <v>1512</v>
      </c>
      <c r="J16" s="10">
        <f t="shared" si="3"/>
        <v>21882860641.999744</v>
      </c>
      <c r="K16" s="11">
        <f t="shared" si="4"/>
        <v>3.7700000000000067E-2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11"/>
      <c r="H17" s="10"/>
      <c r="I17" s="10">
        <f t="shared" si="5"/>
        <v>1512</v>
      </c>
      <c r="J17" s="10">
        <f t="shared" si="3"/>
        <v>21087848744.338192</v>
      </c>
      <c r="K17" s="11">
        <f t="shared" si="4"/>
        <v>3.8300000000000001E-2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11"/>
      <c r="H18" s="10"/>
      <c r="I18" s="10">
        <f t="shared" si="5"/>
        <v>1512</v>
      </c>
      <c r="J18" s="10">
        <f t="shared" si="3"/>
        <v>20309976639.062111</v>
      </c>
      <c r="K18" s="11">
        <f t="shared" si="4"/>
        <v>2.6999999999999913E-2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11"/>
      <c r="H19" s="10"/>
      <c r="I19" s="10">
        <f t="shared" si="5"/>
        <v>1512</v>
      </c>
      <c r="J19" s="10">
        <f t="shared" si="3"/>
        <v>19776023991.297092</v>
      </c>
      <c r="K19" s="11">
        <f t="shared" si="4"/>
        <v>2.200000000000002E-2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11"/>
      <c r="H20" s="10"/>
      <c r="I20" s="10">
        <f t="shared" si="5"/>
        <v>1512</v>
      </c>
      <c r="J20" s="10">
        <f t="shared" si="3"/>
        <v>19350317016.924747</v>
      </c>
      <c r="K20" s="11">
        <f t="shared" si="4"/>
        <v>2.1399999999999864E-2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11"/>
      <c r="H21" s="10"/>
      <c r="I21" s="10">
        <f t="shared" si="5"/>
        <v>1512</v>
      </c>
      <c r="J21" s="10">
        <f t="shared" si="3"/>
        <v>18944896237.443459</v>
      </c>
      <c r="K21" s="11">
        <f t="shared" si="4"/>
        <v>2.770000000000028E-2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11"/>
      <c r="H22" s="10"/>
      <c r="I22" s="10">
        <f t="shared" si="5"/>
        <v>1512</v>
      </c>
      <c r="J22" s="10">
        <f t="shared" si="3"/>
        <v>18434267040.423717</v>
      </c>
      <c r="K22" s="11">
        <f t="shared" si="4"/>
        <v>2.8100000000000014E-2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11"/>
      <c r="H23" s="10"/>
      <c r="I23" s="10">
        <f t="shared" si="5"/>
        <v>1512</v>
      </c>
      <c r="J23" s="10">
        <f t="shared" si="3"/>
        <v>17930422177.243183</v>
      </c>
      <c r="K23" s="11">
        <f t="shared" si="4"/>
        <v>2.9600000000000071E-2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11"/>
      <c r="H24" s="10"/>
      <c r="I24" s="10">
        <f t="shared" si="5"/>
        <v>1512</v>
      </c>
      <c r="J24" s="10">
        <f t="shared" si="3"/>
        <v>17414939954.587395</v>
      </c>
      <c r="K24" s="11">
        <f t="shared" si="4"/>
        <v>2.9600000000000071E-2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11"/>
      <c r="H25" s="10"/>
      <c r="I25" s="10">
        <f t="shared" si="5"/>
        <v>1512</v>
      </c>
      <c r="J25" s="10">
        <f t="shared" si="3"/>
        <v>16914277345.170353</v>
      </c>
      <c r="K25" s="11">
        <f t="shared" si="4"/>
        <v>2.8299999999999992E-2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11"/>
      <c r="H26" s="10"/>
      <c r="I26" s="10">
        <f t="shared" si="5"/>
        <v>1512</v>
      </c>
      <c r="J26" s="10">
        <f t="shared" si="3"/>
        <v>16448776957.279348</v>
      </c>
      <c r="K26" s="11">
        <f t="shared" si="4"/>
        <v>2.8399999999999981E-2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11"/>
      <c r="H27" s="10"/>
      <c r="I27" s="10">
        <f t="shared" si="5"/>
        <v>1512</v>
      </c>
      <c r="J27" s="10">
        <f t="shared" si="3"/>
        <v>15994532241.617414</v>
      </c>
      <c r="K27" s="11">
        <f t="shared" si="4"/>
        <v>2.849999999999997E-2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11"/>
      <c r="H28" s="10"/>
      <c r="I28" s="10">
        <f t="shared" si="5"/>
        <v>1512</v>
      </c>
      <c r="J28" s="10">
        <f t="shared" si="3"/>
        <v>15551319632.102493</v>
      </c>
      <c r="K28" s="11">
        <f t="shared" si="4"/>
        <v>2.8899999999999926E-2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11"/>
      <c r="H29" s="10"/>
      <c r="I29" s="10">
        <f t="shared" si="5"/>
        <v>1512</v>
      </c>
      <c r="J29" s="10">
        <f t="shared" si="3"/>
        <v>15114510284.869759</v>
      </c>
      <c r="K29" s="11">
        <f t="shared" si="4"/>
        <v>2.8999999999999915E-2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11"/>
      <c r="H30" s="10"/>
      <c r="I30" s="10">
        <f t="shared" si="5"/>
        <v>1512</v>
      </c>
      <c r="J30" s="10">
        <f t="shared" si="3"/>
        <v>14688542550.893837</v>
      </c>
      <c r="K30" s="11">
        <f t="shared" si="4"/>
        <v>2.9199999999999893E-2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11"/>
      <c r="H31" s="10"/>
      <c r="I31" s="10">
        <f t="shared" si="5"/>
        <v>1512</v>
      </c>
      <c r="J31" s="10">
        <f t="shared" si="3"/>
        <v>14271805820.922892</v>
      </c>
      <c r="K31" s="11">
        <f t="shared" si="4"/>
        <v>2.9300000000000326E-2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11"/>
      <c r="H32" s="10"/>
      <c r="I32" s="10">
        <f t="shared" si="5"/>
        <v>1512</v>
      </c>
      <c r="J32" s="10">
        <f t="shared" si="3"/>
        <v>13865545342.390837</v>
      </c>
      <c r="K32" s="11">
        <f t="shared" si="4"/>
        <v>2.9500000000000082E-2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11"/>
      <c r="H33" s="10"/>
      <c r="I33" s="10">
        <f t="shared" si="5"/>
        <v>1512</v>
      </c>
      <c r="J33" s="10">
        <f t="shared" si="3"/>
        <v>13468232484.109602</v>
      </c>
      <c r="K33" s="11">
        <f t="shared" si="4"/>
        <v>2.4899999999999922E-2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11"/>
      <c r="H34" s="10"/>
      <c r="I34" s="10">
        <f t="shared" si="5"/>
        <v>1512</v>
      </c>
      <c r="J34" s="10">
        <f t="shared" ref="J34:J65" si="6">IF(I34="","",I34*C34)</f>
        <v>13141021059.722513</v>
      </c>
      <c r="K34" s="11">
        <f t="shared" ref="K34:K65" si="7">IFERROR(J34/J35-1,"")</f>
        <v>2.0699999999999941E-2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11"/>
      <c r="H35" s="10"/>
      <c r="I35" s="10">
        <f t="shared" ref="I35:I66" si="8">IF(H35&lt;&gt;"",H35,I34/(1+IF(G34="",0,G34)))</f>
        <v>1512</v>
      </c>
      <c r="J35" s="10">
        <f t="shared" si="6"/>
        <v>12874518526.229561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11"/>
      <c r="H36" s="10"/>
      <c r="I36" s="10">
        <f t="shared" si="8"/>
        <v>1512</v>
      </c>
      <c r="J36" s="10">
        <f t="shared" si="6"/>
        <v>12603542365.37402</v>
      </c>
      <c r="K36" s="11">
        <f t="shared" si="7"/>
        <v>2.200000000000002E-2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11"/>
      <c r="H37" s="10"/>
      <c r="I37" s="10">
        <f t="shared" si="8"/>
        <v>1512</v>
      </c>
      <c r="J37" s="10">
        <f t="shared" si="6"/>
        <v>12332233234.221155</v>
      </c>
      <c r="K37" s="11">
        <f t="shared" si="7"/>
        <v>2.2399999999999975E-2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11"/>
      <c r="H38" s="10"/>
      <c r="I38" s="10">
        <f t="shared" si="8"/>
        <v>1512</v>
      </c>
      <c r="J38" s="10">
        <f t="shared" si="6"/>
        <v>12062043460.701443</v>
      </c>
      <c r="K38" s="11">
        <f t="shared" si="7"/>
        <v>2.289999999999992E-2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11"/>
      <c r="H39" s="10"/>
      <c r="I39" s="10">
        <f t="shared" si="8"/>
        <v>1512</v>
      </c>
      <c r="J39" s="10">
        <f t="shared" si="6"/>
        <v>11792006511.586121</v>
      </c>
      <c r="K39" s="11">
        <f t="shared" si="7"/>
        <v>2.3500000000000076E-2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11"/>
      <c r="H40" s="10"/>
      <c r="I40" s="10">
        <f t="shared" si="8"/>
        <v>1512</v>
      </c>
      <c r="J40" s="10">
        <f t="shared" si="6"/>
        <v>11521256972.727036</v>
      </c>
      <c r="K40" s="11">
        <f t="shared" si="7"/>
        <v>2.3900000000000032E-2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11"/>
      <c r="H41" s="10"/>
      <c r="I41" s="10">
        <f t="shared" si="8"/>
        <v>1512</v>
      </c>
      <c r="J41" s="10">
        <f t="shared" si="6"/>
        <v>11252326372.426052</v>
      </c>
      <c r="K41" s="11">
        <f t="shared" si="7"/>
        <v>2.4400000000000199E-2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11"/>
      <c r="H42" s="10"/>
      <c r="I42" s="10">
        <f t="shared" si="8"/>
        <v>1512</v>
      </c>
      <c r="J42" s="10">
        <f t="shared" si="6"/>
        <v>10984309227.280409</v>
      </c>
      <c r="K42" s="11">
        <f t="shared" si="7"/>
        <v>2.7899999999999814E-2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11"/>
      <c r="H43" s="10"/>
      <c r="I43" s="10">
        <f t="shared" si="8"/>
        <v>1512</v>
      </c>
      <c r="J43" s="10">
        <f t="shared" si="6"/>
        <v>10686165217.706402</v>
      </c>
      <c r="K43" s="11">
        <f t="shared" si="7"/>
        <v>3.1200000000000117E-2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11"/>
      <c r="H44" s="10"/>
      <c r="I44" s="10">
        <f t="shared" si="8"/>
        <v>1512</v>
      </c>
      <c r="J44" s="10">
        <f t="shared" si="6"/>
        <v>10362844470.235067</v>
      </c>
      <c r="K44" s="11">
        <f t="shared" si="7"/>
        <v>3.1299999999999883E-2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11"/>
      <c r="H45" s="10"/>
      <c r="I45" s="10">
        <f t="shared" si="8"/>
        <v>1512</v>
      </c>
      <c r="J45" s="10">
        <f t="shared" si="6"/>
        <v>10048331688.388508</v>
      </c>
      <c r="K45" s="11">
        <f t="shared" si="7"/>
        <v>3.0999999999999917E-2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11"/>
      <c r="H46" s="10"/>
      <c r="I46" s="10">
        <f t="shared" si="8"/>
        <v>1512</v>
      </c>
      <c r="J46" s="10">
        <f t="shared" si="6"/>
        <v>9746199503.7715893</v>
      </c>
      <c r="K46" s="11">
        <f t="shared" si="7"/>
        <v>3.0599999999999961E-2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11"/>
      <c r="H47" s="10"/>
      <c r="I47" s="10">
        <f t="shared" si="8"/>
        <v>1512</v>
      </c>
      <c r="J47" s="10">
        <f t="shared" si="6"/>
        <v>9456820787.6689205</v>
      </c>
      <c r="K47" s="11">
        <f t="shared" si="7"/>
        <v>3.0100000000000016E-2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11"/>
      <c r="H48" s="10"/>
      <c r="I48" s="10">
        <f t="shared" si="8"/>
        <v>1512</v>
      </c>
      <c r="J48" s="10">
        <f t="shared" si="6"/>
        <v>9180488095.9799252</v>
      </c>
      <c r="K48" s="11">
        <f t="shared" si="7"/>
        <v>2.970000000000006E-2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11"/>
      <c r="H49" s="10"/>
      <c r="I49" s="10">
        <f t="shared" si="8"/>
        <v>1512</v>
      </c>
      <c r="J49" s="10">
        <f t="shared" si="6"/>
        <v>8915692042.3229332</v>
      </c>
      <c r="K49" s="11">
        <f t="shared" si="7"/>
        <v>2.9199999999999893E-2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11"/>
      <c r="H50" s="10"/>
      <c r="I50" s="10">
        <f t="shared" si="8"/>
        <v>1512</v>
      </c>
      <c r="J50" s="10">
        <f t="shared" si="6"/>
        <v>8662740033.3491402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11"/>
      <c r="H51" s="10"/>
      <c r="I51" s="10">
        <f t="shared" si="8"/>
        <v>1512</v>
      </c>
      <c r="J51" s="10">
        <f t="shared" si="6"/>
        <v>8421055733.7893848</v>
      </c>
      <c r="K51" s="11">
        <f t="shared" si="7"/>
        <v>2.8299999999999992E-2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11"/>
      <c r="H52" s="10"/>
      <c r="I52" s="10">
        <f t="shared" si="8"/>
        <v>1512</v>
      </c>
      <c r="J52" s="10">
        <f t="shared" si="6"/>
        <v>8189298583.8659782</v>
      </c>
      <c r="K52" s="11">
        <f t="shared" si="7"/>
        <v>2.7800000000000269E-2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11"/>
      <c r="H53" s="10"/>
      <c r="I53" s="10">
        <f t="shared" si="8"/>
        <v>1512</v>
      </c>
      <c r="J53" s="10">
        <f t="shared" si="6"/>
        <v>7967793913.0822887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11"/>
      <c r="H54" s="10"/>
      <c r="I54" s="10">
        <f t="shared" si="8"/>
        <v>1512</v>
      </c>
      <c r="J54" s="10">
        <f t="shared" si="6"/>
        <v>7756808716.0069027</v>
      </c>
      <c r="K54" s="11">
        <f t="shared" si="7"/>
        <v>2.6699999999999946E-2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11"/>
      <c r="H55" s="10"/>
      <c r="I55" s="10">
        <f t="shared" si="8"/>
        <v>1512</v>
      </c>
      <c r="J55" s="10">
        <f t="shared" si="6"/>
        <v>7555087869.8810787</v>
      </c>
      <c r="K55" s="11">
        <f t="shared" si="7"/>
        <v>2.6200000000000001E-2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11"/>
      <c r="H56" s="10"/>
      <c r="I56" s="10">
        <f t="shared" si="8"/>
        <v>1512</v>
      </c>
      <c r="J56" s="10">
        <f t="shared" si="6"/>
        <v>7362198275.0741358</v>
      </c>
      <c r="K56" s="11">
        <f t="shared" si="7"/>
        <v>2.5800000000000045E-2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11"/>
      <c r="H57" s="10"/>
      <c r="I57" s="10">
        <f t="shared" si="8"/>
        <v>1512</v>
      </c>
      <c r="J57" s="10">
        <f t="shared" si="6"/>
        <v>7177030878.411128</v>
      </c>
      <c r="K57" s="11">
        <f t="shared" si="7"/>
        <v>2.4999999999999911E-2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11"/>
      <c r="H58" s="10"/>
      <c r="I58" s="10">
        <f t="shared" si="8"/>
        <v>1512</v>
      </c>
      <c r="J58" s="10">
        <f t="shared" si="6"/>
        <v>7001981344.7913446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11"/>
      <c r="H59" s="10"/>
      <c r="I59" s="10">
        <f t="shared" si="8"/>
        <v>1512</v>
      </c>
      <c r="J59" s="10">
        <f t="shared" si="6"/>
        <v>6831201311.9915562</v>
      </c>
      <c r="K59" s="11">
        <f t="shared" si="7"/>
        <v>2.4000000000000021E-2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11"/>
      <c r="H60" s="10"/>
      <c r="I60" s="10">
        <f t="shared" si="8"/>
        <v>1512</v>
      </c>
      <c r="J60" s="10">
        <f t="shared" si="6"/>
        <v>6671095031.2417536</v>
      </c>
      <c r="K60" s="11">
        <f t="shared" si="7"/>
        <v>2.2999999999999687E-2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11"/>
      <c r="H61" s="10"/>
      <c r="I61" s="10">
        <f t="shared" si="8"/>
        <v>1512</v>
      </c>
      <c r="J61" s="10">
        <f t="shared" si="6"/>
        <v>6521109512.4552841</v>
      </c>
      <c r="K61" s="11">
        <f t="shared" si="7"/>
        <v>2.2000000000000242E-2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11"/>
      <c r="H62" s="10"/>
      <c r="I62" s="10">
        <f t="shared" si="8"/>
        <v>1512</v>
      </c>
      <c r="J62" s="10">
        <f t="shared" si="6"/>
        <v>6380733378.1362848</v>
      </c>
      <c r="K62" s="11">
        <f t="shared" si="7"/>
        <v>2.0999999999999908E-2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11"/>
      <c r="H63" s="10"/>
      <c r="I63" s="10">
        <f t="shared" si="8"/>
        <v>1512</v>
      </c>
      <c r="J63" s="10">
        <f t="shared" si="6"/>
        <v>6249494004.0512104</v>
      </c>
      <c r="K63" s="11">
        <f t="shared" si="7"/>
        <v>2.0999999999999908E-2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11"/>
      <c r="H64" s="10"/>
      <c r="I64" s="10">
        <f t="shared" si="8"/>
        <v>1512</v>
      </c>
      <c r="J64" s="10">
        <f t="shared" si="6"/>
        <v>6120953970.6672001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11"/>
      <c r="H65" s="10"/>
      <c r="I65" s="10">
        <f t="shared" si="8"/>
        <v>1512</v>
      </c>
      <c r="J65" s="10">
        <f t="shared" si="6"/>
        <v>6000935265.3599997</v>
      </c>
      <c r="K65" s="11">
        <f t="shared" si="7"/>
        <v>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6">
        <f>SUM(F2)</f>
        <v>22386666</v>
      </c>
      <c r="G66" s="11"/>
      <c r="H66" s="10"/>
      <c r="I66" s="10">
        <f t="shared" si="8"/>
        <v>1512</v>
      </c>
      <c r="J66" s="10">
        <f t="shared" ref="J66:J97" si="9">IF(I66="","",I66*C66)</f>
        <v>5883269867.999999</v>
      </c>
      <c r="K66" s="11">
        <f t="shared" ref="K66:K97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11"/>
      <c r="H67" s="10"/>
      <c r="I67" s="10">
        <f t="shared" ref="I67:I98" si="11">IF(H67&lt;&gt;"",H67,I66/(1+IF(G66="",0,G66)))</f>
        <v>1512</v>
      </c>
      <c r="J67" s="10">
        <f t="shared" si="9"/>
        <v>5773572000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190.93664881743518</v>
      </c>
      <c r="D2" s="11">
        <v>0.01</v>
      </c>
      <c r="E2" s="10">
        <f t="shared" ref="E2:E66" si="2">SUM(C2-C3)</f>
        <v>1.8904618694795658</v>
      </c>
      <c r="F2" s="15">
        <v>30421695</v>
      </c>
      <c r="G2" s="11"/>
      <c r="H2" s="10"/>
      <c r="I2" s="10">
        <f>IF(H2&lt;&gt;"",H2,1087)</f>
        <v>1087</v>
      </c>
      <c r="J2" s="10">
        <f t="shared" ref="J2:J33" si="3">IF(I2="","",I2*C2)</f>
        <v>207548.13726455203</v>
      </c>
      <c r="K2" s="11">
        <f t="shared" ref="K2:K33" si="4">IFERROR(J2/J3-1,"")</f>
        <v>1.0000000000000009E-2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189.04618694795562</v>
      </c>
      <c r="D3" s="11">
        <v>0.01</v>
      </c>
      <c r="E3" s="10">
        <f t="shared" si="2"/>
        <v>1.8717444252272912</v>
      </c>
      <c r="F3" s="3"/>
      <c r="G3" s="11"/>
      <c r="H3" s="10"/>
      <c r="I3" s="10">
        <f t="shared" ref="I3:I34" si="5">IF(H3&lt;&gt;"",H3,I2/(1+IF(G2="",0,G2)))</f>
        <v>1087</v>
      </c>
      <c r="J3" s="10">
        <f t="shared" si="3"/>
        <v>205493.20521242777</v>
      </c>
      <c r="K3" s="11">
        <f t="shared" si="4"/>
        <v>1.0000000000000009E-2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187.17444252272833</v>
      </c>
      <c r="D4" s="11">
        <v>0.01</v>
      </c>
      <c r="E4" s="10">
        <f t="shared" si="2"/>
        <v>1.853212302205236</v>
      </c>
      <c r="F4" s="3"/>
      <c r="G4" s="11"/>
      <c r="H4" s="10"/>
      <c r="I4" s="10">
        <f t="shared" si="5"/>
        <v>1087</v>
      </c>
      <c r="J4" s="10">
        <f t="shared" si="3"/>
        <v>203458.6190222057</v>
      </c>
      <c r="K4" s="11">
        <f t="shared" si="4"/>
        <v>1.0000000000000231E-2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185.32123022052309</v>
      </c>
      <c r="D5" s="11">
        <v>0.01</v>
      </c>
      <c r="E5" s="10">
        <f t="shared" si="2"/>
        <v>1.834863665549733</v>
      </c>
      <c r="F5" s="3"/>
      <c r="G5" s="11"/>
      <c r="H5" s="10"/>
      <c r="I5" s="10">
        <f t="shared" si="5"/>
        <v>1087</v>
      </c>
      <c r="J5" s="10">
        <f t="shared" si="3"/>
        <v>201444.17724970859</v>
      </c>
      <c r="K5" s="11">
        <f t="shared" si="4"/>
        <v>1.0000000000000009E-2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183.48636655497336</v>
      </c>
      <c r="D6" s="11">
        <v>0.01</v>
      </c>
      <c r="E6" s="10">
        <f t="shared" si="2"/>
        <v>1.8166966985641011</v>
      </c>
      <c r="F6" s="3"/>
      <c r="G6" s="11"/>
      <c r="H6" s="10"/>
      <c r="I6" s="10">
        <f t="shared" si="5"/>
        <v>1087</v>
      </c>
      <c r="J6" s="10">
        <f t="shared" si="3"/>
        <v>199449.68044525603</v>
      </c>
      <c r="K6" s="11">
        <f t="shared" si="4"/>
        <v>1.0000000000000009E-2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181.66966985640926</v>
      </c>
      <c r="D7" s="11">
        <v>0.01</v>
      </c>
      <c r="E7" s="10">
        <f t="shared" si="2"/>
        <v>1.7987096025387075</v>
      </c>
      <c r="F7" s="3"/>
      <c r="G7" s="11"/>
      <c r="H7" s="10"/>
      <c r="I7" s="10">
        <f t="shared" si="5"/>
        <v>1087</v>
      </c>
      <c r="J7" s="10">
        <f t="shared" si="3"/>
        <v>197474.93113391686</v>
      </c>
      <c r="K7" s="11">
        <f t="shared" si="4"/>
        <v>1.0000000000000009E-2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179.87096025387055</v>
      </c>
      <c r="D8" s="11">
        <v>0.01</v>
      </c>
      <c r="E8" s="10">
        <f t="shared" si="2"/>
        <v>1.7809005965729909</v>
      </c>
      <c r="F8" s="3"/>
      <c r="G8" s="11"/>
      <c r="H8" s="10"/>
      <c r="I8" s="10">
        <f t="shared" si="5"/>
        <v>1087</v>
      </c>
      <c r="J8" s="10">
        <f t="shared" si="3"/>
        <v>195519.73379595729</v>
      </c>
      <c r="K8" s="11">
        <f t="shared" si="4"/>
        <v>1.0000000000000231E-2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178.09005965729756</v>
      </c>
      <c r="D9" s="11">
        <v>0.01</v>
      </c>
      <c r="E9" s="10">
        <f t="shared" si="2"/>
        <v>1.7632679173989914</v>
      </c>
      <c r="F9" s="3"/>
      <c r="G9" s="11"/>
      <c r="H9" s="10"/>
      <c r="I9" s="10">
        <f t="shared" si="5"/>
        <v>1087</v>
      </c>
      <c r="J9" s="10">
        <f t="shared" si="3"/>
        <v>193583.89484748244</v>
      </c>
      <c r="K9" s="11">
        <f t="shared" si="4"/>
        <v>1.0000000000000009E-2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176.32679173989857</v>
      </c>
      <c r="D10" s="11">
        <v>0.01</v>
      </c>
      <c r="E10" s="10">
        <f t="shared" si="2"/>
        <v>1.7458098192069258</v>
      </c>
      <c r="F10" s="3"/>
      <c r="G10" s="11"/>
      <c r="H10" s="10"/>
      <c r="I10" s="10">
        <f t="shared" si="5"/>
        <v>1087</v>
      </c>
      <c r="J10" s="10">
        <f t="shared" si="3"/>
        <v>191667.22262126976</v>
      </c>
      <c r="K10" s="11">
        <f t="shared" si="4"/>
        <v>1.0000000000000009E-2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174.58098192069164</v>
      </c>
      <c r="D11" s="11">
        <v>0.01</v>
      </c>
      <c r="E11" s="10">
        <f t="shared" si="2"/>
        <v>1.7285245734721855</v>
      </c>
      <c r="F11" s="3"/>
      <c r="G11" s="11"/>
      <c r="H11" s="10"/>
      <c r="I11" s="10">
        <f t="shared" si="5"/>
        <v>1087</v>
      </c>
      <c r="J11" s="10">
        <f t="shared" si="3"/>
        <v>189769.52734779182</v>
      </c>
      <c r="K11" s="11">
        <f t="shared" si="4"/>
        <v>1.0000000000000009E-2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172.85245734721946</v>
      </c>
      <c r="D12" s="11">
        <v>0.01</v>
      </c>
      <c r="E12" s="10">
        <f t="shared" si="2"/>
        <v>1.7114104687843508</v>
      </c>
      <c r="F12" s="3"/>
      <c r="G12" s="11"/>
      <c r="H12" s="10"/>
      <c r="I12" s="10">
        <f t="shared" si="5"/>
        <v>1087</v>
      </c>
      <c r="J12" s="10">
        <f t="shared" si="3"/>
        <v>187890.62113642754</v>
      </c>
      <c r="K12" s="11">
        <f t="shared" si="4"/>
        <v>1.0000000000000009E-2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171.14104687843511</v>
      </c>
      <c r="D13" s="11">
        <v>0.01</v>
      </c>
      <c r="E13" s="10">
        <f t="shared" si="2"/>
        <v>1.6944658106775705</v>
      </c>
      <c r="F13" s="3"/>
      <c r="G13" s="11"/>
      <c r="H13" s="10"/>
      <c r="I13" s="10">
        <f t="shared" si="5"/>
        <v>1087</v>
      </c>
      <c r="J13" s="10">
        <f t="shared" si="3"/>
        <v>186030.31795685895</v>
      </c>
      <c r="K13" s="11">
        <f t="shared" si="4"/>
        <v>1.0000000000000009E-2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169.44658106775753</v>
      </c>
      <c r="D14" s="11">
        <v>0.01</v>
      </c>
      <c r="E14" s="10">
        <f t="shared" si="2"/>
        <v>1.6776889214629591</v>
      </c>
      <c r="F14" s="3"/>
      <c r="G14" s="11"/>
      <c r="H14" s="10"/>
      <c r="I14" s="10">
        <f t="shared" si="5"/>
        <v>1087</v>
      </c>
      <c r="J14" s="10">
        <f t="shared" si="3"/>
        <v>184188.43362065245</v>
      </c>
      <c r="K14" s="11">
        <f t="shared" si="4"/>
        <v>1.0000000000000231E-2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167.76889214629458</v>
      </c>
      <c r="D15" s="11">
        <v>0.01</v>
      </c>
      <c r="E15" s="10">
        <f t="shared" si="2"/>
        <v>1.6610781400623296</v>
      </c>
      <c r="F15" s="3"/>
      <c r="G15" s="11"/>
      <c r="H15" s="10"/>
      <c r="I15" s="10">
        <f t="shared" si="5"/>
        <v>1087</v>
      </c>
      <c r="J15" s="10">
        <f t="shared" si="3"/>
        <v>182364.7857630222</v>
      </c>
      <c r="K15" s="11">
        <f t="shared" si="4"/>
        <v>1.0000000000000009E-2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166.10781400623225</v>
      </c>
      <c r="D16" s="11">
        <v>0.01</v>
      </c>
      <c r="E16" s="10">
        <f t="shared" si="2"/>
        <v>1.6446318218438876</v>
      </c>
      <c r="F16" s="3"/>
      <c r="G16" s="11"/>
      <c r="H16" s="10"/>
      <c r="I16" s="10">
        <f t="shared" si="5"/>
        <v>1087</v>
      </c>
      <c r="J16" s="10">
        <f t="shared" si="3"/>
        <v>180559.19382477444</v>
      </c>
      <c r="K16" s="11">
        <f t="shared" si="4"/>
        <v>1.0000000000000009E-2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164.46318218438836</v>
      </c>
      <c r="D17" s="11">
        <v>0.01</v>
      </c>
      <c r="E17" s="10">
        <f t="shared" si="2"/>
        <v>1.6283483384592898</v>
      </c>
      <c r="F17" s="3"/>
      <c r="G17" s="11"/>
      <c r="H17" s="10"/>
      <c r="I17" s="10">
        <f t="shared" si="5"/>
        <v>1087</v>
      </c>
      <c r="J17" s="10">
        <f t="shared" si="3"/>
        <v>178771.47903443014</v>
      </c>
      <c r="K17" s="11">
        <f t="shared" si="4"/>
        <v>1.0000000000000009E-2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162.83483384592907</v>
      </c>
      <c r="D18" s="11">
        <v>0.01</v>
      </c>
      <c r="E18" s="10">
        <f t="shared" si="2"/>
        <v>1.6122260776824646</v>
      </c>
      <c r="F18" s="3"/>
      <c r="G18" s="11"/>
      <c r="H18" s="10"/>
      <c r="I18" s="10">
        <f t="shared" si="5"/>
        <v>1087</v>
      </c>
      <c r="J18" s="10">
        <f t="shared" si="3"/>
        <v>177001.4643905249</v>
      </c>
      <c r="K18" s="11">
        <f t="shared" si="4"/>
        <v>1.0000000000000009E-2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161.2226077682466</v>
      </c>
      <c r="D19" s="11">
        <v>0.01</v>
      </c>
      <c r="E19" s="10">
        <f t="shared" si="2"/>
        <v>1.5962634432499669</v>
      </c>
      <c r="F19" s="3"/>
      <c r="G19" s="11"/>
      <c r="H19" s="10"/>
      <c r="I19" s="10">
        <f t="shared" si="5"/>
        <v>1087</v>
      </c>
      <c r="J19" s="10">
        <f t="shared" si="3"/>
        <v>175248.97464408405</v>
      </c>
      <c r="K19" s="11">
        <f t="shared" si="4"/>
        <v>1.0000000000000009E-2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159.62634432499664</v>
      </c>
      <c r="D20" s="11">
        <v>0.01</v>
      </c>
      <c r="E20" s="10">
        <f t="shared" si="2"/>
        <v>1.5804588547029255</v>
      </c>
      <c r="F20" s="3"/>
      <c r="G20" s="11"/>
      <c r="H20" s="10"/>
      <c r="I20" s="10">
        <f t="shared" si="5"/>
        <v>1087</v>
      </c>
      <c r="J20" s="10">
        <f t="shared" si="3"/>
        <v>173513.83628127133</v>
      </c>
      <c r="K20" s="11">
        <f t="shared" si="4"/>
        <v>9.9999999999997868E-3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158.04588547029371</v>
      </c>
      <c r="D21" s="11">
        <v>0.01</v>
      </c>
      <c r="E21" s="10">
        <f t="shared" si="2"/>
        <v>1.5648107472306378</v>
      </c>
      <c r="F21" s="3"/>
      <c r="G21" s="11"/>
      <c r="H21" s="10"/>
      <c r="I21" s="10">
        <f t="shared" si="5"/>
        <v>1087</v>
      </c>
      <c r="J21" s="10">
        <f t="shared" si="3"/>
        <v>171795.87750620928</v>
      </c>
      <c r="K21" s="11">
        <f t="shared" si="4"/>
        <v>1.0000000000000009E-2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156.48107472306307</v>
      </c>
      <c r="D22" s="11">
        <v>0.01</v>
      </c>
      <c r="E22" s="10">
        <f t="shared" si="2"/>
        <v>1.5493175715154734</v>
      </c>
      <c r="F22" s="3"/>
      <c r="G22" s="11"/>
      <c r="H22" s="10"/>
      <c r="I22" s="10">
        <f t="shared" si="5"/>
        <v>1087</v>
      </c>
      <c r="J22" s="10">
        <f t="shared" si="3"/>
        <v>170094.92822396956</v>
      </c>
      <c r="K22" s="11">
        <f t="shared" si="4"/>
        <v>1.0000000000000009E-2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154.9317571515476</v>
      </c>
      <c r="D23" s="11">
        <v>0.01</v>
      </c>
      <c r="E23" s="10">
        <f t="shared" si="2"/>
        <v>1.5339777935796803</v>
      </c>
      <c r="F23" s="3"/>
      <c r="G23" s="11"/>
      <c r="H23" s="10"/>
      <c r="I23" s="10">
        <f t="shared" si="5"/>
        <v>1087</v>
      </c>
      <c r="J23" s="10">
        <f t="shared" si="3"/>
        <v>168410.82002373223</v>
      </c>
      <c r="K23" s="11">
        <f t="shared" si="4"/>
        <v>1.0000000000000009E-2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153.39777935796792</v>
      </c>
      <c r="D24" s="11">
        <v>0.01</v>
      </c>
      <c r="E24" s="10">
        <f t="shared" si="2"/>
        <v>1.5187898946333576</v>
      </c>
      <c r="F24" s="3"/>
      <c r="G24" s="11"/>
      <c r="H24" s="10"/>
      <c r="I24" s="10">
        <f t="shared" si="5"/>
        <v>1087</v>
      </c>
      <c r="J24" s="10">
        <f t="shared" si="3"/>
        <v>166743.38616211113</v>
      </c>
      <c r="K24" s="11">
        <f t="shared" si="4"/>
        <v>1.0000000000000231E-2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151.87898946333456</v>
      </c>
      <c r="D25" s="11">
        <v>0.01</v>
      </c>
      <c r="E25" s="10">
        <f t="shared" si="2"/>
        <v>1.5037523709241043</v>
      </c>
      <c r="F25" s="3"/>
      <c r="G25" s="11"/>
      <c r="H25" s="10"/>
      <c r="I25" s="10">
        <f t="shared" si="5"/>
        <v>1087</v>
      </c>
      <c r="J25" s="10">
        <f t="shared" si="3"/>
        <v>165092.46154664466</v>
      </c>
      <c r="K25" s="11">
        <f t="shared" si="4"/>
        <v>1.0000000000000009E-2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150.37523709241046</v>
      </c>
      <c r="D26" s="11">
        <v>0.01</v>
      </c>
      <c r="E26" s="10">
        <f t="shared" si="2"/>
        <v>1.4888637335882322</v>
      </c>
      <c r="F26" s="3"/>
      <c r="G26" s="11"/>
      <c r="H26" s="10"/>
      <c r="I26" s="10">
        <f t="shared" si="5"/>
        <v>1087</v>
      </c>
      <c r="J26" s="10">
        <f t="shared" si="3"/>
        <v>163457.88271945016</v>
      </c>
      <c r="K26" s="11">
        <f t="shared" si="4"/>
        <v>1.0000000000000009E-2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148.88637335882223</v>
      </c>
      <c r="D27" s="11">
        <v>0.01</v>
      </c>
      <c r="E27" s="10">
        <f t="shared" si="2"/>
        <v>1.4741225085031999</v>
      </c>
      <c r="F27" s="3"/>
      <c r="G27" s="11"/>
      <c r="H27" s="10"/>
      <c r="I27" s="10">
        <f t="shared" si="5"/>
        <v>1087</v>
      </c>
      <c r="J27" s="10">
        <f t="shared" si="3"/>
        <v>161839.48784103975</v>
      </c>
      <c r="K27" s="11">
        <f t="shared" si="4"/>
        <v>1.0000000000000009E-2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147.41225085031903</v>
      </c>
      <c r="D28" s="11">
        <v>0.01</v>
      </c>
      <c r="E28" s="10">
        <f t="shared" si="2"/>
        <v>1.4595272361417813</v>
      </c>
      <c r="F28" s="3"/>
      <c r="G28" s="11"/>
      <c r="H28" s="10"/>
      <c r="I28" s="10">
        <f t="shared" si="5"/>
        <v>1087</v>
      </c>
      <c r="J28" s="10">
        <f t="shared" si="3"/>
        <v>160237.11667429679</v>
      </c>
      <c r="K28" s="11">
        <f t="shared" si="4"/>
        <v>1.0000000000000231E-2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145.95272361417724</v>
      </c>
      <c r="D29" s="11">
        <v>0.01</v>
      </c>
      <c r="E29" s="10">
        <f t="shared" si="2"/>
        <v>1.4450764714275124</v>
      </c>
      <c r="F29" s="3"/>
      <c r="G29" s="11"/>
      <c r="H29" s="10"/>
      <c r="I29" s="10">
        <f t="shared" si="5"/>
        <v>1087</v>
      </c>
      <c r="J29" s="10">
        <f t="shared" si="3"/>
        <v>158650.61056861066</v>
      </c>
      <c r="K29" s="11">
        <f t="shared" si="4"/>
        <v>1.0000000000000009E-2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144.50764714274973</v>
      </c>
      <c r="D30" s="11">
        <v>0.01</v>
      </c>
      <c r="E30" s="10">
        <f t="shared" si="2"/>
        <v>1.4307687835915885</v>
      </c>
      <c r="F30" s="3"/>
      <c r="G30" s="11"/>
      <c r="H30" s="10"/>
      <c r="I30" s="10">
        <f t="shared" si="5"/>
        <v>1087</v>
      </c>
      <c r="J30" s="10">
        <f t="shared" si="3"/>
        <v>157079.81244416896</v>
      </c>
      <c r="K30" s="11">
        <f t="shared" si="4"/>
        <v>1.0000000000000009E-2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143.07687835915814</v>
      </c>
      <c r="D31" s="11">
        <v>0.01</v>
      </c>
      <c r="E31" s="10">
        <f t="shared" si="2"/>
        <v>1.4166027560312671</v>
      </c>
      <c r="F31" s="3"/>
      <c r="G31" s="11"/>
      <c r="H31" s="10"/>
      <c r="I31" s="10">
        <f t="shared" si="5"/>
        <v>1087</v>
      </c>
      <c r="J31" s="10">
        <f t="shared" si="3"/>
        <v>155524.56677640491</v>
      </c>
      <c r="K31" s="11">
        <f t="shared" si="4"/>
        <v>1.0000000000000231E-2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141.66027560312688</v>
      </c>
      <c r="D32" s="11">
        <v>0.01</v>
      </c>
      <c r="E32" s="10">
        <f t="shared" si="2"/>
        <v>1.4025769861695778</v>
      </c>
      <c r="F32" s="3"/>
      <c r="G32" s="11"/>
      <c r="H32" s="10"/>
      <c r="I32" s="10">
        <f t="shared" si="5"/>
        <v>1087</v>
      </c>
      <c r="J32" s="10">
        <f t="shared" si="3"/>
        <v>153984.7195805989</v>
      </c>
      <c r="K32" s="11">
        <f t="shared" si="4"/>
        <v>1.0000000000000009E-2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140.2576986169573</v>
      </c>
      <c r="D33" s="11">
        <v>0.01</v>
      </c>
      <c r="E33" s="10">
        <f t="shared" si="2"/>
        <v>1.3886900853163979</v>
      </c>
      <c r="F33" s="3"/>
      <c r="G33" s="11"/>
      <c r="H33" s="10"/>
      <c r="I33" s="10">
        <f t="shared" si="5"/>
        <v>1087</v>
      </c>
      <c r="J33" s="10">
        <f t="shared" si="3"/>
        <v>152460.11839663258</v>
      </c>
      <c r="K33" s="11">
        <f t="shared" si="4"/>
        <v>9.9999999999997868E-3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138.8690085316409</v>
      </c>
      <c r="D34" s="11">
        <v>0.01</v>
      </c>
      <c r="E34" s="10">
        <f t="shared" si="2"/>
        <v>1.3749406785310896</v>
      </c>
      <c r="F34" s="3"/>
      <c r="G34" s="11"/>
      <c r="H34" s="10"/>
      <c r="I34" s="10">
        <f t="shared" si="5"/>
        <v>1087</v>
      </c>
      <c r="J34" s="10">
        <f t="shared" ref="J34:J65" si="6">IF(I34="","",I34*C34)</f>
        <v>150950.61227389367</v>
      </c>
      <c r="K34" s="11">
        <f t="shared" ref="K34:K65" si="7">IFERROR(J34/J35-1,"")</f>
        <v>1.0000000000000009E-2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137.49406785310981</v>
      </c>
      <c r="D35" s="11">
        <v>0.01</v>
      </c>
      <c r="E35" s="10">
        <f t="shared" si="2"/>
        <v>1.3613274044862465</v>
      </c>
      <c r="F35" s="3"/>
      <c r="G35" s="11"/>
      <c r="H35" s="10"/>
      <c r="I35" s="10">
        <f t="shared" ref="I35:I66" si="8">IF(H35&lt;&gt;"",H35,I34/(1+IF(G34="",0,G34)))</f>
        <v>1087</v>
      </c>
      <c r="J35" s="10">
        <f t="shared" si="6"/>
        <v>149456.05175633036</v>
      </c>
      <c r="K35" s="11">
        <f t="shared" si="7"/>
        <v>1.0000000000000009E-2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136.13274044862357</v>
      </c>
      <c r="D36" s="11">
        <v>0.01</v>
      </c>
      <c r="E36" s="10">
        <f t="shared" si="2"/>
        <v>1.3478489153329178</v>
      </c>
      <c r="F36" s="3"/>
      <c r="G36" s="11"/>
      <c r="H36" s="10"/>
      <c r="I36" s="10">
        <f t="shared" si="8"/>
        <v>1087</v>
      </c>
      <c r="J36" s="10">
        <f t="shared" si="6"/>
        <v>147976.28886765381</v>
      </c>
      <c r="K36" s="11">
        <f t="shared" si="7"/>
        <v>1.0000000000000009E-2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134.78489153329065</v>
      </c>
      <c r="D37" s="11">
        <v>0.01</v>
      </c>
      <c r="E37" s="10">
        <f t="shared" si="2"/>
        <v>1.3345038765672257</v>
      </c>
      <c r="F37" s="3"/>
      <c r="G37" s="11"/>
      <c r="H37" s="10"/>
      <c r="I37" s="10">
        <f t="shared" si="8"/>
        <v>1087</v>
      </c>
      <c r="J37" s="10">
        <f t="shared" si="6"/>
        <v>146511.17709668694</v>
      </c>
      <c r="K37" s="11">
        <f t="shared" si="7"/>
        <v>1.0000000000000009E-2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133.45038765672342</v>
      </c>
      <c r="D38" s="11">
        <v>0.01</v>
      </c>
      <c r="E38" s="10">
        <f t="shared" si="2"/>
        <v>1.3212909668982604</v>
      </c>
      <c r="F38" s="3"/>
      <c r="G38" s="11"/>
      <c r="H38" s="10"/>
      <c r="I38" s="10">
        <f t="shared" si="8"/>
        <v>1087</v>
      </c>
      <c r="J38" s="10">
        <f t="shared" si="6"/>
        <v>145060.57138285835</v>
      </c>
      <c r="K38" s="11">
        <f t="shared" si="7"/>
        <v>1.0000000000000009E-2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132.12909668982516</v>
      </c>
      <c r="D39" s="11">
        <v>0.01</v>
      </c>
      <c r="E39" s="10">
        <f t="shared" si="2"/>
        <v>1.3082088781170853</v>
      </c>
      <c r="F39" s="3"/>
      <c r="G39" s="11"/>
      <c r="H39" s="10"/>
      <c r="I39" s="10">
        <f t="shared" si="8"/>
        <v>1087</v>
      </c>
      <c r="J39" s="10">
        <f t="shared" si="6"/>
        <v>143624.32810183996</v>
      </c>
      <c r="K39" s="11">
        <f t="shared" si="7"/>
        <v>1.0000000000000231E-2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130.82088781170808</v>
      </c>
      <c r="D40" s="11">
        <v>0.01</v>
      </c>
      <c r="E40" s="10">
        <f t="shared" si="2"/>
        <v>1.2952563149674177</v>
      </c>
      <c r="F40" s="3"/>
      <c r="G40" s="11"/>
      <c r="H40" s="10"/>
      <c r="I40" s="10">
        <f t="shared" si="8"/>
        <v>1087</v>
      </c>
      <c r="J40" s="10">
        <f t="shared" si="6"/>
        <v>142202.30505132666</v>
      </c>
      <c r="K40" s="11">
        <f t="shared" si="7"/>
        <v>1.0000000000000009E-2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129.52563149674066</v>
      </c>
      <c r="D41" s="11">
        <v>0.01</v>
      </c>
      <c r="E41" s="10">
        <f t="shared" si="2"/>
        <v>1.282431995017248</v>
      </c>
      <c r="F41" s="3"/>
      <c r="G41" s="11"/>
      <c r="H41" s="10"/>
      <c r="I41" s="10">
        <f t="shared" si="8"/>
        <v>1087</v>
      </c>
      <c r="J41" s="10">
        <f t="shared" si="6"/>
        <v>140794.36143695709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128.24319950172341</v>
      </c>
      <c r="D42" s="11">
        <v>0.01</v>
      </c>
      <c r="E42" s="10">
        <f t="shared" si="2"/>
        <v>1.269734648531923</v>
      </c>
      <c r="F42" s="3"/>
      <c r="G42" s="11"/>
      <c r="H42" s="10"/>
      <c r="I42" s="10">
        <f t="shared" si="8"/>
        <v>1087</v>
      </c>
      <c r="J42" s="10">
        <f t="shared" si="6"/>
        <v>139400.35785837335</v>
      </c>
      <c r="K42" s="11">
        <f t="shared" si="7"/>
        <v>1.0000000000000009E-2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126.97346485319149</v>
      </c>
      <c r="D43" s="11">
        <v>0.01</v>
      </c>
      <c r="E43" s="10">
        <f t="shared" si="2"/>
        <v>1.2571630183484359</v>
      </c>
      <c r="F43" s="3"/>
      <c r="G43" s="11"/>
      <c r="H43" s="10"/>
      <c r="I43" s="10">
        <f t="shared" si="8"/>
        <v>1087</v>
      </c>
      <c r="J43" s="10">
        <f t="shared" si="6"/>
        <v>138020.15629541915</v>
      </c>
      <c r="K43" s="11">
        <f t="shared" si="7"/>
        <v>1.0000000000000009E-2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125.71630183484305</v>
      </c>
      <c r="D44" s="11">
        <v>0.01</v>
      </c>
      <c r="E44" s="10">
        <f t="shared" si="2"/>
        <v>1.2447158597509258</v>
      </c>
      <c r="F44" s="3"/>
      <c r="G44" s="11"/>
      <c r="H44" s="10"/>
      <c r="I44" s="10">
        <f t="shared" si="8"/>
        <v>1087</v>
      </c>
      <c r="J44" s="10">
        <f t="shared" si="6"/>
        <v>136653.62009447441</v>
      </c>
      <c r="K44" s="11">
        <f t="shared" si="7"/>
        <v>1.0000000000000009E-2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124.47158597509213</v>
      </c>
      <c r="D45" s="11">
        <v>0.01</v>
      </c>
      <c r="E45" s="10">
        <f t="shared" si="2"/>
        <v>1.2323919403474548</v>
      </c>
      <c r="F45" s="3"/>
      <c r="G45" s="11"/>
      <c r="H45" s="10"/>
      <c r="I45" s="10">
        <f t="shared" si="8"/>
        <v>1087</v>
      </c>
      <c r="J45" s="10">
        <f t="shared" si="6"/>
        <v>135300.61395492515</v>
      </c>
      <c r="K45" s="11">
        <f t="shared" si="7"/>
        <v>1.0000000000000231E-2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123.23919403474467</v>
      </c>
      <c r="D46" s="11">
        <v>0.01</v>
      </c>
      <c r="E46" s="10">
        <f t="shared" si="2"/>
        <v>1.2201900399479655</v>
      </c>
      <c r="F46" s="3"/>
      <c r="G46" s="11"/>
      <c r="H46" s="10"/>
      <c r="I46" s="10">
        <f t="shared" si="8"/>
        <v>1087</v>
      </c>
      <c r="J46" s="10">
        <f t="shared" si="6"/>
        <v>133961.00391576745</v>
      </c>
      <c r="K46" s="11">
        <f t="shared" si="7"/>
        <v>9.9999999999997868E-3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122.01900399479671</v>
      </c>
      <c r="D47" s="11">
        <v>0.01</v>
      </c>
      <c r="E47" s="10">
        <f t="shared" si="2"/>
        <v>1.2081089504435312</v>
      </c>
      <c r="F47" s="3"/>
      <c r="G47" s="11"/>
      <c r="H47" s="10"/>
      <c r="I47" s="10">
        <f t="shared" si="8"/>
        <v>1087</v>
      </c>
      <c r="J47" s="10">
        <f t="shared" si="6"/>
        <v>132634.65734234403</v>
      </c>
      <c r="K47" s="11">
        <f t="shared" si="7"/>
        <v>1.0000000000000009E-2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120.81089504435317</v>
      </c>
      <c r="D48" s="11">
        <v>0.01</v>
      </c>
      <c r="E48" s="10">
        <f t="shared" si="2"/>
        <v>1.1961474756866721</v>
      </c>
      <c r="F48" s="3"/>
      <c r="G48" s="11"/>
      <c r="H48" s="10"/>
      <c r="I48" s="10">
        <f t="shared" si="8"/>
        <v>1087</v>
      </c>
      <c r="J48" s="10">
        <f t="shared" si="6"/>
        <v>131321.44291321191</v>
      </c>
      <c r="K48" s="11">
        <f t="shared" si="7"/>
        <v>1.0000000000000231E-2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119.6147475686665</v>
      </c>
      <c r="D49" s="11">
        <v>0.01</v>
      </c>
      <c r="E49" s="10">
        <f t="shared" si="2"/>
        <v>1.1843044313729365</v>
      </c>
      <c r="F49" s="3"/>
      <c r="G49" s="11"/>
      <c r="H49" s="10"/>
      <c r="I49" s="10">
        <f t="shared" si="8"/>
        <v>1087</v>
      </c>
      <c r="J49" s="10">
        <f t="shared" si="6"/>
        <v>130021.23060714049</v>
      </c>
      <c r="K49" s="11">
        <f t="shared" si="7"/>
        <v>1.0000000000000009E-2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118.43044313729357</v>
      </c>
      <c r="D50" s="11">
        <v>0.01</v>
      </c>
      <c r="E50" s="10">
        <f t="shared" si="2"/>
        <v>1.1725786449237035</v>
      </c>
      <c r="F50" s="3"/>
      <c r="G50" s="11"/>
      <c r="H50" s="10"/>
      <c r="I50" s="10">
        <f t="shared" si="8"/>
        <v>1087</v>
      </c>
      <c r="J50" s="10">
        <f t="shared" si="6"/>
        <v>128733.8916902381</v>
      </c>
      <c r="K50" s="11">
        <f t="shared" si="7"/>
        <v>1.0000000000000009E-2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117.25786449236986</v>
      </c>
      <c r="D51" s="11">
        <v>0.01</v>
      </c>
      <c r="E51" s="10">
        <f t="shared" si="2"/>
        <v>1.1609689553699951</v>
      </c>
      <c r="F51" s="3"/>
      <c r="G51" s="11"/>
      <c r="H51" s="10"/>
      <c r="I51" s="10">
        <f t="shared" si="8"/>
        <v>1087</v>
      </c>
      <c r="J51" s="10">
        <f t="shared" si="6"/>
        <v>127459.29870320603</v>
      </c>
      <c r="K51" s="11">
        <f t="shared" si="7"/>
        <v>1.0000000000000009E-2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116.09689553699987</v>
      </c>
      <c r="D52" s="11">
        <v>0.01</v>
      </c>
      <c r="E52" s="10">
        <f t="shared" si="2"/>
        <v>1.1494742132376246</v>
      </c>
      <c r="F52" s="3"/>
      <c r="G52" s="11"/>
      <c r="H52" s="10"/>
      <c r="I52" s="10">
        <f t="shared" si="8"/>
        <v>1087</v>
      </c>
      <c r="J52" s="10">
        <f t="shared" si="6"/>
        <v>126197.32544871885</v>
      </c>
      <c r="K52" s="11">
        <f t="shared" si="7"/>
        <v>1.0000000000000009E-2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114.94742132376224</v>
      </c>
      <c r="D53" s="11">
        <v>0.01</v>
      </c>
      <c r="E53" s="10">
        <f t="shared" si="2"/>
        <v>1.1380932804332957</v>
      </c>
      <c r="F53" s="3"/>
      <c r="G53" s="11"/>
      <c r="H53" s="10"/>
      <c r="I53" s="10">
        <f t="shared" si="8"/>
        <v>1087</v>
      </c>
      <c r="J53" s="10">
        <f t="shared" si="6"/>
        <v>124947.84697892956</v>
      </c>
      <c r="K53" s="11">
        <f t="shared" si="7"/>
        <v>1.0000000000000231E-2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113.80932804332895</v>
      </c>
      <c r="D54" s="11">
        <v>0.01</v>
      </c>
      <c r="E54" s="10">
        <f t="shared" si="2"/>
        <v>1.1268250301319682</v>
      </c>
      <c r="F54" s="3"/>
      <c r="G54" s="11"/>
      <c r="H54" s="10"/>
      <c r="I54" s="10">
        <f t="shared" si="8"/>
        <v>1087</v>
      </c>
      <c r="J54" s="10">
        <f t="shared" si="6"/>
        <v>123710.73958309856</v>
      </c>
      <c r="K54" s="11">
        <f t="shared" si="7"/>
        <v>1.0000000000000009E-2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112.68250301319698</v>
      </c>
      <c r="D55" s="11">
        <v>0.01</v>
      </c>
      <c r="E55" s="10">
        <f t="shared" si="2"/>
        <v>1.1156683466653163</v>
      </c>
      <c r="F55" s="3"/>
      <c r="G55" s="11"/>
      <c r="H55" s="10"/>
      <c r="I55" s="10">
        <f t="shared" si="8"/>
        <v>1087</v>
      </c>
      <c r="J55" s="10">
        <f t="shared" si="6"/>
        <v>122485.88077534511</v>
      </c>
      <c r="K55" s="11">
        <f t="shared" si="7"/>
        <v>1.0000000000000009E-2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111.56683466653166</v>
      </c>
      <c r="D56" s="11">
        <v>0.01</v>
      </c>
      <c r="E56" s="10">
        <f t="shared" si="2"/>
        <v>1.1046221254112112</v>
      </c>
      <c r="F56" s="3"/>
      <c r="G56" s="11"/>
      <c r="H56" s="10"/>
      <c r="I56" s="10">
        <f t="shared" si="8"/>
        <v>1087</v>
      </c>
      <c r="J56" s="10">
        <f t="shared" si="6"/>
        <v>121273.14928251991</v>
      </c>
      <c r="K56" s="11">
        <f t="shared" si="7"/>
        <v>1.0000000000000009E-2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110.46221254112045</v>
      </c>
      <c r="D57" s="11">
        <v>0.01</v>
      </c>
      <c r="E57" s="10">
        <f t="shared" si="2"/>
        <v>1.0936852726843682</v>
      </c>
      <c r="F57" s="3"/>
      <c r="G57" s="11"/>
      <c r="H57" s="10"/>
      <c r="I57" s="10">
        <f t="shared" si="8"/>
        <v>1087</v>
      </c>
      <c r="J57" s="10">
        <f t="shared" si="6"/>
        <v>120072.42503219793</v>
      </c>
      <c r="K57" s="11">
        <f t="shared" si="7"/>
        <v>1.0000000000000231E-2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109.36852726843608</v>
      </c>
      <c r="D58" s="11">
        <v>0.01</v>
      </c>
      <c r="E58" s="10">
        <f t="shared" si="2"/>
        <v>1.0828567056280747</v>
      </c>
      <c r="F58" s="3"/>
      <c r="G58" s="11"/>
      <c r="H58" s="10"/>
      <c r="I58" s="10">
        <f t="shared" si="8"/>
        <v>1087</v>
      </c>
      <c r="J58" s="10">
        <f t="shared" si="6"/>
        <v>118883.58914079002</v>
      </c>
      <c r="K58" s="11">
        <f t="shared" si="7"/>
        <v>1.0000000000000009E-2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108.28567056280801</v>
      </c>
      <c r="D59" s="11">
        <v>0.01</v>
      </c>
      <c r="E59" s="10">
        <f t="shared" si="2"/>
        <v>1.0721353521070114</v>
      </c>
      <c r="F59" s="3"/>
      <c r="G59" s="11"/>
      <c r="H59" s="10"/>
      <c r="I59" s="10">
        <f t="shared" si="8"/>
        <v>1087</v>
      </c>
      <c r="J59" s="10">
        <f t="shared" si="6"/>
        <v>117706.52390177231</v>
      </c>
      <c r="K59" s="11">
        <f t="shared" si="7"/>
        <v>1.0000000000000009E-2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107.213535210701</v>
      </c>
      <c r="D60" s="11">
        <v>0.01</v>
      </c>
      <c r="E60" s="10">
        <f t="shared" si="2"/>
        <v>1.0615201506009981</v>
      </c>
      <c r="F60" s="3"/>
      <c r="G60" s="11"/>
      <c r="H60" s="10"/>
      <c r="I60" s="10">
        <f t="shared" si="8"/>
        <v>1087</v>
      </c>
      <c r="J60" s="10">
        <f t="shared" si="6"/>
        <v>116541.11277403198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106.1520150601</v>
      </c>
      <c r="D61" s="11">
        <v>0.01</v>
      </c>
      <c r="E61" s="10">
        <f t="shared" si="2"/>
        <v>1.0510100501000039</v>
      </c>
      <c r="F61" s="3"/>
      <c r="G61" s="11"/>
      <c r="H61" s="10"/>
      <c r="I61" s="10">
        <f t="shared" si="8"/>
        <v>1087</v>
      </c>
      <c r="J61" s="10">
        <f t="shared" si="6"/>
        <v>115387.2403703287</v>
      </c>
      <c r="K61" s="11">
        <f t="shared" si="7"/>
        <v>1.0000000000000009E-2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105.10100500999999</v>
      </c>
      <c r="D62" s="11">
        <v>0.01</v>
      </c>
      <c r="E62" s="10">
        <f t="shared" si="2"/>
        <v>1.0406040099999956</v>
      </c>
      <c r="F62" s="3"/>
      <c r="G62" s="11"/>
      <c r="H62" s="10"/>
      <c r="I62" s="10">
        <f t="shared" si="8"/>
        <v>1087</v>
      </c>
      <c r="J62" s="10">
        <f t="shared" si="6"/>
        <v>114244.79244587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104.060401</v>
      </c>
      <c r="D63" s="11">
        <v>0.01</v>
      </c>
      <c r="E63" s="10">
        <f t="shared" si="2"/>
        <v>1.0303009999999944</v>
      </c>
      <c r="F63" s="3"/>
      <c r="G63" s="11"/>
      <c r="H63" s="10"/>
      <c r="I63" s="10">
        <f t="shared" si="8"/>
        <v>1087</v>
      </c>
      <c r="J63" s="10">
        <f t="shared" si="6"/>
        <v>113113.655887</v>
      </c>
      <c r="K63" s="11">
        <f t="shared" si="7"/>
        <v>1.0000000000000009E-2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103.0301</v>
      </c>
      <c r="D64" s="11">
        <v>0.01</v>
      </c>
      <c r="E64" s="10">
        <f t="shared" si="2"/>
        <v>1.0200999999999993</v>
      </c>
      <c r="F64" s="3"/>
      <c r="G64" s="11"/>
      <c r="H64" s="10"/>
      <c r="I64" s="10">
        <f t="shared" si="8"/>
        <v>1087</v>
      </c>
      <c r="J64" s="10">
        <f t="shared" si="6"/>
        <v>111993.7187</v>
      </c>
      <c r="K64" s="11">
        <f t="shared" si="7"/>
        <v>9.9999999999997868E-3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102.01</v>
      </c>
      <c r="D65" s="11">
        <v>0.01</v>
      </c>
      <c r="E65" s="10">
        <f t="shared" si="2"/>
        <v>1.0100000000000051</v>
      </c>
      <c r="F65" s="3"/>
      <c r="G65" s="11"/>
      <c r="H65" s="10"/>
      <c r="I65" s="10">
        <f t="shared" si="8"/>
        <v>1087</v>
      </c>
      <c r="J65" s="10">
        <f t="shared" si="6"/>
        <v>110884.87000000001</v>
      </c>
      <c r="K65" s="11">
        <f t="shared" si="7"/>
        <v>1.0000000000000009E-2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</v>
      </c>
      <c r="D66" s="11">
        <v>0.01</v>
      </c>
      <c r="E66" s="10">
        <f t="shared" si="2"/>
        <v>1</v>
      </c>
      <c r="F66" s="26">
        <f>SUM(F2)</f>
        <v>30421695</v>
      </c>
      <c r="G66" s="11"/>
      <c r="H66" s="10"/>
      <c r="I66" s="10">
        <f t="shared" si="8"/>
        <v>1087</v>
      </c>
      <c r="J66" s="10">
        <f t="shared" ref="J66:J97" si="9">IF(I66="","",I66*C66)</f>
        <v>109787</v>
      </c>
      <c r="K66" s="11">
        <f t="shared" ref="K66:K97" si="10">IFERROR(J66/J67-1,"")</f>
        <v>1.0000000000000009E-2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0.01</v>
      </c>
      <c r="E67" s="3" t="s">
        <v>72</v>
      </c>
      <c r="F67" s="10">
        <f>SUM(C2)</f>
        <v>190.93664881743518</v>
      </c>
      <c r="G67" s="11"/>
      <c r="H67" s="10"/>
      <c r="I67" s="10">
        <f t="shared" ref="I67:I98" si="11">IF(H67&lt;&gt;"",H67,I66/(1+IF(G66="",0,G66)))</f>
        <v>1087</v>
      </c>
      <c r="J67" s="10">
        <f t="shared" si="9"/>
        <v>108700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5">
        <v>21611863</v>
      </c>
      <c r="G2" s="11"/>
      <c r="H2" s="10"/>
      <c r="I2" s="10">
        <f>IF(H2&lt;&gt;"",H2,3651)</f>
        <v>3651</v>
      </c>
      <c r="J2" s="10">
        <f t="shared" ref="J2:J33" si="3">IF(I2="","",I2*C2)</f>
        <v>78905166183.231339</v>
      </c>
      <c r="K2" s="11">
        <f t="shared" ref="K2:K33" si="4">IFERROR(J2/J3-1,"")</f>
        <v>3.1199999999999894E-2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11"/>
      <c r="H3" s="10"/>
      <c r="I3" s="10">
        <f t="shared" ref="I3:I34" si="5">IF(H3&lt;&gt;"",H3,I2/(1+IF(G2="",0,G2)))</f>
        <v>3651</v>
      </c>
      <c r="J3" s="10">
        <f t="shared" si="3"/>
        <v>76517810495.763519</v>
      </c>
      <c r="K3" s="11">
        <f t="shared" si="4"/>
        <v>3.1700000000000061E-2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11"/>
      <c r="H4" s="10"/>
      <c r="I4" s="10">
        <f t="shared" si="5"/>
        <v>3651</v>
      </c>
      <c r="J4" s="10">
        <f t="shared" si="3"/>
        <v>74166725303.638184</v>
      </c>
      <c r="K4" s="11">
        <f t="shared" si="4"/>
        <v>3.2000000000000028E-2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11"/>
      <c r="H5" s="10"/>
      <c r="I5" s="10">
        <f t="shared" si="5"/>
        <v>3651</v>
      </c>
      <c r="J5" s="10">
        <f t="shared" si="3"/>
        <v>71866981883.370331</v>
      </c>
      <c r="K5" s="11">
        <f t="shared" si="4"/>
        <v>3.2399999999999984E-2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11"/>
      <c r="H6" s="10"/>
      <c r="I6" s="10">
        <f t="shared" si="5"/>
        <v>3651</v>
      </c>
      <c r="J6" s="10">
        <f t="shared" si="3"/>
        <v>69611567109.037521</v>
      </c>
      <c r="K6" s="11">
        <f t="shared" si="4"/>
        <v>3.3300000000000107E-2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11"/>
      <c r="H7" s="10"/>
      <c r="I7" s="10">
        <f t="shared" si="5"/>
        <v>3651</v>
      </c>
      <c r="J7" s="10">
        <f t="shared" si="3"/>
        <v>67368205854.096115</v>
      </c>
      <c r="K7" s="11">
        <f t="shared" si="4"/>
        <v>3.4599999999999964E-2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11"/>
      <c r="H8" s="10"/>
      <c r="I8" s="10">
        <f t="shared" si="5"/>
        <v>3651</v>
      </c>
      <c r="J8" s="10">
        <f t="shared" si="3"/>
        <v>65115219267.442604</v>
      </c>
      <c r="K8" s="11">
        <f t="shared" si="4"/>
        <v>3.5400000000000098E-2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11"/>
      <c r="H9" s="10"/>
      <c r="I9" s="10">
        <f t="shared" si="5"/>
        <v>3651</v>
      </c>
      <c r="J9" s="10">
        <f t="shared" si="3"/>
        <v>62888950422.486572</v>
      </c>
      <c r="K9" s="11">
        <f t="shared" si="4"/>
        <v>3.5699999999999843E-2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11"/>
      <c r="H10" s="10"/>
      <c r="I10" s="10">
        <f t="shared" si="5"/>
        <v>3651</v>
      </c>
      <c r="J10" s="10">
        <f t="shared" si="3"/>
        <v>60721203459.000267</v>
      </c>
      <c r="K10" s="11">
        <f t="shared" si="4"/>
        <v>3.5299999999999887E-2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11"/>
      <c r="H11" s="10"/>
      <c r="I11" s="10">
        <f t="shared" si="5"/>
        <v>3651</v>
      </c>
      <c r="J11" s="10">
        <f t="shared" si="3"/>
        <v>58650829188.641243</v>
      </c>
      <c r="K11" s="11">
        <f t="shared" si="4"/>
        <v>3.4399999999999986E-2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11"/>
      <c r="H12" s="10"/>
      <c r="I12" s="10">
        <f t="shared" si="5"/>
        <v>3651</v>
      </c>
      <c r="J12" s="10">
        <f t="shared" si="3"/>
        <v>56700337576.025948</v>
      </c>
      <c r="K12" s="11">
        <f t="shared" si="4"/>
        <v>3.2999999999999918E-2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11"/>
      <c r="H13" s="10"/>
      <c r="I13" s="10">
        <f t="shared" si="5"/>
        <v>3651</v>
      </c>
      <c r="J13" s="10">
        <f t="shared" si="3"/>
        <v>54889000557.624344</v>
      </c>
      <c r="K13" s="11">
        <f t="shared" si="4"/>
        <v>3.180000000000005E-2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11"/>
      <c r="H14" s="10"/>
      <c r="I14" s="10">
        <f t="shared" si="5"/>
        <v>3651</v>
      </c>
      <c r="J14" s="10">
        <f t="shared" si="3"/>
        <v>53197325603.435104</v>
      </c>
      <c r="K14" s="11">
        <f t="shared" si="4"/>
        <v>3.0999999999999917E-2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11"/>
      <c r="H15" s="10"/>
      <c r="I15" s="10">
        <f t="shared" si="5"/>
        <v>3651</v>
      </c>
      <c r="J15" s="10">
        <f t="shared" si="3"/>
        <v>51597793989.752769</v>
      </c>
      <c r="K15" s="11">
        <f t="shared" si="4"/>
        <v>3.0799999999999939E-2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11"/>
      <c r="H16" s="10"/>
      <c r="I16" s="10">
        <f t="shared" si="5"/>
        <v>3651</v>
      </c>
      <c r="J16" s="10">
        <f t="shared" si="3"/>
        <v>50056067122.383369</v>
      </c>
      <c r="K16" s="11">
        <f t="shared" si="4"/>
        <v>3.0200000000000005E-2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11"/>
      <c r="H17" s="10"/>
      <c r="I17" s="10">
        <f t="shared" si="5"/>
        <v>3651</v>
      </c>
      <c r="J17" s="10">
        <f t="shared" si="3"/>
        <v>48588688722.950272</v>
      </c>
      <c r="K17" s="11">
        <f t="shared" si="4"/>
        <v>2.8100000000000014E-2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11"/>
      <c r="H18" s="10"/>
      <c r="I18" s="10">
        <f t="shared" si="5"/>
        <v>3651</v>
      </c>
      <c r="J18" s="10">
        <f t="shared" si="3"/>
        <v>47260664062.785988</v>
      </c>
      <c r="K18" s="11">
        <f t="shared" si="4"/>
        <v>2.6799999999999935E-2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11"/>
      <c r="H19" s="10"/>
      <c r="I19" s="10">
        <f t="shared" si="5"/>
        <v>3651</v>
      </c>
      <c r="J19" s="10">
        <f t="shared" si="3"/>
        <v>46027136796.636139</v>
      </c>
      <c r="K19" s="11">
        <f t="shared" si="4"/>
        <v>2.6200000000000001E-2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11"/>
      <c r="H20" s="10"/>
      <c r="I20" s="10">
        <f t="shared" si="5"/>
        <v>3651</v>
      </c>
      <c r="J20" s="10">
        <f t="shared" si="3"/>
        <v>44852014029.074387</v>
      </c>
      <c r="K20" s="11">
        <f t="shared" si="4"/>
        <v>2.5500000000000078E-2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11"/>
      <c r="H21" s="10"/>
      <c r="I21" s="10">
        <f t="shared" si="5"/>
        <v>3651</v>
      </c>
      <c r="J21" s="10">
        <f t="shared" si="3"/>
        <v>43736727478.375801</v>
      </c>
      <c r="K21" s="11">
        <f t="shared" si="4"/>
        <v>2.4499999999999744E-2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11"/>
      <c r="H22" s="10"/>
      <c r="I22" s="10">
        <f t="shared" si="5"/>
        <v>3651</v>
      </c>
      <c r="J22" s="10">
        <f t="shared" si="3"/>
        <v>42690802809.54203</v>
      </c>
      <c r="K22" s="11">
        <f t="shared" si="4"/>
        <v>2.410000000000001E-2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11"/>
      <c r="H23" s="10"/>
      <c r="I23" s="10">
        <f t="shared" si="5"/>
        <v>3651</v>
      </c>
      <c r="J23" s="10">
        <f t="shared" si="3"/>
        <v>41686166204.025024</v>
      </c>
      <c r="K23" s="11">
        <f t="shared" si="4"/>
        <v>2.3900000000000032E-2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11"/>
      <c r="H24" s="10"/>
      <c r="I24" s="10">
        <f t="shared" si="5"/>
        <v>3651</v>
      </c>
      <c r="J24" s="10">
        <f t="shared" si="3"/>
        <v>40713122574.494606</v>
      </c>
      <c r="K24" s="11">
        <f t="shared" si="4"/>
        <v>2.3800000000000043E-2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11"/>
      <c r="H25" s="10"/>
      <c r="I25" s="10">
        <f t="shared" si="5"/>
        <v>3651</v>
      </c>
      <c r="J25" s="10">
        <f t="shared" si="3"/>
        <v>39766675693.001175</v>
      </c>
      <c r="K25" s="11">
        <f t="shared" si="4"/>
        <v>2.410000000000001E-2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11"/>
      <c r="H26" s="10"/>
      <c r="I26" s="10">
        <f t="shared" si="5"/>
        <v>3651</v>
      </c>
      <c r="J26" s="10">
        <f t="shared" si="3"/>
        <v>38830852156.040596</v>
      </c>
      <c r="K26" s="11">
        <f t="shared" si="4"/>
        <v>2.4799999999999933E-2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11"/>
      <c r="H27" s="10"/>
      <c r="I27" s="10">
        <f t="shared" si="5"/>
        <v>3651</v>
      </c>
      <c r="J27" s="10">
        <f t="shared" si="3"/>
        <v>37891151596.448669</v>
      </c>
      <c r="K27" s="11">
        <f t="shared" si="4"/>
        <v>2.5600000000000067E-2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11"/>
      <c r="H28" s="10"/>
      <c r="I28" s="10">
        <f t="shared" si="5"/>
        <v>3651</v>
      </c>
      <c r="J28" s="10">
        <f t="shared" si="3"/>
        <v>36945350620.562271</v>
      </c>
      <c r="K28" s="11">
        <f t="shared" si="4"/>
        <v>2.6399999999999979E-2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11"/>
      <c r="H29" s="10"/>
      <c r="I29" s="10">
        <f t="shared" si="5"/>
        <v>3651</v>
      </c>
      <c r="J29" s="10">
        <f t="shared" si="3"/>
        <v>35995080495.48156</v>
      </c>
      <c r="K29" s="11">
        <f t="shared" si="4"/>
        <v>2.7499999999999858E-2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11"/>
      <c r="H30" s="10"/>
      <c r="I30" s="10">
        <f t="shared" si="5"/>
        <v>3651</v>
      </c>
      <c r="J30" s="10">
        <f t="shared" si="3"/>
        <v>35031708511.41758</v>
      </c>
      <c r="K30" s="11">
        <f t="shared" si="4"/>
        <v>2.8899999999999926E-2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11"/>
      <c r="H31" s="10"/>
      <c r="I31" s="10">
        <f t="shared" si="5"/>
        <v>3651</v>
      </c>
      <c r="J31" s="10">
        <f t="shared" si="3"/>
        <v>34047729139.292042</v>
      </c>
      <c r="K31" s="11">
        <f t="shared" si="4"/>
        <v>2.9900000000000038E-2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11"/>
      <c r="H32" s="10"/>
      <c r="I32" s="10">
        <f t="shared" si="5"/>
        <v>3651</v>
      </c>
      <c r="J32" s="10">
        <f t="shared" si="3"/>
        <v>33059257344.685932</v>
      </c>
      <c r="K32" s="11">
        <f t="shared" si="4"/>
        <v>3.0000000000000027E-2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11"/>
      <c r="H33" s="10"/>
      <c r="I33" s="10">
        <f t="shared" si="5"/>
        <v>3651</v>
      </c>
      <c r="J33" s="10">
        <f t="shared" si="3"/>
        <v>32096366354.064011</v>
      </c>
      <c r="K33" s="11">
        <f t="shared" si="4"/>
        <v>3.0799999999999939E-2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11"/>
      <c r="H34" s="10"/>
      <c r="I34" s="10">
        <f t="shared" si="5"/>
        <v>3651</v>
      </c>
      <c r="J34" s="10">
        <f t="shared" ref="J34:J65" si="6">IF(I34="","",I34*C34)</f>
        <v>31137336393.154846</v>
      </c>
      <c r="K34" s="11">
        <f t="shared" ref="K34:K65" si="7">IFERROR(J34/J35-1,"")</f>
        <v>3.2200000000000006E-2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11"/>
      <c r="H35" s="10"/>
      <c r="I35" s="10">
        <f t="shared" ref="I35:I66" si="8">IF(H35&lt;&gt;"",H35,I34/(1+IF(G34="",0,G34)))</f>
        <v>3651</v>
      </c>
      <c r="J35" s="10">
        <f t="shared" si="6"/>
        <v>30165991467.888824</v>
      </c>
      <c r="K35" s="11">
        <f t="shared" si="7"/>
        <v>3.2100000000000017E-2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11"/>
      <c r="H36" s="10"/>
      <c r="I36" s="10">
        <f t="shared" si="8"/>
        <v>3651</v>
      </c>
      <c r="J36" s="10">
        <f t="shared" si="6"/>
        <v>29227779738.289726</v>
      </c>
      <c r="K36" s="11">
        <f t="shared" si="7"/>
        <v>3.0599999999999961E-2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11"/>
      <c r="H37" s="10"/>
      <c r="I37" s="10">
        <f t="shared" si="8"/>
        <v>3651</v>
      </c>
      <c r="J37" s="10">
        <f t="shared" si="6"/>
        <v>28359964814.95219</v>
      </c>
      <c r="K37" s="11">
        <f t="shared" si="7"/>
        <v>2.9900000000000038E-2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11"/>
      <c r="H38" s="10"/>
      <c r="I38" s="10">
        <f t="shared" si="8"/>
        <v>3651</v>
      </c>
      <c r="J38" s="10">
        <f t="shared" si="6"/>
        <v>27536619880.524506</v>
      </c>
      <c r="K38" s="11">
        <f t="shared" si="7"/>
        <v>3.0000000000000027E-2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11"/>
      <c r="H39" s="10"/>
      <c r="I39" s="10">
        <f t="shared" si="8"/>
        <v>3651</v>
      </c>
      <c r="J39" s="10">
        <f t="shared" si="6"/>
        <v>26734582408.276218</v>
      </c>
      <c r="K39" s="11">
        <f t="shared" si="7"/>
        <v>3.0299999999999994E-2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11"/>
      <c r="H40" s="10"/>
      <c r="I40" s="10">
        <f t="shared" si="8"/>
        <v>3651</v>
      </c>
      <c r="J40" s="10">
        <f t="shared" si="6"/>
        <v>25948347479.643036</v>
      </c>
      <c r="K40" s="11">
        <f t="shared" si="7"/>
        <v>3.0399999999999983E-2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11"/>
      <c r="H41" s="10"/>
      <c r="I41" s="10">
        <f t="shared" si="8"/>
        <v>3651</v>
      </c>
      <c r="J41" s="10">
        <f t="shared" si="6"/>
        <v>25182790644.063507</v>
      </c>
      <c r="K41" s="11">
        <f t="shared" si="7"/>
        <v>3.0300000000000216E-2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11"/>
      <c r="H42" s="10"/>
      <c r="I42" s="10">
        <f t="shared" si="8"/>
        <v>3651</v>
      </c>
      <c r="J42" s="10">
        <f t="shared" si="6"/>
        <v>24442192219.803459</v>
      </c>
      <c r="K42" s="11">
        <f t="shared" si="7"/>
        <v>2.9999999999999805E-2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11"/>
      <c r="H43" s="10"/>
      <c r="I43" s="10">
        <f t="shared" si="8"/>
        <v>3651</v>
      </c>
      <c r="J43" s="10">
        <f t="shared" si="6"/>
        <v>23730283708.54705</v>
      </c>
      <c r="K43" s="11">
        <f t="shared" si="7"/>
        <v>2.9300000000000104E-2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11"/>
      <c r="H44" s="10"/>
      <c r="I44" s="10">
        <f t="shared" si="8"/>
        <v>3651</v>
      </c>
      <c r="J44" s="10">
        <f t="shared" si="6"/>
        <v>23054778692.846642</v>
      </c>
      <c r="K44" s="11">
        <f t="shared" si="7"/>
        <v>2.8799999999999937E-2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11"/>
      <c r="H45" s="10"/>
      <c r="I45" s="10">
        <f t="shared" si="8"/>
        <v>3651</v>
      </c>
      <c r="J45" s="10">
        <f t="shared" si="6"/>
        <v>22409388309.532116</v>
      </c>
      <c r="K45" s="11">
        <f t="shared" si="7"/>
        <v>2.8100000000000014E-2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11"/>
      <c r="H46" s="10"/>
      <c r="I46" s="10">
        <f t="shared" si="8"/>
        <v>3651</v>
      </c>
      <c r="J46" s="10">
        <f t="shared" si="6"/>
        <v>21796895544.725334</v>
      </c>
      <c r="K46" s="11">
        <f t="shared" si="7"/>
        <v>2.7600000000000291E-2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11"/>
      <c r="H47" s="10"/>
      <c r="I47" s="10">
        <f t="shared" si="8"/>
        <v>3651</v>
      </c>
      <c r="J47" s="10">
        <f t="shared" si="6"/>
        <v>21211459268.903591</v>
      </c>
      <c r="K47" s="11">
        <f t="shared" si="7"/>
        <v>2.9300000000000104E-2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11"/>
      <c r="H48" s="10"/>
      <c r="I48" s="10">
        <f t="shared" si="8"/>
        <v>3651</v>
      </c>
      <c r="J48" s="10">
        <f t="shared" si="6"/>
        <v>20607654978.046818</v>
      </c>
      <c r="K48" s="11">
        <f t="shared" si="7"/>
        <v>3.180000000000005E-2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11"/>
      <c r="H49" s="10"/>
      <c r="I49" s="10">
        <f t="shared" si="8"/>
        <v>3651</v>
      </c>
      <c r="J49" s="10">
        <f t="shared" si="6"/>
        <v>19972528569.535587</v>
      </c>
      <c r="K49" s="11">
        <f t="shared" si="7"/>
        <v>3.2299999999999995E-2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11"/>
      <c r="H50" s="10"/>
      <c r="I50" s="10">
        <f t="shared" si="8"/>
        <v>3651</v>
      </c>
      <c r="J50" s="10">
        <f t="shared" si="6"/>
        <v>19347601055.444721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11"/>
      <c r="H51" s="10"/>
      <c r="I51" s="10">
        <f t="shared" si="8"/>
        <v>3651</v>
      </c>
      <c r="J51" s="10">
        <f t="shared" si="6"/>
        <v>18745858982.11871</v>
      </c>
      <c r="K51" s="11">
        <f t="shared" si="7"/>
        <v>3.2000000000000028E-2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11"/>
      <c r="H52" s="10"/>
      <c r="I52" s="10">
        <f t="shared" si="8"/>
        <v>3651</v>
      </c>
      <c r="J52" s="10">
        <f t="shared" si="6"/>
        <v>18164592036.936733</v>
      </c>
      <c r="K52" s="11">
        <f t="shared" si="7"/>
        <v>3.1699999999999839E-2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11"/>
      <c r="H53" s="10"/>
      <c r="I53" s="10">
        <f t="shared" si="8"/>
        <v>3651</v>
      </c>
      <c r="J53" s="10">
        <f t="shared" si="6"/>
        <v>17606467032.021648</v>
      </c>
      <c r="K53" s="11">
        <f t="shared" si="7"/>
        <v>3.1600000000000072E-2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11"/>
      <c r="H54" s="10"/>
      <c r="I54" s="10">
        <f t="shared" si="8"/>
        <v>3651</v>
      </c>
      <c r="J54" s="10">
        <f t="shared" si="6"/>
        <v>17067145242.362976</v>
      </c>
      <c r="K54" s="11">
        <f t="shared" si="7"/>
        <v>3.1600000000000072E-2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11"/>
      <c r="H55" s="10"/>
      <c r="I55" s="10">
        <f t="shared" si="8"/>
        <v>3651</v>
      </c>
      <c r="J55" s="10">
        <f t="shared" si="6"/>
        <v>16544343972.821806</v>
      </c>
      <c r="K55" s="11">
        <f t="shared" si="7"/>
        <v>3.1500000000000083E-2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11"/>
      <c r="H56" s="10"/>
      <c r="I56" s="10">
        <f t="shared" si="8"/>
        <v>3651</v>
      </c>
      <c r="J56" s="10">
        <f t="shared" si="6"/>
        <v>16039111946.50684</v>
      </c>
      <c r="K56" s="11">
        <f t="shared" si="7"/>
        <v>3.1300000000000106E-2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11"/>
      <c r="H57" s="10"/>
      <c r="I57" s="10">
        <f t="shared" si="8"/>
        <v>3651</v>
      </c>
      <c r="J57" s="10">
        <f t="shared" si="6"/>
        <v>15552324199.075768</v>
      </c>
      <c r="K57" s="11">
        <f t="shared" si="7"/>
        <v>3.0000000000000027E-2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11"/>
      <c r="H58" s="10"/>
      <c r="I58" s="10">
        <f t="shared" si="8"/>
        <v>3651</v>
      </c>
      <c r="J58" s="10">
        <f t="shared" si="6"/>
        <v>15099343882.597832</v>
      </c>
      <c r="K58" s="11">
        <f t="shared" si="7"/>
        <v>3.0000000000000027E-2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11"/>
      <c r="H59" s="10"/>
      <c r="I59" s="10">
        <f t="shared" si="8"/>
        <v>3651</v>
      </c>
      <c r="J59" s="10">
        <f t="shared" si="6"/>
        <v>14659557167.570709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11"/>
      <c r="H60" s="10"/>
      <c r="I60" s="10">
        <f t="shared" si="8"/>
        <v>3651</v>
      </c>
      <c r="J60" s="10">
        <f t="shared" si="6"/>
        <v>14246411241.565317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11"/>
      <c r="H61" s="10"/>
      <c r="I61" s="10">
        <f t="shared" si="8"/>
        <v>3651</v>
      </c>
      <c r="J61" s="10">
        <f t="shared" si="6"/>
        <v>13858376694.129686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11"/>
      <c r="H62" s="10"/>
      <c r="I62" s="10">
        <f t="shared" si="8"/>
        <v>3651</v>
      </c>
      <c r="J62" s="10">
        <f t="shared" si="6"/>
        <v>13494037676.854612</v>
      </c>
      <c r="K62" s="11">
        <f t="shared" si="7"/>
        <v>2.6000000000000023E-2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11"/>
      <c r="H63" s="10"/>
      <c r="I63" s="10">
        <f t="shared" si="8"/>
        <v>3651</v>
      </c>
      <c r="J63" s="10">
        <f t="shared" si="6"/>
        <v>13152083505.706249</v>
      </c>
      <c r="K63" s="11">
        <f t="shared" si="7"/>
        <v>2.4999999999999911E-2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11"/>
      <c r="H64" s="10"/>
      <c r="I64" s="10">
        <f t="shared" si="8"/>
        <v>3651</v>
      </c>
      <c r="J64" s="10">
        <f t="shared" si="6"/>
        <v>12831300981.17683</v>
      </c>
      <c r="K64" s="11">
        <f t="shared" si="7"/>
        <v>2.4000000000000243E-2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11"/>
      <c r="H65" s="10"/>
      <c r="I65" s="10">
        <f t="shared" si="8"/>
        <v>3651</v>
      </c>
      <c r="J65" s="10">
        <f t="shared" si="6"/>
        <v>12530567364.430496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6">
        <f>SUM(F2)</f>
        <v>21611863</v>
      </c>
      <c r="G66" s="11"/>
      <c r="H66" s="10"/>
      <c r="I66" s="10">
        <f t="shared" si="8"/>
        <v>3651</v>
      </c>
      <c r="J66" s="10">
        <f t="shared" ref="J66:J97" si="9">IF(I66="","",I66*C66)</f>
        <v>12248843953.499998</v>
      </c>
      <c r="K66" s="11">
        <f t="shared" ref="K66:K97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11"/>
      <c r="H67" s="10"/>
      <c r="I67" s="10">
        <f t="shared" ref="I67:I98" si="11">IF(H67&lt;&gt;"",H67,I66/(1+IF(G66="",0,G66)))</f>
        <v>3651</v>
      </c>
      <c r="J67" s="10">
        <f t="shared" si="9"/>
        <v>11973454500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5">
        <v>31491757</v>
      </c>
      <c r="G2" s="11"/>
      <c r="H2" s="10"/>
      <c r="I2" s="10">
        <f>IF(H2&lt;&gt;"",H2,8056)</f>
        <v>8056</v>
      </c>
      <c r="J2" s="10">
        <f t="shared" ref="J2:J33" si="3">IF(I2="","",I2*C2)</f>
        <v>253685792351.68839</v>
      </c>
      <c r="K2" s="11">
        <f t="shared" ref="K2:K33" si="4">IFERROR(J2/J3-1,"")</f>
        <v>1.7099999999999893E-2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11"/>
      <c r="H3" s="10"/>
      <c r="I3" s="10">
        <f t="shared" ref="I3:I34" si="5">IF(H3&lt;&gt;"",H3,I2/(1+IF(G2="",0,G2)))</f>
        <v>8056</v>
      </c>
      <c r="J3" s="10">
        <f t="shared" si="3"/>
        <v>249420698408.89627</v>
      </c>
      <c r="K3" s="11">
        <f t="shared" si="4"/>
        <v>1.6599999999999948E-2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11"/>
      <c r="H4" s="10"/>
      <c r="I4" s="10">
        <f t="shared" si="5"/>
        <v>8056</v>
      </c>
      <c r="J4" s="10">
        <f t="shared" si="3"/>
        <v>245347922888.93988</v>
      </c>
      <c r="K4" s="11">
        <f t="shared" si="4"/>
        <v>1.6499999999999959E-2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11"/>
      <c r="H5" s="10"/>
      <c r="I5" s="10">
        <f t="shared" si="5"/>
        <v>8056</v>
      </c>
      <c r="J5" s="10">
        <f t="shared" si="3"/>
        <v>241365393889.75888</v>
      </c>
      <c r="K5" s="11">
        <f t="shared" si="4"/>
        <v>1.4699999999999935E-2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11"/>
      <c r="H6" s="10"/>
      <c r="I6" s="10">
        <f t="shared" si="5"/>
        <v>8056</v>
      </c>
      <c r="J6" s="10">
        <f t="shared" si="3"/>
        <v>237868723652.07343</v>
      </c>
      <c r="K6" s="11">
        <f t="shared" si="4"/>
        <v>1.2399999999999967E-2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11"/>
      <c r="H7" s="10"/>
      <c r="I7" s="10">
        <f t="shared" si="5"/>
        <v>8056</v>
      </c>
      <c r="J7" s="10">
        <f t="shared" si="3"/>
        <v>234955278202.36411</v>
      </c>
      <c r="K7" s="11">
        <f t="shared" si="4"/>
        <v>1.1800000000000033E-2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11"/>
      <c r="H8" s="10"/>
      <c r="I8" s="10">
        <f t="shared" si="5"/>
        <v>8056</v>
      </c>
      <c r="J8" s="10">
        <f t="shared" si="3"/>
        <v>232215139555.60791</v>
      </c>
      <c r="K8" s="11">
        <f t="shared" si="4"/>
        <v>1.1900000000000022E-2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11"/>
      <c r="H9" s="10"/>
      <c r="I9" s="10">
        <f t="shared" si="5"/>
        <v>8056</v>
      </c>
      <c r="J9" s="10">
        <f t="shared" si="3"/>
        <v>229484276663.31445</v>
      </c>
      <c r="K9" s="11">
        <f t="shared" si="4"/>
        <v>1.1500000000000066E-2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11"/>
      <c r="H10" s="10"/>
      <c r="I10" s="10">
        <f t="shared" si="5"/>
        <v>8056</v>
      </c>
      <c r="J10" s="10">
        <f t="shared" si="3"/>
        <v>226875211728.43741</v>
      </c>
      <c r="K10" s="11">
        <f t="shared" si="4"/>
        <v>1.0599999999999943E-2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11"/>
      <c r="H11" s="10"/>
      <c r="I11" s="10">
        <f t="shared" si="5"/>
        <v>8056</v>
      </c>
      <c r="J11" s="10">
        <f t="shared" si="3"/>
        <v>224495558805.10333</v>
      </c>
      <c r="K11" s="11">
        <f t="shared" si="4"/>
        <v>1.0199999999999987E-2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11"/>
      <c r="H12" s="10"/>
      <c r="I12" s="10">
        <f t="shared" si="5"/>
        <v>8056</v>
      </c>
      <c r="J12" s="10">
        <f t="shared" si="3"/>
        <v>222228824792.22266</v>
      </c>
      <c r="K12" s="11">
        <f t="shared" si="4"/>
        <v>1.0099999999999998E-2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11"/>
      <c r="H13" s="10"/>
      <c r="I13" s="10">
        <f t="shared" si="5"/>
        <v>8056</v>
      </c>
      <c r="J13" s="10">
        <f t="shared" si="3"/>
        <v>220006756551.05698</v>
      </c>
      <c r="K13" s="11">
        <f t="shared" si="4"/>
        <v>1.0099999999999998E-2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11"/>
      <c r="H14" s="10"/>
      <c r="I14" s="10">
        <f t="shared" si="5"/>
        <v>8056</v>
      </c>
      <c r="J14" s="10">
        <f t="shared" si="3"/>
        <v>217806906792.45319</v>
      </c>
      <c r="K14" s="11">
        <f t="shared" si="4"/>
        <v>1.0000000000000009E-2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11"/>
      <c r="H15" s="10"/>
      <c r="I15" s="10">
        <f t="shared" si="5"/>
        <v>8056</v>
      </c>
      <c r="J15" s="10">
        <f t="shared" si="3"/>
        <v>215650402764.80515</v>
      </c>
      <c r="K15" s="11">
        <f t="shared" si="4"/>
        <v>9.5000000000000639E-3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11"/>
      <c r="H16" s="10"/>
      <c r="I16" s="10">
        <f t="shared" si="5"/>
        <v>8056</v>
      </c>
      <c r="J16" s="10">
        <f t="shared" si="3"/>
        <v>213621003234.08136</v>
      </c>
      <c r="K16" s="11">
        <f t="shared" si="4"/>
        <v>8.599999999999941E-3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11"/>
      <c r="H17" s="10"/>
      <c r="I17" s="10">
        <f t="shared" si="5"/>
        <v>8056</v>
      </c>
      <c r="J17" s="10">
        <f t="shared" si="3"/>
        <v>211799527299.30731</v>
      </c>
      <c r="K17" s="11">
        <f t="shared" si="4"/>
        <v>9.099999999999886E-3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11"/>
      <c r="H18" s="10"/>
      <c r="I18" s="10">
        <f t="shared" si="5"/>
        <v>8056</v>
      </c>
      <c r="J18" s="10">
        <f t="shared" si="3"/>
        <v>209889532553.07434</v>
      </c>
      <c r="K18" s="11">
        <f t="shared" si="4"/>
        <v>1.089999999999991E-2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11"/>
      <c r="H19" s="10"/>
      <c r="I19" s="10">
        <f t="shared" si="5"/>
        <v>8056</v>
      </c>
      <c r="J19" s="10">
        <f t="shared" si="3"/>
        <v>207626404741.39319</v>
      </c>
      <c r="K19" s="11">
        <f t="shared" si="4"/>
        <v>1.2100000000000222E-2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11"/>
      <c r="H20" s="10"/>
      <c r="I20" s="10">
        <f t="shared" si="5"/>
        <v>8056</v>
      </c>
      <c r="J20" s="10">
        <f t="shared" si="3"/>
        <v>205144160400.54654</v>
      </c>
      <c r="K20" s="11">
        <f t="shared" si="4"/>
        <v>1.2000000000000011E-2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11"/>
      <c r="H21" s="10"/>
      <c r="I21" s="10">
        <f t="shared" si="5"/>
        <v>8056</v>
      </c>
      <c r="J21" s="10">
        <f t="shared" si="3"/>
        <v>202711620949.15668</v>
      </c>
      <c r="K21" s="11">
        <f t="shared" si="4"/>
        <v>1.2999999999999901E-2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11"/>
      <c r="H22" s="10"/>
      <c r="I22" s="10">
        <f t="shared" si="5"/>
        <v>8056</v>
      </c>
      <c r="J22" s="10">
        <f t="shared" si="3"/>
        <v>200110188498.67392</v>
      </c>
      <c r="K22" s="11">
        <f t="shared" si="4"/>
        <v>1.21E-2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11"/>
      <c r="H23" s="10"/>
      <c r="I23" s="10">
        <f t="shared" si="5"/>
        <v>8056</v>
      </c>
      <c r="J23" s="10">
        <f t="shared" si="3"/>
        <v>197717803081.38913</v>
      </c>
      <c r="K23" s="11">
        <f t="shared" si="4"/>
        <v>1.6200000000000214E-2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11"/>
      <c r="H24" s="10"/>
      <c r="I24" s="10">
        <f t="shared" si="5"/>
        <v>8056</v>
      </c>
      <c r="J24" s="10">
        <f t="shared" si="3"/>
        <v>194565836529.60944</v>
      </c>
      <c r="K24" s="11">
        <f t="shared" si="4"/>
        <v>1.9900000000000029E-2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11"/>
      <c r="H25" s="10"/>
      <c r="I25" s="10">
        <f t="shared" si="5"/>
        <v>8056</v>
      </c>
      <c r="J25" s="10">
        <f t="shared" si="3"/>
        <v>190769523021.48193</v>
      </c>
      <c r="K25" s="11">
        <f t="shared" si="4"/>
        <v>1.8000000000000016E-2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11"/>
      <c r="H26" s="10"/>
      <c r="I26" s="10">
        <f t="shared" si="5"/>
        <v>8056</v>
      </c>
      <c r="J26" s="10">
        <f t="shared" si="3"/>
        <v>187396388036.81918</v>
      </c>
      <c r="K26" s="11">
        <f t="shared" si="4"/>
        <v>2.2799999999999931E-2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11"/>
      <c r="H27" s="10"/>
      <c r="I27" s="10">
        <f t="shared" si="5"/>
        <v>8056</v>
      </c>
      <c r="J27" s="10">
        <f t="shared" si="3"/>
        <v>183218994951.91553</v>
      </c>
      <c r="K27" s="11">
        <f t="shared" si="4"/>
        <v>2.7800000000000047E-2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11"/>
      <c r="H28" s="10"/>
      <c r="I28" s="10">
        <f t="shared" si="5"/>
        <v>8056</v>
      </c>
      <c r="J28" s="10">
        <f t="shared" si="3"/>
        <v>178263275882.38519</v>
      </c>
      <c r="K28" s="11">
        <f t="shared" si="4"/>
        <v>2.9399999999999871E-2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11"/>
      <c r="H29" s="10"/>
      <c r="I29" s="10">
        <f t="shared" si="5"/>
        <v>8056</v>
      </c>
      <c r="J29" s="10">
        <f t="shared" si="3"/>
        <v>173172018537.38605</v>
      </c>
      <c r="K29" s="11">
        <f t="shared" si="4"/>
        <v>3.0499999999999972E-2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11"/>
      <c r="H30" s="10"/>
      <c r="I30" s="10">
        <f t="shared" si="5"/>
        <v>8056</v>
      </c>
      <c r="J30" s="10">
        <f t="shared" si="3"/>
        <v>168046597319.15192</v>
      </c>
      <c r="K30" s="11">
        <f t="shared" si="4"/>
        <v>3.1199999999999672E-2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11"/>
      <c r="H31" s="10"/>
      <c r="I31" s="10">
        <f t="shared" si="5"/>
        <v>8056</v>
      </c>
      <c r="J31" s="10">
        <f t="shared" si="3"/>
        <v>162962177384.74783</v>
      </c>
      <c r="K31" s="11">
        <f t="shared" si="4"/>
        <v>3.2000000000000028E-2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11"/>
      <c r="H32" s="10"/>
      <c r="I32" s="10">
        <f t="shared" si="5"/>
        <v>8056</v>
      </c>
      <c r="J32" s="10">
        <f t="shared" si="3"/>
        <v>157909086613.12775</v>
      </c>
      <c r="K32" s="11">
        <f t="shared" si="4"/>
        <v>3.3300000000000329E-2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11"/>
      <c r="H33" s="10"/>
      <c r="I33" s="10">
        <f t="shared" si="5"/>
        <v>8056</v>
      </c>
      <c r="J33" s="10">
        <f t="shared" si="3"/>
        <v>152820174792.53625</v>
      </c>
      <c r="K33" s="11">
        <f t="shared" si="4"/>
        <v>3.4599999999999964E-2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11"/>
      <c r="H34" s="10"/>
      <c r="I34" s="10">
        <f t="shared" si="5"/>
        <v>8056</v>
      </c>
      <c r="J34" s="10">
        <f t="shared" ref="J34:J65" si="6">IF(I34="","",I34*C34)</f>
        <v>147709428564.21445</v>
      </c>
      <c r="K34" s="11">
        <f t="shared" ref="K34:K65" si="7">IFERROR(J34/J35-1,"")</f>
        <v>3.4899999999999931E-2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11"/>
      <c r="H35" s="10"/>
      <c r="I35" s="10">
        <f t="shared" ref="I35:I66" si="8">IF(H35&lt;&gt;"",H35,I34/(1+IF(G34="",0,G34)))</f>
        <v>8056</v>
      </c>
      <c r="J35" s="10">
        <f t="shared" si="6"/>
        <v>142728213899.13464</v>
      </c>
      <c r="K35" s="11">
        <f t="shared" si="7"/>
        <v>3.4599999999999964E-2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11"/>
      <c r="H36" s="10"/>
      <c r="I36" s="10">
        <f t="shared" si="8"/>
        <v>8056</v>
      </c>
      <c r="J36" s="10">
        <f t="shared" si="6"/>
        <v>137954971872.35129</v>
      </c>
      <c r="K36" s="11">
        <f t="shared" si="7"/>
        <v>3.400000000000003E-2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11"/>
      <c r="H37" s="10"/>
      <c r="I37" s="10">
        <f t="shared" si="8"/>
        <v>8056</v>
      </c>
      <c r="J37" s="10">
        <f t="shared" si="6"/>
        <v>133418734886.21982</v>
      </c>
      <c r="K37" s="11">
        <f t="shared" si="7"/>
        <v>3.0399999999999983E-2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11"/>
      <c r="H38" s="10"/>
      <c r="I38" s="10">
        <f t="shared" si="8"/>
        <v>8056</v>
      </c>
      <c r="J38" s="10">
        <f t="shared" si="6"/>
        <v>129482467863.17917</v>
      </c>
      <c r="K38" s="11">
        <f t="shared" si="7"/>
        <v>2.7099999999999902E-2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11"/>
      <c r="H39" s="10"/>
      <c r="I39" s="10">
        <f t="shared" si="8"/>
        <v>8056</v>
      </c>
      <c r="J39" s="10">
        <f t="shared" si="6"/>
        <v>126066077171.82278</v>
      </c>
      <c r="K39" s="11">
        <f t="shared" si="7"/>
        <v>2.7300000000000102E-2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11"/>
      <c r="H40" s="10"/>
      <c r="I40" s="10">
        <f t="shared" si="8"/>
        <v>8056</v>
      </c>
      <c r="J40" s="10">
        <f t="shared" si="6"/>
        <v>122715932222.15785</v>
      </c>
      <c r="K40" s="11">
        <f t="shared" si="7"/>
        <v>2.6999999999999913E-2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11"/>
      <c r="H41" s="10"/>
      <c r="I41" s="10">
        <f t="shared" si="8"/>
        <v>8056</v>
      </c>
      <c r="J41" s="10">
        <f t="shared" si="6"/>
        <v>119489710050.78664</v>
      </c>
      <c r="K41" s="11">
        <f t="shared" si="7"/>
        <v>2.7099999999999902E-2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11"/>
      <c r="H42" s="10"/>
      <c r="I42" s="10">
        <f t="shared" si="8"/>
        <v>8056</v>
      </c>
      <c r="J42" s="10">
        <f t="shared" si="6"/>
        <v>116336977948.38541</v>
      </c>
      <c r="K42" s="11">
        <f t="shared" si="7"/>
        <v>2.7700000000000058E-2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11"/>
      <c r="H43" s="10"/>
      <c r="I43" s="10">
        <f t="shared" si="8"/>
        <v>8056</v>
      </c>
      <c r="J43" s="10">
        <f t="shared" si="6"/>
        <v>113201301886.13934</v>
      </c>
      <c r="K43" s="11">
        <f t="shared" si="7"/>
        <v>2.8200000000000003E-2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11"/>
      <c r="H44" s="10"/>
      <c r="I44" s="10">
        <f t="shared" si="8"/>
        <v>8056</v>
      </c>
      <c r="J44" s="10">
        <f t="shared" si="6"/>
        <v>110096578375.9379</v>
      </c>
      <c r="K44" s="11">
        <f t="shared" si="7"/>
        <v>2.8599999999999959E-2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11"/>
      <c r="H45" s="10"/>
      <c r="I45" s="10">
        <f t="shared" si="8"/>
        <v>8056</v>
      </c>
      <c r="J45" s="10">
        <f t="shared" si="6"/>
        <v>107035366883.08176</v>
      </c>
      <c r="K45" s="11">
        <f t="shared" si="7"/>
        <v>2.8699999999999948E-2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11"/>
      <c r="H46" s="10"/>
      <c r="I46" s="10">
        <f t="shared" si="8"/>
        <v>8056</v>
      </c>
      <c r="J46" s="10">
        <f t="shared" si="6"/>
        <v>104049156102.92773</v>
      </c>
      <c r="K46" s="11">
        <f t="shared" si="7"/>
        <v>2.9300000000000104E-2</v>
      </c>
      <c r="L46" t="inlineStr">
        <is>
          <t xml:space="preserve">Sokato Spice Bubble bursts - colonial spice-trade mania &amp; crash.</t>
        </is>
      </c>
      <c r="M46" t="inlineStr">
        <is>
          <t xml:space="preserve">Sokato Spice Bubble (1719-21): a speculative mania in colonial spice-trade companies after Oyreain's independence broke Siana's Sokato monopoly - ending in a crash.</t>
        </is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11"/>
      <c r="H47" s="10"/>
      <c r="I47" s="10">
        <f t="shared" si="8"/>
        <v>8056</v>
      </c>
      <c r="J47" s="10">
        <f t="shared" si="6"/>
        <v>101087298263.79843</v>
      </c>
      <c r="K47" s="11">
        <f t="shared" si="7"/>
        <v>3.0299999999999994E-2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11"/>
      <c r="H48" s="10"/>
      <c r="I48" s="10">
        <f t="shared" si="8"/>
        <v>8056</v>
      </c>
      <c r="J48" s="10">
        <f t="shared" si="6"/>
        <v>98114431004.366135</v>
      </c>
      <c r="K48" s="11">
        <f t="shared" si="7"/>
        <v>3.0899999999999928E-2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11"/>
      <c r="H49" s="10"/>
      <c r="I49" s="10">
        <f t="shared" si="8"/>
        <v>8056</v>
      </c>
      <c r="J49" s="10">
        <f t="shared" si="6"/>
        <v>95173567760.564697</v>
      </c>
      <c r="K49" s="11">
        <f t="shared" si="7"/>
        <v>3.1199999999999894E-2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11"/>
      <c r="H50" s="10"/>
      <c r="I50" s="10">
        <f t="shared" si="8"/>
        <v>8056</v>
      </c>
      <c r="J50" s="10">
        <f t="shared" si="6"/>
        <v>92293995113.037933</v>
      </c>
      <c r="K50" s="11">
        <f t="shared" si="7"/>
        <v>3.1199999999999894E-2</v>
      </c>
      <c r="L50" t="inlineStr">
        <is>
          <t xml:space="preserve">Won independence amid Siana's collapse &amp; the Minalu bombing.</t>
        </is>
      </c>
      <c r="M50" t="inlineStr">
        <is>
          <t xml:space="preserve">Sinian Collapse (1716-17): the war-finance ruin of Siana during the Sinian Revolution, worsened by the nuclear bombing of Minalu.</t>
        </is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11"/>
      <c r="H51" s="10"/>
      <c r="I51" s="10">
        <f t="shared" si="8"/>
        <v>8056</v>
      </c>
      <c r="J51" s="10">
        <f t="shared" si="6"/>
        <v>89501546851.278061</v>
      </c>
      <c r="K51" s="11">
        <f t="shared" si="7"/>
        <v>3.0999999999999917E-2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11"/>
      <c r="H52" s="10"/>
      <c r="I52" s="10">
        <f t="shared" si="8"/>
        <v>8056</v>
      </c>
      <c r="J52" s="10">
        <f t="shared" si="6"/>
        <v>86810423716.079605</v>
      </c>
      <c r="K52" s="11">
        <f t="shared" si="7"/>
        <v>3.069999999999995E-2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11"/>
      <c r="H53" s="10"/>
      <c r="I53" s="10">
        <f t="shared" si="8"/>
        <v>8056</v>
      </c>
      <c r="J53" s="10">
        <f t="shared" si="6"/>
        <v>84224724668.749008</v>
      </c>
      <c r="K53" s="11">
        <f t="shared" si="7"/>
        <v>3.0499999999999972E-2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11"/>
      <c r="H54" s="10"/>
      <c r="I54" s="10">
        <f t="shared" si="8"/>
        <v>8056</v>
      </c>
      <c r="J54" s="10">
        <f t="shared" si="6"/>
        <v>81731901667.878708</v>
      </c>
      <c r="K54" s="11">
        <f t="shared" si="7"/>
        <v>3.0299999999999772E-2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11"/>
      <c r="H55" s="10"/>
      <c r="I55" s="10">
        <f t="shared" si="8"/>
        <v>8056</v>
      </c>
      <c r="J55" s="10">
        <f t="shared" si="6"/>
        <v>79328255525.457367</v>
      </c>
      <c r="K55" s="11">
        <f t="shared" si="7"/>
        <v>2.970000000000006E-2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11"/>
      <c r="H56" s="10"/>
      <c r="I56" s="10">
        <f t="shared" si="8"/>
        <v>8056</v>
      </c>
      <c r="J56" s="10">
        <f t="shared" si="6"/>
        <v>77040162693.461548</v>
      </c>
      <c r="K56" s="11">
        <f t="shared" si="7"/>
        <v>2.8100000000000014E-2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11"/>
      <c r="H57" s="10"/>
      <c r="I57" s="10">
        <f t="shared" si="8"/>
        <v>8056</v>
      </c>
      <c r="J57" s="10">
        <f t="shared" si="6"/>
        <v>74934503154.811356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11"/>
      <c r="H58" s="10"/>
      <c r="I58" s="10">
        <f t="shared" si="8"/>
        <v>8056</v>
      </c>
      <c r="J58" s="10">
        <f t="shared" si="6"/>
        <v>72893485559.155014</v>
      </c>
      <c r="K58" s="11">
        <f t="shared" si="7"/>
        <v>2.6999999999999913E-2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11"/>
      <c r="H59" s="10"/>
      <c r="I59" s="10">
        <f t="shared" si="8"/>
        <v>8056</v>
      </c>
      <c r="J59" s="10">
        <f t="shared" si="6"/>
        <v>70977103757.697189</v>
      </c>
      <c r="K59" s="11">
        <f t="shared" si="7"/>
        <v>2.6999999999999913E-2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11"/>
      <c r="H60" s="10"/>
      <c r="I60" s="10">
        <f t="shared" si="8"/>
        <v>8056</v>
      </c>
      <c r="J60" s="10">
        <f t="shared" si="6"/>
        <v>69111103951.019669</v>
      </c>
      <c r="K60" s="11">
        <f t="shared" si="7"/>
        <v>2.6000000000000023E-2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11"/>
      <c r="H61" s="10"/>
      <c r="I61" s="10">
        <f t="shared" si="8"/>
        <v>8056</v>
      </c>
      <c r="J61" s="10">
        <f t="shared" si="6"/>
        <v>67359750439.590317</v>
      </c>
      <c r="K61" s="11">
        <f t="shared" si="7"/>
        <v>2.6000000000000023E-2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11"/>
      <c r="H62" s="10"/>
      <c r="I62" s="10">
        <f t="shared" si="8"/>
        <v>8056</v>
      </c>
      <c r="J62" s="10">
        <f t="shared" si="6"/>
        <v>65652778206.228378</v>
      </c>
      <c r="K62" s="11">
        <f t="shared" si="7"/>
        <v>2.4999999999999911E-2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11"/>
      <c r="H63" s="10"/>
      <c r="I63" s="10">
        <f t="shared" si="8"/>
        <v>8056</v>
      </c>
      <c r="J63" s="10">
        <f t="shared" si="6"/>
        <v>64051490932.905739</v>
      </c>
      <c r="K63" s="11">
        <f t="shared" si="7"/>
        <v>2.4999999999999911E-2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11"/>
      <c r="H64" s="10"/>
      <c r="I64" s="10">
        <f t="shared" si="8"/>
        <v>8056</v>
      </c>
      <c r="J64" s="10">
        <f t="shared" si="6"/>
        <v>62489259446.737312</v>
      </c>
      <c r="K64" s="11">
        <f t="shared" si="7"/>
        <v>2.4000000000000021E-2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11"/>
      <c r="H65" s="10"/>
      <c r="I65" s="10">
        <f t="shared" si="8"/>
        <v>8056</v>
      </c>
      <c r="J65" s="10">
        <f t="shared" si="6"/>
        <v>61024667428.454399</v>
      </c>
      <c r="K65" s="11">
        <f t="shared" si="7"/>
        <v>2.4000000000000021E-2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6">
        <f>SUM(F2)</f>
        <v>31491757</v>
      </c>
      <c r="G66" s="11"/>
      <c r="H66" s="10"/>
      <c r="I66" s="10">
        <f t="shared" si="8"/>
        <v>8056</v>
      </c>
      <c r="J66" s="10">
        <f t="shared" ref="J66:J97" si="9">IF(I66="","",I66*C66)</f>
        <v>59594401785.599998</v>
      </c>
      <c r="K66" s="11">
        <f t="shared" ref="K66:K97" si="10">IFERROR(J66/J67-1,"")</f>
        <v>2.2999999999999909E-2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11"/>
      <c r="H67" s="10"/>
      <c r="I67" s="10">
        <f t="shared" ref="I67:I98" si="11">IF(H67&lt;&gt;"",H67,I66/(1+IF(G66="",0,G66)))</f>
        <v>8056</v>
      </c>
      <c r="J67" s="10">
        <f t="shared" si="9"/>
        <v>58254547200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5">
        <v>7898975</v>
      </c>
      <c r="G2" s="11"/>
      <c r="H2" s="10"/>
      <c r="I2" s="10">
        <f>IF(H2&lt;&gt;"",H2,1754)</f>
        <v>1754</v>
      </c>
      <c r="J2" s="10">
        <f t="shared" ref="J2:J33" si="3">IF(I2="","",I2*C2)</f>
        <v>13851287133.722618</v>
      </c>
      <c r="K2" s="11">
        <f t="shared" ref="K2:K33" si="4">IFERROR(J2/J3-1,"")</f>
        <v>1.9600000000000062E-2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11"/>
      <c r="H3" s="10"/>
      <c r="I3" s="10">
        <f t="shared" ref="I3:I34" si="5">IF(H3&lt;&gt;"",H3,I2/(1+IF(G2="",0,G2)))</f>
        <v>1754</v>
      </c>
      <c r="J3" s="10">
        <f t="shared" si="3"/>
        <v>13585020727.464317</v>
      </c>
      <c r="K3" s="11">
        <f t="shared" si="4"/>
        <v>2.9900000000000038E-2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11"/>
      <c r="H4" s="10"/>
      <c r="I4" s="10">
        <f t="shared" si="5"/>
        <v>1754</v>
      </c>
      <c r="J4" s="10">
        <f t="shared" si="3"/>
        <v>13190621154.931854</v>
      </c>
      <c r="K4" s="11">
        <f t="shared" si="4"/>
        <v>2.2499999999999964E-2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11"/>
      <c r="H5" s="10"/>
      <c r="I5" s="10">
        <f t="shared" si="5"/>
        <v>1754</v>
      </c>
      <c r="J5" s="10">
        <f t="shared" si="3"/>
        <v>12900362987.708414</v>
      </c>
      <c r="K5" s="11">
        <f t="shared" si="4"/>
        <v>2.6999999999999691E-2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11"/>
      <c r="H6" s="10"/>
      <c r="I6" s="10">
        <f t="shared" si="5"/>
        <v>1754</v>
      </c>
      <c r="J6" s="10">
        <f t="shared" si="3"/>
        <v>12561210309.35581</v>
      </c>
      <c r="K6" s="11">
        <f t="shared" si="4"/>
        <v>1.0799999999999921E-2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11"/>
      <c r="H7" s="10"/>
      <c r="I7" s="10">
        <f t="shared" si="5"/>
        <v>1754</v>
      </c>
      <c r="J7" s="10">
        <f t="shared" si="3"/>
        <v>12426998723.145836</v>
      </c>
      <c r="K7" s="11">
        <f t="shared" si="4"/>
        <v>9.800000000000253E-3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11"/>
      <c r="H8" s="10"/>
      <c r="I8" s="10">
        <f t="shared" si="5"/>
        <v>1754</v>
      </c>
      <c r="J8" s="10">
        <f t="shared" si="3"/>
        <v>12306396041.934872</v>
      </c>
      <c r="K8" s="11">
        <f t="shared" si="4"/>
        <v>1.3500000000000068E-2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11"/>
      <c r="H9" s="10"/>
      <c r="I9" s="10">
        <f t="shared" si="5"/>
        <v>1754</v>
      </c>
      <c r="J9" s="10">
        <f t="shared" si="3"/>
        <v>12142472661.011219</v>
      </c>
      <c r="K9" s="11">
        <f t="shared" si="4"/>
        <v>1.6599999999999948E-2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11"/>
      <c r="H10" s="10"/>
      <c r="I10" s="10">
        <f t="shared" si="5"/>
        <v>1754</v>
      </c>
      <c r="J10" s="10">
        <f t="shared" si="3"/>
        <v>11944198958.303385</v>
      </c>
      <c r="K10" s="11">
        <f t="shared" si="4"/>
        <v>1.9400000000000084E-2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11"/>
      <c r="H11" s="10"/>
      <c r="I11" s="10">
        <f t="shared" si="5"/>
        <v>1754</v>
      </c>
      <c r="J11" s="10">
        <f t="shared" si="3"/>
        <v>11716891267.709814</v>
      </c>
      <c r="K11" s="11">
        <f t="shared" si="4"/>
        <v>1.5500000000000069E-2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11"/>
      <c r="H12" s="10"/>
      <c r="I12" s="10">
        <f t="shared" si="5"/>
        <v>1754</v>
      </c>
      <c r="J12" s="10">
        <f t="shared" si="3"/>
        <v>11538051469.925961</v>
      </c>
      <c r="K12" s="11">
        <f t="shared" si="4"/>
        <v>1.6199999999999992E-2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11"/>
      <c r="H13" s="10"/>
      <c r="I13" s="10">
        <f t="shared" si="5"/>
        <v>1754</v>
      </c>
      <c r="J13" s="10">
        <f t="shared" si="3"/>
        <v>11354114810.003897</v>
      </c>
      <c r="K13" s="11">
        <f t="shared" si="4"/>
        <v>1.3800000000000034E-2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11"/>
      <c r="H14" s="10"/>
      <c r="I14" s="10">
        <f t="shared" si="5"/>
        <v>1754</v>
      </c>
      <c r="J14" s="10">
        <f t="shared" si="3"/>
        <v>11199560869.997925</v>
      </c>
      <c r="K14" s="11">
        <f t="shared" si="4"/>
        <v>1.3900000000000023E-2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11"/>
      <c r="H15" s="10"/>
      <c r="I15" s="10">
        <f t="shared" si="5"/>
        <v>1754</v>
      </c>
      <c r="J15" s="10">
        <f t="shared" si="3"/>
        <v>11046021175.656301</v>
      </c>
      <c r="K15" s="11">
        <f t="shared" si="4"/>
        <v>1.6599999999999948E-2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11"/>
      <c r="H16" s="10"/>
      <c r="I16" s="10">
        <f t="shared" si="5"/>
        <v>1754</v>
      </c>
      <c r="J16" s="10">
        <f t="shared" si="3"/>
        <v>10865651363.030005</v>
      </c>
      <c r="K16" s="11">
        <f t="shared" si="4"/>
        <v>1.7300000000000093E-2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11"/>
      <c r="H17" s="10"/>
      <c r="I17" s="10">
        <f t="shared" si="5"/>
        <v>1754</v>
      </c>
      <c r="J17" s="10">
        <f t="shared" si="3"/>
        <v>10680872272.712084</v>
      </c>
      <c r="K17" s="11">
        <f t="shared" si="4"/>
        <v>1.7500000000000071E-2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11"/>
      <c r="H18" s="10"/>
      <c r="I18" s="10">
        <f t="shared" si="5"/>
        <v>1754</v>
      </c>
      <c r="J18" s="10">
        <f t="shared" si="3"/>
        <v>10497171766.793201</v>
      </c>
      <c r="K18" s="11">
        <f t="shared" si="4"/>
        <v>1.760000000000006E-2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11"/>
      <c r="H19" s="10"/>
      <c r="I19" s="10">
        <f t="shared" si="5"/>
        <v>1754</v>
      </c>
      <c r="J19" s="10">
        <f t="shared" si="3"/>
        <v>10315616909.191431</v>
      </c>
      <c r="K19" s="11">
        <f t="shared" si="4"/>
        <v>1.8100000000000005E-2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11"/>
      <c r="H20" s="10"/>
      <c r="I20" s="10">
        <f t="shared" si="5"/>
        <v>1754</v>
      </c>
      <c r="J20" s="10">
        <f t="shared" si="3"/>
        <v>10132223660.928623</v>
      </c>
      <c r="K20" s="11">
        <f t="shared" si="4"/>
        <v>1.8499999999999961E-2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11"/>
      <c r="H21" s="10"/>
      <c r="I21" s="10">
        <f t="shared" si="5"/>
        <v>1754</v>
      </c>
      <c r="J21" s="10">
        <f t="shared" si="3"/>
        <v>9948182288.5897141</v>
      </c>
      <c r="K21" s="11">
        <f t="shared" si="4"/>
        <v>1.8100000000000005E-2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11"/>
      <c r="H22" s="10"/>
      <c r="I22" s="10">
        <f t="shared" si="5"/>
        <v>1754</v>
      </c>
      <c r="J22" s="10">
        <f t="shared" si="3"/>
        <v>9771321371.7608433</v>
      </c>
      <c r="K22" s="11">
        <f t="shared" si="4"/>
        <v>1.7900000000000027E-2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11"/>
      <c r="H23" s="10"/>
      <c r="I23" s="10">
        <f t="shared" si="5"/>
        <v>1754</v>
      </c>
      <c r="J23" s="10">
        <f t="shared" si="3"/>
        <v>9599490491.9548512</v>
      </c>
      <c r="K23" s="11">
        <f t="shared" si="4"/>
        <v>1.9400000000000084E-2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11"/>
      <c r="H24" s="10"/>
      <c r="I24" s="10">
        <f t="shared" si="5"/>
        <v>1754</v>
      </c>
      <c r="J24" s="10">
        <f t="shared" si="3"/>
        <v>9416804484.9468803</v>
      </c>
      <c r="K24" s="11">
        <f t="shared" si="4"/>
        <v>2.1200000000000108E-2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11"/>
      <c r="H25" s="10"/>
      <c r="I25" s="10">
        <f t="shared" si="5"/>
        <v>1754</v>
      </c>
      <c r="J25" s="10">
        <f t="shared" si="3"/>
        <v>9221312656.6264</v>
      </c>
      <c r="K25" s="11">
        <f t="shared" si="4"/>
        <v>2.0299999999999985E-2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11"/>
      <c r="H26" s="10"/>
      <c r="I26" s="10">
        <f t="shared" si="5"/>
        <v>1754</v>
      </c>
      <c r="J26" s="10">
        <f t="shared" si="3"/>
        <v>9037844415.0018616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11"/>
      <c r="H27" s="10"/>
      <c r="I27" s="10">
        <f t="shared" si="5"/>
        <v>1754</v>
      </c>
      <c r="J27" s="10">
        <f t="shared" si="3"/>
        <v>8864107900.1587486</v>
      </c>
      <c r="K27" s="11">
        <f t="shared" si="4"/>
        <v>2.0199999999999996E-2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11"/>
      <c r="H28" s="10"/>
      <c r="I28" s="10">
        <f t="shared" si="5"/>
        <v>1754</v>
      </c>
      <c r="J28" s="10">
        <f t="shared" si="3"/>
        <v>8688598216.1916771</v>
      </c>
      <c r="K28" s="11">
        <f t="shared" si="4"/>
        <v>2.0199999999999996E-2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11"/>
      <c r="H29" s="10"/>
      <c r="I29" s="10">
        <f t="shared" si="5"/>
        <v>1754</v>
      </c>
      <c r="J29" s="10">
        <f t="shared" si="3"/>
        <v>8516563630.8485374</v>
      </c>
      <c r="K29" s="11">
        <f t="shared" si="4"/>
        <v>2.5500000000000078E-2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11"/>
      <c r="H30" s="10"/>
      <c r="I30" s="10">
        <f t="shared" si="5"/>
        <v>1754</v>
      </c>
      <c r="J30" s="10">
        <f t="shared" si="3"/>
        <v>8304791448.9015465</v>
      </c>
      <c r="K30" s="11">
        <f t="shared" si="4"/>
        <v>2.5500000000000078E-2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11"/>
      <c r="H31" s="10"/>
      <c r="I31" s="10">
        <f t="shared" si="5"/>
        <v>1754</v>
      </c>
      <c r="J31" s="10">
        <f t="shared" si="3"/>
        <v>8098285176.89083</v>
      </c>
      <c r="K31" s="11">
        <f t="shared" si="4"/>
        <v>2.0299999999999985E-2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11"/>
      <c r="H32" s="10"/>
      <c r="I32" s="10">
        <f t="shared" si="5"/>
        <v>1754</v>
      </c>
      <c r="J32" s="10">
        <f t="shared" si="3"/>
        <v>7937160812.399128</v>
      </c>
      <c r="K32" s="11">
        <f t="shared" si="4"/>
        <v>1.8499999999999961E-2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11"/>
      <c r="H33" s="10"/>
      <c r="I33" s="10">
        <f t="shared" si="5"/>
        <v>1754</v>
      </c>
      <c r="J33" s="10">
        <f t="shared" si="3"/>
        <v>7792990488.3643875</v>
      </c>
      <c r="K33" s="11">
        <f t="shared" si="4"/>
        <v>1.2999999999999901E-2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11"/>
      <c r="H34" s="10"/>
      <c r="I34" s="10">
        <f t="shared" si="5"/>
        <v>1754</v>
      </c>
      <c r="J34" s="10">
        <f t="shared" ref="J34:J65" si="6">IF(I34="","",I34*C34)</f>
        <v>7692981725.9273329</v>
      </c>
      <c r="K34" s="11">
        <f t="shared" ref="K34:K65" si="7">IFERROR(J34/J35-1,"")</f>
        <v>1.5200000000000102E-2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11"/>
      <c r="H35" s="10"/>
      <c r="I35" s="10">
        <f t="shared" ref="I35:I66" si="8">IF(H35&lt;&gt;"",H35,I34/(1+IF(G34="",0,G34)))</f>
        <v>1754</v>
      </c>
      <c r="J35" s="10">
        <f t="shared" si="6"/>
        <v>7577799178.4154177</v>
      </c>
      <c r="K35" s="11">
        <f t="shared" si="7"/>
        <v>2.1600000000000064E-2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11"/>
      <c r="H36" s="10"/>
      <c r="I36" s="10">
        <f t="shared" si="8"/>
        <v>1754</v>
      </c>
      <c r="J36" s="10">
        <f t="shared" si="6"/>
        <v>7417579462.0354509</v>
      </c>
      <c r="K36" s="11">
        <f t="shared" si="7"/>
        <v>2.1300000000000319E-2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11"/>
      <c r="H37" s="10"/>
      <c r="I37" s="10">
        <f t="shared" si="8"/>
        <v>1754</v>
      </c>
      <c r="J37" s="10">
        <f t="shared" si="6"/>
        <v>7262880115.5737286</v>
      </c>
      <c r="K37" s="11">
        <f t="shared" si="7"/>
        <v>2.0999999999999908E-2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11"/>
      <c r="H38" s="10"/>
      <c r="I38" s="10">
        <f t="shared" si="8"/>
        <v>1754</v>
      </c>
      <c r="J38" s="10">
        <f t="shared" si="6"/>
        <v>7113496685.1848478</v>
      </c>
      <c r="K38" s="11">
        <f t="shared" si="7"/>
        <v>2.1700000000000053E-2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11"/>
      <c r="H39" s="10"/>
      <c r="I39" s="10">
        <f t="shared" si="8"/>
        <v>1754</v>
      </c>
      <c r="J39" s="10">
        <f t="shared" si="6"/>
        <v>6962412337.4619236</v>
      </c>
      <c r="K39" s="11">
        <f t="shared" si="7"/>
        <v>1.2999999999999901E-2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11"/>
      <c r="H40" s="10"/>
      <c r="I40" s="10">
        <f t="shared" si="8"/>
        <v>1754</v>
      </c>
      <c r="J40" s="10">
        <f t="shared" si="6"/>
        <v>6873062524.6415834</v>
      </c>
      <c r="K40" s="11">
        <f t="shared" si="7"/>
        <v>1.2299999999999978E-2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11"/>
      <c r="H41" s="10"/>
      <c r="I41" s="10">
        <f t="shared" si="8"/>
        <v>1754</v>
      </c>
      <c r="J41" s="10">
        <f t="shared" si="6"/>
        <v>6789551046.7663574</v>
      </c>
      <c r="K41" s="11">
        <f t="shared" si="7"/>
        <v>2.1800000000000042E-2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11"/>
      <c r="H42" s="10"/>
      <c r="I42" s="10">
        <f t="shared" si="8"/>
        <v>1754</v>
      </c>
      <c r="J42" s="10">
        <f t="shared" si="6"/>
        <v>6644696659.5873528</v>
      </c>
      <c r="K42" s="11">
        <f t="shared" si="7"/>
        <v>2.3900000000000032E-2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11"/>
      <c r="H43" s="10"/>
      <c r="I43" s="10">
        <f t="shared" si="8"/>
        <v>1754</v>
      </c>
      <c r="J43" s="10">
        <f t="shared" si="6"/>
        <v>6489595331.1723337</v>
      </c>
      <c r="K43" s="11">
        <f t="shared" si="7"/>
        <v>2.4899999999999922E-2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11"/>
      <c r="H44" s="10"/>
      <c r="I44" s="10">
        <f t="shared" si="8"/>
        <v>1754</v>
      </c>
      <c r="J44" s="10">
        <f t="shared" si="6"/>
        <v>6331930267.5113029</v>
      </c>
      <c r="K44" s="11">
        <f t="shared" si="7"/>
        <v>2.5600000000000067E-2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11"/>
      <c r="H45" s="10"/>
      <c r="I45" s="10">
        <f t="shared" si="8"/>
        <v>1754</v>
      </c>
      <c r="J45" s="10">
        <f t="shared" si="6"/>
        <v>6173878965.9821587</v>
      </c>
      <c r="K45" s="11">
        <f t="shared" si="7"/>
        <v>2.4899999999999922E-2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11"/>
      <c r="H46" s="10"/>
      <c r="I46" s="10">
        <f t="shared" si="8"/>
        <v>1754</v>
      </c>
      <c r="J46" s="10">
        <f t="shared" si="6"/>
        <v>6023884248.201931</v>
      </c>
      <c r="K46" s="11">
        <f t="shared" si="7"/>
        <v>2.4599999999999955E-2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11"/>
      <c r="H47" s="10"/>
      <c r="I47" s="10">
        <f t="shared" si="8"/>
        <v>1754</v>
      </c>
      <c r="J47" s="10">
        <f t="shared" si="6"/>
        <v>5879254585.4010649</v>
      </c>
      <c r="K47" s="11">
        <f t="shared" si="7"/>
        <v>2.6899999999999924E-2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11"/>
      <c r="H48" s="10"/>
      <c r="I48" s="10">
        <f t="shared" si="8"/>
        <v>1754</v>
      </c>
      <c r="J48" s="10">
        <f t="shared" si="6"/>
        <v>5725245481.9369612</v>
      </c>
      <c r="K48" s="11">
        <f t="shared" si="7"/>
        <v>2.6699999999999946E-2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11"/>
      <c r="H49" s="10"/>
      <c r="I49" s="10">
        <f t="shared" si="8"/>
        <v>1754</v>
      </c>
      <c r="J49" s="10">
        <f t="shared" si="6"/>
        <v>5576356756.5374126</v>
      </c>
      <c r="K49" s="11">
        <f t="shared" si="7"/>
        <v>2.6900000000000146E-2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11"/>
      <c r="H50" s="10"/>
      <c r="I50" s="10">
        <f t="shared" si="8"/>
        <v>1754</v>
      </c>
      <c r="J50" s="10">
        <f t="shared" si="6"/>
        <v>5430282166.2648869</v>
      </c>
      <c r="K50" s="11">
        <f t="shared" si="7"/>
        <v>2.8100000000000014E-2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11"/>
      <c r="H51" s="10"/>
      <c r="I51" s="10">
        <f t="shared" si="8"/>
        <v>1754</v>
      </c>
      <c r="J51" s="10">
        <f t="shared" si="6"/>
        <v>5281861848.3269005</v>
      </c>
      <c r="K51" s="11">
        <f t="shared" si="7"/>
        <v>2.829999999999977E-2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11"/>
      <c r="H52" s="10"/>
      <c r="I52" s="10">
        <f t="shared" si="8"/>
        <v>1754</v>
      </c>
      <c r="J52" s="10">
        <f t="shared" si="6"/>
        <v>5136498928.6462135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11"/>
      <c r="H53" s="10"/>
      <c r="I53" s="10">
        <f t="shared" si="8"/>
        <v>1754</v>
      </c>
      <c r="J53" s="10">
        <f t="shared" si="6"/>
        <v>4986408046.4481249</v>
      </c>
      <c r="K53" s="11">
        <f t="shared" si="7"/>
        <v>3.1300000000000106E-2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11"/>
      <c r="H54" s="10"/>
      <c r="I54" s="10">
        <f t="shared" si="8"/>
        <v>1754</v>
      </c>
      <c r="J54" s="10">
        <f t="shared" si="6"/>
        <v>4835070344.6602583</v>
      </c>
      <c r="K54" s="11">
        <f t="shared" si="7"/>
        <v>3.1700000000000284E-2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11"/>
      <c r="H55" s="10"/>
      <c r="I55" s="10">
        <f t="shared" si="8"/>
        <v>1754</v>
      </c>
      <c r="J55" s="10">
        <f t="shared" si="6"/>
        <v>4686508039.7986403</v>
      </c>
      <c r="K55" s="11">
        <f t="shared" si="7"/>
        <v>3.0599999999999961E-2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11"/>
      <c r="H56" s="10"/>
      <c r="I56" s="10">
        <f t="shared" si="8"/>
        <v>1754</v>
      </c>
      <c r="J56" s="10">
        <f t="shared" si="6"/>
        <v>4547358858.721755</v>
      </c>
      <c r="K56" s="11">
        <f t="shared" si="7"/>
        <v>3.0000000000000027E-2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11"/>
      <c r="H57" s="10"/>
      <c r="I57" s="10">
        <f t="shared" si="8"/>
        <v>1754</v>
      </c>
      <c r="J57" s="10">
        <f t="shared" si="6"/>
        <v>4414911513.3220921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11"/>
      <c r="H58" s="10"/>
      <c r="I58" s="10">
        <f t="shared" si="8"/>
        <v>1754</v>
      </c>
      <c r="J58" s="10">
        <f t="shared" si="6"/>
        <v>4294661005.1771326</v>
      </c>
      <c r="K58" s="11">
        <f t="shared" si="7"/>
        <v>2.5000000000000133E-2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11"/>
      <c r="H59" s="10"/>
      <c r="I59" s="10">
        <f t="shared" si="8"/>
        <v>1754</v>
      </c>
      <c r="J59" s="10">
        <f t="shared" si="6"/>
        <v>4189913175.782568</v>
      </c>
      <c r="K59" s="11">
        <f t="shared" si="7"/>
        <v>2.8999999999999915E-2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11"/>
      <c r="H60" s="10"/>
      <c r="I60" s="10">
        <f t="shared" si="8"/>
        <v>1754</v>
      </c>
      <c r="J60" s="10">
        <f t="shared" si="6"/>
        <v>4071830102.8013296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11"/>
      <c r="H61" s="10"/>
      <c r="I61" s="10">
        <f t="shared" si="8"/>
        <v>1754</v>
      </c>
      <c r="J61" s="10">
        <f t="shared" si="6"/>
        <v>3957074929.8360839</v>
      </c>
      <c r="K61" s="11">
        <f t="shared" si="7"/>
        <v>2.8000000000000025E-2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11"/>
      <c r="H62" s="10"/>
      <c r="I62" s="10">
        <f t="shared" si="8"/>
        <v>1754</v>
      </c>
      <c r="J62" s="10">
        <f t="shared" si="6"/>
        <v>3849294678.8288755</v>
      </c>
      <c r="K62" s="11">
        <f t="shared" si="7"/>
        <v>2.7000000000000135E-2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11"/>
      <c r="H63" s="10"/>
      <c r="I63" s="10">
        <f t="shared" si="8"/>
        <v>1754</v>
      </c>
      <c r="J63" s="10">
        <f t="shared" si="6"/>
        <v>3748096084.5461297</v>
      </c>
      <c r="K63" s="11">
        <f t="shared" si="7"/>
        <v>2.6999999999999913E-2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11"/>
      <c r="H64" s="10"/>
      <c r="I64" s="10">
        <f t="shared" si="8"/>
        <v>1754</v>
      </c>
      <c r="J64" s="10">
        <f t="shared" si="6"/>
        <v>3649558018.0585494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11"/>
      <c r="H65" s="10"/>
      <c r="I65" s="10">
        <f t="shared" si="8"/>
        <v>1754</v>
      </c>
      <c r="J65" s="10">
        <f t="shared" si="6"/>
        <v>3553610533.6499996</v>
      </c>
      <c r="K65" s="11">
        <f t="shared" si="7"/>
        <v>2.6000000000000023E-2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6">
        <f>SUM(F2)</f>
        <v>7898975</v>
      </c>
      <c r="G66" s="11"/>
      <c r="H66" s="10"/>
      <c r="I66" s="10">
        <f t="shared" si="8"/>
        <v>1754</v>
      </c>
      <c r="J66" s="10">
        <f t="shared" ref="J66:J97" si="9">IF(I66="","",I66*C66)</f>
        <v>3463558024.9999995</v>
      </c>
      <c r="K66" s="11">
        <f t="shared" ref="K66:K97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11"/>
      <c r="H67" s="10"/>
      <c r="I67" s="10">
        <f t="shared" ref="I67:I98" si="11">IF(H67&lt;&gt;"",H67,I66/(1+IF(G66="",0,G66)))</f>
        <v>1754</v>
      </c>
      <c r="J67" s="10">
        <f t="shared" si="9"/>
        <v>3379081000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5">
        <v>3123402</v>
      </c>
      <c r="G2" s="11"/>
      <c r="H2" s="10"/>
      <c r="I2" s="10">
        <f>IF(H2&lt;&gt;"",H2,14841)</f>
        <v>14841</v>
      </c>
      <c r="J2" s="10">
        <f t="shared" ref="J2:J33" si="3">IF(I2="","",I2*C2)</f>
        <v>47368878973.859734</v>
      </c>
      <c r="K2" s="11">
        <f t="shared" ref="K2:K33" si="4">IFERROR(J2/J3-1,"")</f>
        <v>-4.0999999999999925E-3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11"/>
      <c r="H3" s="10"/>
      <c r="I3" s="10">
        <f t="shared" ref="I3:I34" si="5">IF(H3&lt;&gt;"",H3,I2/(1+IF(G2="",0,G2)))</f>
        <v>14841</v>
      </c>
      <c r="J3" s="10">
        <f t="shared" si="3"/>
        <v>47563890926.659035</v>
      </c>
      <c r="K3" s="11">
        <f t="shared" si="4"/>
        <v>-5.3999999999999604E-3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11"/>
      <c r="H4" s="10"/>
      <c r="I4" s="10">
        <f t="shared" si="5"/>
        <v>14841</v>
      </c>
      <c r="J4" s="10">
        <f t="shared" si="3"/>
        <v>47822130430.986359</v>
      </c>
      <c r="K4" s="11">
        <f t="shared" si="4"/>
        <v>-5.5000000000000604E-3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11"/>
      <c r="H5" s="10"/>
      <c r="I5" s="10">
        <f t="shared" si="5"/>
        <v>14841</v>
      </c>
      <c r="J5" s="10">
        <f t="shared" si="3"/>
        <v>48086606768.211525</v>
      </c>
      <c r="K5" s="11">
        <f t="shared" si="4"/>
        <v>-4.0999999999998815E-3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11"/>
      <c r="H6" s="10"/>
      <c r="I6" s="10">
        <f t="shared" si="5"/>
        <v>14841</v>
      </c>
      <c r="J6" s="10">
        <f t="shared" si="3"/>
        <v>48284573519.642052</v>
      </c>
      <c r="K6" s="11">
        <f t="shared" si="4"/>
        <v>-1.4999999999999458E-3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11"/>
      <c r="H7" s="10"/>
      <c r="I7" s="10">
        <f t="shared" si="5"/>
        <v>14841</v>
      </c>
      <c r="J7" s="10">
        <f t="shared" si="3"/>
        <v>48357109183.417175</v>
      </c>
      <c r="K7" s="11">
        <f t="shared" si="4"/>
        <v>4.9999999999994493E-4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11"/>
      <c r="H8" s="10"/>
      <c r="I8" s="10">
        <f t="shared" si="5"/>
        <v>14841</v>
      </c>
      <c r="J8" s="10">
        <f t="shared" si="3"/>
        <v>48332942712.06115</v>
      </c>
      <c r="K8" s="11">
        <f t="shared" si="4"/>
        <v>9.9999999999988987E-4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11"/>
      <c r="H9" s="10"/>
      <c r="I9" s="10">
        <f t="shared" si="5"/>
        <v>14841</v>
      </c>
      <c r="J9" s="10">
        <f t="shared" si="3"/>
        <v>48284658054.007149</v>
      </c>
      <c r="K9" s="11">
        <f t="shared" si="4"/>
        <v>1.4000000000000679E-3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11"/>
      <c r="H10" s="10"/>
      <c r="I10" s="10">
        <f t="shared" si="5"/>
        <v>14841</v>
      </c>
      <c r="J10" s="10">
        <f t="shared" si="3"/>
        <v>48217154038.353447</v>
      </c>
      <c r="K10" s="11">
        <f t="shared" si="4"/>
        <v>2.0000000000000018E-3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11"/>
      <c r="H11" s="10"/>
      <c r="I11" s="10">
        <f t="shared" si="5"/>
        <v>14841</v>
      </c>
      <c r="J11" s="10">
        <f t="shared" si="3"/>
        <v>48120912213.925598</v>
      </c>
      <c r="K11" s="11">
        <f t="shared" si="4"/>
        <v>1.8000000000000238E-3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11"/>
      <c r="H12" s="10"/>
      <c r="I12" s="10">
        <f t="shared" si="5"/>
        <v>14841</v>
      </c>
      <c r="J12" s="10">
        <f t="shared" si="3"/>
        <v>48034450203.559189</v>
      </c>
      <c r="K12" s="11">
        <f t="shared" si="4"/>
        <v>1.9000000000000128E-3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11"/>
      <c r="H13" s="10"/>
      <c r="I13" s="10">
        <f t="shared" si="5"/>
        <v>14841</v>
      </c>
      <c r="J13" s="10">
        <f t="shared" si="3"/>
        <v>47943357823.694168</v>
      </c>
      <c r="K13" s="11">
        <f t="shared" si="4"/>
        <v>2.3999999999999577E-3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11"/>
      <c r="H14" s="10"/>
      <c r="I14" s="10">
        <f t="shared" si="5"/>
        <v>14841</v>
      </c>
      <c r="J14" s="10">
        <f t="shared" si="3"/>
        <v>47828569257.476227</v>
      </c>
      <c r="K14" s="11">
        <f t="shared" si="4"/>
        <v>3.8000000000000256E-3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11"/>
      <c r="H15" s="10"/>
      <c r="I15" s="10">
        <f t="shared" si="5"/>
        <v>14841</v>
      </c>
      <c r="J15" s="10">
        <f t="shared" si="3"/>
        <v>47647508724.323792</v>
      </c>
      <c r="K15" s="11">
        <f t="shared" si="4"/>
        <v>5.5000000000000604E-3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11"/>
      <c r="H16" s="10"/>
      <c r="I16" s="10">
        <f t="shared" si="5"/>
        <v>14841</v>
      </c>
      <c r="J16" s="10">
        <f t="shared" si="3"/>
        <v>47386880879.48661</v>
      </c>
      <c r="K16" s="11">
        <f t="shared" si="4"/>
        <v>7.0999999999998842E-3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11"/>
      <c r="H17" s="10"/>
      <c r="I17" s="10">
        <f t="shared" si="5"/>
        <v>14841</v>
      </c>
      <c r="J17" s="10">
        <f t="shared" si="3"/>
        <v>47052805957.190559</v>
      </c>
      <c r="K17" s="11">
        <f t="shared" si="4"/>
        <v>6.9999999999998952E-3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11"/>
      <c r="H18" s="10"/>
      <c r="I18" s="10">
        <f t="shared" si="5"/>
        <v>14841</v>
      </c>
      <c r="J18" s="10">
        <f t="shared" si="3"/>
        <v>46725725876.058159</v>
      </c>
      <c r="K18" s="11">
        <f t="shared" si="4"/>
        <v>5.7000000000000384E-3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11"/>
      <c r="H19" s="10"/>
      <c r="I19" s="10">
        <f t="shared" si="5"/>
        <v>14841</v>
      </c>
      <c r="J19" s="10">
        <f t="shared" si="3"/>
        <v>46460898753.165115</v>
      </c>
      <c r="K19" s="11">
        <f t="shared" si="4"/>
        <v>5.1000000000003265E-3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11"/>
      <c r="H20" s="10"/>
      <c r="I20" s="10">
        <f t="shared" si="5"/>
        <v>14841</v>
      </c>
      <c r="J20" s="10">
        <f t="shared" si="3"/>
        <v>46225150485.688095</v>
      </c>
      <c r="K20" s="11">
        <f t="shared" si="4"/>
        <v>4.4999999999997264E-3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11"/>
      <c r="H21" s="10"/>
      <c r="I21" s="10">
        <f t="shared" si="5"/>
        <v>14841</v>
      </c>
      <c r="J21" s="10">
        <f t="shared" si="3"/>
        <v>46018069174.40329</v>
      </c>
      <c r="K21" s="11">
        <f t="shared" si="4"/>
        <v>3.8000000000000256E-3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11"/>
      <c r="H22" s="10"/>
      <c r="I22" s="10">
        <f t="shared" si="5"/>
        <v>14841</v>
      </c>
      <c r="J22" s="10">
        <f t="shared" si="3"/>
        <v>45843862496.915009</v>
      </c>
      <c r="K22" s="11">
        <f t="shared" si="4"/>
        <v>3.4999999999998366E-3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11"/>
      <c r="H23" s="10"/>
      <c r="I23" s="10">
        <f t="shared" si="5"/>
        <v>14841</v>
      </c>
      <c r="J23" s="10">
        <f t="shared" si="3"/>
        <v>45683968606.791245</v>
      </c>
      <c r="K23" s="11">
        <f t="shared" si="4"/>
        <v>2.6999999999999247E-3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11"/>
      <c r="H24" s="10"/>
      <c r="I24" s="10">
        <f t="shared" si="5"/>
        <v>14841</v>
      </c>
      <c r="J24" s="10">
        <f t="shared" si="3"/>
        <v>45560954030.907799</v>
      </c>
      <c r="K24" s="11">
        <f t="shared" si="4"/>
        <v>1.2000000000000899E-3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11"/>
      <c r="H25" s="10"/>
      <c r="I25" s="10">
        <f t="shared" si="5"/>
        <v>14841</v>
      </c>
      <c r="J25" s="10">
        <f t="shared" si="3"/>
        <v>45506346415.209541</v>
      </c>
      <c r="K25" s="11">
        <f t="shared" si="4"/>
        <v>-8.0000000000002292E-4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11"/>
      <c r="H26" s="10"/>
      <c r="I26" s="10">
        <f t="shared" si="5"/>
        <v>14841</v>
      </c>
      <c r="J26" s="10">
        <f t="shared" si="3"/>
        <v>45542780639.721321</v>
      </c>
      <c r="K26" s="11">
        <f t="shared" si="4"/>
        <v>-2.3000000000000798E-3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11"/>
      <c r="H27" s="10"/>
      <c r="I27" s="10">
        <f t="shared" si="5"/>
        <v>14841</v>
      </c>
      <c r="J27" s="10">
        <f t="shared" si="3"/>
        <v>45647770511.898689</v>
      </c>
      <c r="K27" s="11">
        <f t="shared" si="4"/>
        <v>-2.1999999999999797E-3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11"/>
      <c r="H28" s="10"/>
      <c r="I28" s="10">
        <f t="shared" si="5"/>
        <v>14841</v>
      </c>
      <c r="J28" s="10">
        <f t="shared" si="3"/>
        <v>45748417029.363289</v>
      </c>
      <c r="K28" s="11">
        <f t="shared" si="4"/>
        <v>-1.4999999999998348E-3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11"/>
      <c r="H29" s="10"/>
      <c r="I29" s="10">
        <f t="shared" si="5"/>
        <v>14841</v>
      </c>
      <c r="J29" s="10">
        <f t="shared" si="3"/>
        <v>45817142743.4785</v>
      </c>
      <c r="K29" s="11">
        <f t="shared" si="4"/>
        <v>-1.0000000000000009E-3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11"/>
      <c r="H30" s="10"/>
      <c r="I30" s="10">
        <f t="shared" si="5"/>
        <v>14841</v>
      </c>
      <c r="J30" s="10">
        <f t="shared" si="3"/>
        <v>45863005749.22773</v>
      </c>
      <c r="K30" s="11">
        <f t="shared" si="4"/>
        <v>-2.9999999999996696E-4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11"/>
      <c r="H31" s="10"/>
      <c r="I31" s="10">
        <f t="shared" si="5"/>
        <v>14841</v>
      </c>
      <c r="J31" s="10">
        <f t="shared" si="3"/>
        <v>45876768779.861687</v>
      </c>
      <c r="K31" s="11">
        <f t="shared" si="4"/>
        <v>8.9999999999990088E-4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11"/>
      <c r="H32" s="10"/>
      <c r="I32" s="10">
        <f t="shared" si="5"/>
        <v>14841</v>
      </c>
      <c r="J32" s="10">
        <f t="shared" si="3"/>
        <v>45835516814.728439</v>
      </c>
      <c r="K32" s="11">
        <f t="shared" si="4"/>
        <v>2.6999999999999247E-3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11"/>
      <c r="H33" s="10"/>
      <c r="I33" s="10">
        <f t="shared" si="5"/>
        <v>14841</v>
      </c>
      <c r="J33" s="10">
        <f t="shared" si="3"/>
        <v>45712094160.495102</v>
      </c>
      <c r="K33" s="11">
        <f t="shared" si="4"/>
        <v>3.8000000000000256E-3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11"/>
      <c r="H34" s="10"/>
      <c r="I34" s="10">
        <f t="shared" si="5"/>
        <v>14841</v>
      </c>
      <c r="J34" s="10">
        <f t="shared" ref="J34:J65" si="6">IF(I34="","",I34*C34)</f>
        <v>45539045786.506378</v>
      </c>
      <c r="K34" s="11">
        <f t="shared" ref="K34:K65" si="7">IFERROR(J34/J35-1,"")</f>
        <v>4.5999999999999375E-3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11"/>
      <c r="H35" s="10"/>
      <c r="I35" s="10">
        <f t="shared" ref="I35:I66" si="8">IF(H35&lt;&gt;"",H35,I34/(1+IF(G34="",0,G34)))</f>
        <v>14841</v>
      </c>
      <c r="J35" s="10">
        <f t="shared" si="6"/>
        <v>45330525369.805275</v>
      </c>
      <c r="K35" s="11">
        <f t="shared" si="7"/>
        <v>6.0999999999999943E-3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11"/>
      <c r="H36" s="10"/>
      <c r="I36" s="10">
        <f t="shared" si="8"/>
        <v>14841</v>
      </c>
      <c r="J36" s="10">
        <f t="shared" si="6"/>
        <v>45055685687.113884</v>
      </c>
      <c r="K36" s="11">
        <f t="shared" si="7"/>
        <v>8.69999999999993E-3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11"/>
      <c r="H37" s="10"/>
      <c r="I37" s="10">
        <f t="shared" si="8"/>
        <v>14841</v>
      </c>
      <c r="J37" s="10">
        <f t="shared" si="6"/>
        <v>44667082073.07811</v>
      </c>
      <c r="K37" s="11">
        <f t="shared" si="7"/>
        <v>1.0799999999999921E-2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11"/>
      <c r="H38" s="10"/>
      <c r="I38" s="10">
        <f t="shared" si="8"/>
        <v>14841</v>
      </c>
      <c r="J38" s="10">
        <f t="shared" si="6"/>
        <v>44189831888.680367</v>
      </c>
      <c r="K38" s="11">
        <f t="shared" si="7"/>
        <v>1.0699999999999932E-2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11"/>
      <c r="H39" s="10"/>
      <c r="I39" s="10">
        <f t="shared" si="8"/>
        <v>14841</v>
      </c>
      <c r="J39" s="10">
        <f t="shared" si="6"/>
        <v>43722006419.986511</v>
      </c>
      <c r="K39" s="11">
        <f t="shared" si="7"/>
        <v>1.0799999999999921E-2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11"/>
      <c r="H40" s="10"/>
      <c r="I40" s="10">
        <f t="shared" si="8"/>
        <v>14841</v>
      </c>
      <c r="J40" s="10">
        <f t="shared" si="6"/>
        <v>43254853996.820854</v>
      </c>
      <c r="K40" s="11">
        <f t="shared" si="7"/>
        <v>1.0599999999999943E-2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11"/>
      <c r="H41" s="10"/>
      <c r="I41" s="10">
        <f t="shared" si="8"/>
        <v>14841</v>
      </c>
      <c r="J41" s="10">
        <f t="shared" si="6"/>
        <v>42801161682.981255</v>
      </c>
      <c r="K41" s="11">
        <f t="shared" si="7"/>
        <v>2.8399999999999759E-2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11"/>
      <c r="H42" s="10"/>
      <c r="I42" s="10">
        <f t="shared" si="8"/>
        <v>14841</v>
      </c>
      <c r="J42" s="10">
        <f t="shared" si="6"/>
        <v>41619177054.629776</v>
      </c>
      <c r="K42" s="11">
        <f t="shared" si="7"/>
        <v>3.8000000000000034E-2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11"/>
      <c r="H43" s="10"/>
      <c r="I43" s="10">
        <f t="shared" si="8"/>
        <v>14841</v>
      </c>
      <c r="J43" s="10">
        <f t="shared" si="6"/>
        <v>40095546295.404404</v>
      </c>
      <c r="K43" s="11">
        <f t="shared" si="7"/>
        <v>1.3900000000000023E-2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11"/>
      <c r="H44" s="10"/>
      <c r="I44" s="10">
        <f t="shared" si="8"/>
        <v>14841</v>
      </c>
      <c r="J44" s="10">
        <f t="shared" si="6"/>
        <v>39545858857.288101</v>
      </c>
      <c r="K44" s="11">
        <f t="shared" si="7"/>
        <v>3.00000000000189E-4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11"/>
      <c r="H45" s="10"/>
      <c r="I45" s="10">
        <f t="shared" si="8"/>
        <v>14841</v>
      </c>
      <c r="J45" s="10">
        <f t="shared" si="6"/>
        <v>39533998657.690788</v>
      </c>
      <c r="K45" s="11">
        <f t="shared" si="7"/>
        <v>-1.5000000000000568E-3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11"/>
      <c r="H46" s="10"/>
      <c r="I46" s="10">
        <f t="shared" si="8"/>
        <v>14841</v>
      </c>
      <c r="J46" s="10">
        <f t="shared" si="6"/>
        <v>39593388740.801994</v>
      </c>
      <c r="K46" s="11">
        <f t="shared" si="7"/>
        <v>-4.1999999999998705E-3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11"/>
      <c r="H47" s="10"/>
      <c r="I47" s="10">
        <f t="shared" si="8"/>
        <v>14841</v>
      </c>
      <c r="J47" s="10">
        <f t="shared" si="6"/>
        <v>39760382346.657951</v>
      </c>
      <c r="K47" s="11">
        <f t="shared" si="7"/>
        <v>-8.90000000000013E-3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11"/>
      <c r="H48" s="10"/>
      <c r="I48" s="10">
        <f t="shared" si="8"/>
        <v>14841</v>
      </c>
      <c r="J48" s="10">
        <f t="shared" si="6"/>
        <v>40117427450.971603</v>
      </c>
      <c r="K48" s="11">
        <f t="shared" si="7"/>
        <v>-9.000000000000008E-3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11"/>
      <c r="H49" s="10"/>
      <c r="I49" s="10">
        <f t="shared" si="8"/>
        <v>14841</v>
      </c>
      <c r="J49" s="10">
        <f t="shared" si="6"/>
        <v>40481763320.859337</v>
      </c>
      <c r="K49" s="11">
        <f t="shared" si="7"/>
        <v>-4.3000000000000815E-3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11"/>
      <c r="H50" s="10"/>
      <c r="I50" s="10">
        <f t="shared" si="8"/>
        <v>14841</v>
      </c>
      <c r="J50" s="10">
        <f t="shared" si="6"/>
        <v>40656586643.426071</v>
      </c>
      <c r="K50" s="11">
        <f t="shared" si="7"/>
        <v>-6.2999999999999723E-3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11"/>
      <c r="H51" s="10"/>
      <c r="I51" s="10">
        <f t="shared" si="8"/>
        <v>14841</v>
      </c>
      <c r="J51" s="10">
        <f t="shared" si="6"/>
        <v>40914347029.713264</v>
      </c>
      <c r="K51" s="11">
        <f t="shared" si="7"/>
        <v>-7.4999999999999512E-3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11"/>
      <c r="H52" s="10"/>
      <c r="I52" s="10">
        <f t="shared" si="8"/>
        <v>14841</v>
      </c>
      <c r="J52" s="10">
        <f t="shared" si="6"/>
        <v>41223523455.630493</v>
      </c>
      <c r="K52" s="11">
        <f t="shared" si="7"/>
        <v>-4.0999999999999925E-3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11"/>
      <c r="H53" s="10"/>
      <c r="I53" s="10">
        <f t="shared" si="8"/>
        <v>14841</v>
      </c>
      <c r="J53" s="10">
        <f t="shared" si="6"/>
        <v>41393235722.091064</v>
      </c>
      <c r="K53" s="11">
        <f t="shared" si="7"/>
        <v>5.9999999999993392E-4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11"/>
      <c r="H54" s="10"/>
      <c r="I54" s="10">
        <f t="shared" si="8"/>
        <v>14841</v>
      </c>
      <c r="J54" s="10">
        <f t="shared" si="6"/>
        <v>41368414673.287094</v>
      </c>
      <c r="K54" s="11">
        <f t="shared" si="7"/>
        <v>4.0000000000002256E-3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11"/>
      <c r="H55" s="10"/>
      <c r="I55" s="10">
        <f t="shared" si="8"/>
        <v>14841</v>
      </c>
      <c r="J55" s="10">
        <f t="shared" si="6"/>
        <v>41203600272.198296</v>
      </c>
      <c r="K55" s="11">
        <f t="shared" si="7"/>
        <v>7.2000000000000952E-3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11"/>
      <c r="H56" s="10"/>
      <c r="I56" s="10">
        <f t="shared" si="8"/>
        <v>14841</v>
      </c>
      <c r="J56" s="10">
        <f t="shared" si="6"/>
        <v>40909055075.653587</v>
      </c>
      <c r="K56" s="11">
        <f t="shared" si="7"/>
        <v>8.0999999999999961E-3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11"/>
      <c r="H57" s="10"/>
      <c r="I57" s="10">
        <f t="shared" si="8"/>
        <v>14841</v>
      </c>
      <c r="J57" s="10">
        <f t="shared" si="6"/>
        <v>40580354206.580284</v>
      </c>
      <c r="K57" s="11">
        <f t="shared" si="7"/>
        <v>7.9999999999997851E-3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11"/>
      <c r="H58" s="10"/>
      <c r="I58" s="10">
        <f t="shared" si="8"/>
        <v>14841</v>
      </c>
      <c r="J58" s="10">
        <f t="shared" si="6"/>
        <v>40258287903.353462</v>
      </c>
      <c r="K58" s="11">
        <f t="shared" si="7"/>
        <v>8.0000000000002292E-3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11"/>
      <c r="H59" s="10"/>
      <c r="I59" s="10">
        <f t="shared" si="8"/>
        <v>14841</v>
      </c>
      <c r="J59" s="10">
        <f t="shared" si="6"/>
        <v>39938777681.89827</v>
      </c>
      <c r="K59" s="11">
        <f t="shared" si="7"/>
        <v>7.9999999999997851E-3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11"/>
      <c r="H60" s="10"/>
      <c r="I60" s="10">
        <f t="shared" si="8"/>
        <v>14841</v>
      </c>
      <c r="J60" s="10">
        <f t="shared" si="6"/>
        <v>39621803255.851463</v>
      </c>
      <c r="K60" s="11">
        <f t="shared" si="7"/>
        <v>8.0000000000000071E-3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11"/>
      <c r="H61" s="10"/>
      <c r="I61" s="10">
        <f t="shared" si="8"/>
        <v>14841</v>
      </c>
      <c r="J61" s="10">
        <f t="shared" si="6"/>
        <v>39307344499.852638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11"/>
      <c r="H62" s="10"/>
      <c r="I62" s="10">
        <f t="shared" si="8"/>
        <v>14841</v>
      </c>
      <c r="J62" s="10">
        <f t="shared" si="6"/>
        <v>39034105759.535889</v>
      </c>
      <c r="K62" s="11">
        <f t="shared" si="7"/>
        <v>6.9999999999998952E-3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11"/>
      <c r="H63" s="10"/>
      <c r="I63" s="10">
        <f t="shared" si="8"/>
        <v>14841</v>
      </c>
      <c r="J63" s="10">
        <f t="shared" si="6"/>
        <v>38762766394.772484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11"/>
      <c r="H64" s="10"/>
      <c r="I64" s="10">
        <f t="shared" si="8"/>
        <v>14841</v>
      </c>
      <c r="J64" s="10">
        <f t="shared" si="6"/>
        <v>38493313202.355995</v>
      </c>
      <c r="K64" s="11">
        <f t="shared" si="7"/>
        <v>6.9999999999996732E-3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11"/>
      <c r="H65" s="10"/>
      <c r="I65" s="10">
        <f t="shared" si="8"/>
        <v>14841</v>
      </c>
      <c r="J65" s="10">
        <f t="shared" si="6"/>
        <v>38225733070.859985</v>
      </c>
      <c r="K65" s="11">
        <f t="shared" si="7"/>
        <v>6.9999999999998952E-3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6">
        <f>SUM(F2)</f>
        <v>3123402</v>
      </c>
      <c r="G66" s="11"/>
      <c r="H66" s="10"/>
      <c r="I66" s="10">
        <f t="shared" si="8"/>
        <v>14841</v>
      </c>
      <c r="J66" s="10">
        <f t="shared" ref="J66:J97" si="9">IF(I66="","",I66*C66)</f>
        <v>37960012979.999992</v>
      </c>
      <c r="K66" s="11">
        <f t="shared" ref="K66:K97" si="10">IFERROR(J66/J67-1,"")</f>
        <v>6.9999999999998952E-3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11"/>
      <c r="H67" s="10"/>
      <c r="I67" s="10">
        <f t="shared" ref="I67:I98" si="11">IF(H67&lt;&gt;"",H67,I66/(1+IF(G66="",0,G66)))</f>
        <v>14841</v>
      </c>
      <c r="J67" s="10">
        <f t="shared" si="9"/>
        <v>37696140000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5">
        <v>1300163</v>
      </c>
      <c r="G2" s="11"/>
      <c r="H2" s="10"/>
      <c r="I2" s="10">
        <f>IF(H2&lt;&gt;"",H2,14563)</f>
        <v>14563</v>
      </c>
      <c r="J2" s="10">
        <f t="shared" ref="J2:J33" si="3">IF(I2="","",I2*C2)</f>
        <v>18933903054.264515</v>
      </c>
      <c r="K2" s="11">
        <f t="shared" ref="K2:K33" si="4">IFERROR(J2/J3-1,"")</f>
        <v>4.8999999999999044E-3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11"/>
      <c r="H3" s="10"/>
      <c r="I3" s="10">
        <f t="shared" ref="I3:I34" si="5">IF(H3&lt;&gt;"",H3,I2/(1+IF(G2="",0,G2)))</f>
        <v>14563</v>
      </c>
      <c r="J3" s="10">
        <f t="shared" si="3"/>
        <v>18841579315.617989</v>
      </c>
      <c r="K3" s="11">
        <f t="shared" si="4"/>
        <v>4.7999999999999154E-3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11"/>
      <c r="H4" s="10"/>
      <c r="I4" s="10">
        <f t="shared" si="5"/>
        <v>14563</v>
      </c>
      <c r="J4" s="10">
        <f t="shared" si="3"/>
        <v>18751571771.116631</v>
      </c>
      <c r="K4" s="11">
        <f t="shared" si="4"/>
        <v>4.6999999999999265E-3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11"/>
      <c r="H5" s="10"/>
      <c r="I5" s="10">
        <f t="shared" si="5"/>
        <v>14563</v>
      </c>
      <c r="J5" s="10">
        <f t="shared" si="3"/>
        <v>18663851668.275734</v>
      </c>
      <c r="K5" s="11">
        <f t="shared" si="4"/>
        <v>4.4999999999999485E-3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11"/>
      <c r="H6" s="10"/>
      <c r="I6" s="10">
        <f t="shared" si="5"/>
        <v>14563</v>
      </c>
      <c r="J6" s="10">
        <f t="shared" si="3"/>
        <v>18580240585.640354</v>
      </c>
      <c r="K6" s="11">
        <f t="shared" si="4"/>
        <v>4.3999999999999595E-3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11"/>
      <c r="H7" s="10"/>
      <c r="I7" s="10">
        <f t="shared" si="5"/>
        <v>14563</v>
      </c>
      <c r="J7" s="10">
        <f t="shared" si="3"/>
        <v>18498845664.715607</v>
      </c>
      <c r="K7" s="11">
        <f t="shared" si="4"/>
        <v>4.3999999999999595E-3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11"/>
      <c r="H8" s="10"/>
      <c r="I8" s="10">
        <f t="shared" si="5"/>
        <v>14563</v>
      </c>
      <c r="J8" s="10">
        <f t="shared" si="3"/>
        <v>18417807312.540428</v>
      </c>
      <c r="K8" s="11">
        <f t="shared" si="4"/>
        <v>4.5999999999999375E-3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11"/>
      <c r="H9" s="10"/>
      <c r="I9" s="10">
        <f t="shared" si="5"/>
        <v>14563</v>
      </c>
      <c r="J9" s="10">
        <f t="shared" si="3"/>
        <v>18333473335.198517</v>
      </c>
      <c r="K9" s="11">
        <f t="shared" si="4"/>
        <v>4.7999999999999154E-3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11"/>
      <c r="H10" s="10"/>
      <c r="I10" s="10">
        <f t="shared" si="5"/>
        <v>14563</v>
      </c>
      <c r="J10" s="10">
        <f t="shared" si="3"/>
        <v>18245893048.565403</v>
      </c>
      <c r="K10" s="11">
        <f t="shared" si="4"/>
        <v>4.9999999999998934E-3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11"/>
      <c r="H11" s="10"/>
      <c r="I11" s="10">
        <f t="shared" si="5"/>
        <v>14563</v>
      </c>
      <c r="J11" s="10">
        <f t="shared" si="3"/>
        <v>18155117461.259109</v>
      </c>
      <c r="K11" s="11">
        <f t="shared" si="4"/>
        <v>5.2000000000000934E-3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11"/>
      <c r="H12" s="10"/>
      <c r="I12" s="10">
        <f t="shared" si="5"/>
        <v>14563</v>
      </c>
      <c r="J12" s="10">
        <f t="shared" si="3"/>
        <v>18061199225.287613</v>
      </c>
      <c r="K12" s="11">
        <f t="shared" si="4"/>
        <v>5.8000000000002494E-3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11"/>
      <c r="H13" s="10"/>
      <c r="I13" s="10">
        <f t="shared" si="5"/>
        <v>14563</v>
      </c>
      <c r="J13" s="10">
        <f t="shared" si="3"/>
        <v>17957048344.887264</v>
      </c>
      <c r="K13" s="11">
        <f t="shared" si="4"/>
        <v>6.7999999999999172E-3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11"/>
      <c r="H14" s="10"/>
      <c r="I14" s="10">
        <f t="shared" si="5"/>
        <v>14563</v>
      </c>
      <c r="J14" s="10">
        <f t="shared" si="3"/>
        <v>17835765141.922195</v>
      </c>
      <c r="K14" s="11">
        <f t="shared" si="4"/>
        <v>6.1000000000002164E-3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11"/>
      <c r="H15" s="10"/>
      <c r="I15" s="10">
        <f t="shared" si="5"/>
        <v>14563</v>
      </c>
      <c r="J15" s="10">
        <f t="shared" si="3"/>
        <v>17727626619.54298</v>
      </c>
      <c r="K15" s="11">
        <f t="shared" si="4"/>
        <v>5.3999999999998494E-3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11"/>
      <c r="H16" s="10"/>
      <c r="I16" s="10">
        <f t="shared" si="5"/>
        <v>14563</v>
      </c>
      <c r="J16" s="10">
        <f t="shared" si="3"/>
        <v>17632411596.919617</v>
      </c>
      <c r="K16" s="11">
        <f t="shared" si="4"/>
        <v>6.2999999999999723E-3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11"/>
      <c r="H17" s="10"/>
      <c r="I17" s="10">
        <f t="shared" si="5"/>
        <v>14563</v>
      </c>
      <c r="J17" s="10">
        <f t="shared" si="3"/>
        <v>17522022852.946056</v>
      </c>
      <c r="K17" s="11">
        <f t="shared" si="4"/>
        <v>7.1000000000001062E-3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11"/>
      <c r="H18" s="10"/>
      <c r="I18" s="10">
        <f t="shared" si="5"/>
        <v>14563</v>
      </c>
      <c r="J18" s="10">
        <f t="shared" si="3"/>
        <v>17398493548.749931</v>
      </c>
      <c r="K18" s="11">
        <f t="shared" si="4"/>
        <v>7.9000000000002402E-3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11"/>
      <c r="H19" s="10"/>
      <c r="I19" s="10">
        <f t="shared" si="5"/>
        <v>14563</v>
      </c>
      <c r="J19" s="10">
        <f t="shared" si="3"/>
        <v>17262122778.797428</v>
      </c>
      <c r="K19" s="11">
        <f t="shared" si="4"/>
        <v>8.599999999999941E-3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11"/>
      <c r="H20" s="10"/>
      <c r="I20" s="10">
        <f t="shared" si="5"/>
        <v>14563</v>
      </c>
      <c r="J20" s="10">
        <f t="shared" si="3"/>
        <v>17114934343.443813</v>
      </c>
      <c r="K20" s="11">
        <f t="shared" si="4"/>
        <v>9.400000000000075E-3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11"/>
      <c r="H21" s="10"/>
      <c r="I21" s="10">
        <f t="shared" si="5"/>
        <v>14563</v>
      </c>
      <c r="J21" s="10">
        <f t="shared" si="3"/>
        <v>16955552153.203699</v>
      </c>
      <c r="K21" s="11">
        <f t="shared" si="4"/>
        <v>9.9000000000002419E-3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11"/>
      <c r="H22" s="10"/>
      <c r="I22" s="10">
        <f t="shared" si="5"/>
        <v>14563</v>
      </c>
      <c r="J22" s="10">
        <f t="shared" si="3"/>
        <v>16789337709.875925</v>
      </c>
      <c r="K22" s="11">
        <f t="shared" si="4"/>
        <v>1.2199999999999989E-2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11"/>
      <c r="H23" s="10"/>
      <c r="I23" s="10">
        <f t="shared" si="5"/>
        <v>14563</v>
      </c>
      <c r="J23" s="10">
        <f t="shared" si="3"/>
        <v>16586976595.4119</v>
      </c>
      <c r="K23" s="11">
        <f t="shared" si="4"/>
        <v>1.4399999999999968E-2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11"/>
      <c r="H24" s="10"/>
      <c r="I24" s="10">
        <f t="shared" si="5"/>
        <v>14563</v>
      </c>
      <c r="J24" s="10">
        <f t="shared" si="3"/>
        <v>16351514782.543276</v>
      </c>
      <c r="K24" s="11">
        <f t="shared" si="4"/>
        <v>1.4699999999999713E-2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11"/>
      <c r="H25" s="10"/>
      <c r="I25" s="10">
        <f t="shared" si="5"/>
        <v>14563</v>
      </c>
      <c r="J25" s="10">
        <f t="shared" si="3"/>
        <v>16114629725.577293</v>
      </c>
      <c r="K25" s="11">
        <f t="shared" si="4"/>
        <v>1.4899999999999913E-2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11"/>
      <c r="H26" s="10"/>
      <c r="I26" s="10">
        <f t="shared" si="5"/>
        <v>14563</v>
      </c>
      <c r="J26" s="10">
        <f t="shared" si="3"/>
        <v>15878046827.842442</v>
      </c>
      <c r="K26" s="11">
        <f t="shared" si="4"/>
        <v>1.4899999999999691E-2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11"/>
      <c r="H27" s="10"/>
      <c r="I27" s="10">
        <f t="shared" si="5"/>
        <v>14563</v>
      </c>
      <c r="J27" s="10">
        <f t="shared" si="3"/>
        <v>15644937262.629269</v>
      </c>
      <c r="K27" s="11">
        <f t="shared" si="4"/>
        <v>1.4699999999999935E-2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11"/>
      <c r="H28" s="10"/>
      <c r="I28" s="10">
        <f t="shared" si="5"/>
        <v>14563</v>
      </c>
      <c r="J28" s="10">
        <f t="shared" si="3"/>
        <v>15418288422.813906</v>
      </c>
      <c r="K28" s="11">
        <f t="shared" si="4"/>
        <v>1.4599999999999946E-2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11"/>
      <c r="H29" s="10"/>
      <c r="I29" s="10">
        <f t="shared" si="5"/>
        <v>14563</v>
      </c>
      <c r="J29" s="10">
        <f t="shared" si="3"/>
        <v>15196420680.873158</v>
      </c>
      <c r="K29" s="11">
        <f t="shared" si="4"/>
        <v>1.4599999999999946E-2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11"/>
      <c r="H30" s="10"/>
      <c r="I30" s="10">
        <f t="shared" si="5"/>
        <v>14563</v>
      </c>
      <c r="J30" s="10">
        <f t="shared" si="3"/>
        <v>14977745595.183479</v>
      </c>
      <c r="K30" s="11">
        <f t="shared" si="4"/>
        <v>1.4699999999999935E-2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11"/>
      <c r="H31" s="10"/>
      <c r="I31" s="10">
        <f t="shared" si="5"/>
        <v>14563</v>
      </c>
      <c r="J31" s="10">
        <f t="shared" si="3"/>
        <v>14760762388.078724</v>
      </c>
      <c r="K31" s="11">
        <f t="shared" si="4"/>
        <v>1.4699999999999935E-2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11"/>
      <c r="H32" s="10"/>
      <c r="I32" s="10">
        <f t="shared" si="5"/>
        <v>14563</v>
      </c>
      <c r="J32" s="10">
        <f t="shared" si="3"/>
        <v>14546922625.484108</v>
      </c>
      <c r="K32" s="11">
        <f t="shared" si="4"/>
        <v>1.4699999999999935E-2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11"/>
      <c r="H33" s="10"/>
      <c r="I33" s="10">
        <f t="shared" si="5"/>
        <v>14563</v>
      </c>
      <c r="J33" s="10">
        <f t="shared" si="3"/>
        <v>14336180768.19169</v>
      </c>
      <c r="K33" s="11">
        <f t="shared" si="4"/>
        <v>1.4699999999999935E-2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11"/>
      <c r="H34" s="10"/>
      <c r="I34" s="10">
        <f t="shared" si="5"/>
        <v>14563</v>
      </c>
      <c r="J34" s="10">
        <f t="shared" ref="J34:J65" si="6">IF(I34="","",I34*C34)</f>
        <v>14128491936.72188</v>
      </c>
      <c r="K34" s="11">
        <f t="shared" ref="K34:K65" si="7">IFERROR(J34/J35-1,"")</f>
        <v>1.4599999999999946E-2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11"/>
      <c r="H35" s="10"/>
      <c r="I35" s="10">
        <f t="shared" ref="I35:I66" si="8">IF(H35&lt;&gt;"",H35,I34/(1+IF(G34="",0,G34)))</f>
        <v>14563</v>
      </c>
      <c r="J35" s="10">
        <f t="shared" si="6"/>
        <v>13925184246.719772</v>
      </c>
      <c r="K35" s="11">
        <f t="shared" si="7"/>
        <v>1.4799999999999924E-2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11"/>
      <c r="H36" s="10"/>
      <c r="I36" s="10">
        <f t="shared" si="8"/>
        <v>14563</v>
      </c>
      <c r="J36" s="10">
        <f t="shared" si="6"/>
        <v>13722097208.04077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11"/>
      <c r="H37" s="10"/>
      <c r="I37" s="10">
        <f t="shared" si="8"/>
        <v>14563</v>
      </c>
      <c r="J37" s="10">
        <f t="shared" si="6"/>
        <v>13527304030.008646</v>
      </c>
      <c r="K37" s="11">
        <f t="shared" si="7"/>
        <v>1.4000000000000012E-2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11"/>
      <c r="H38" s="10"/>
      <c r="I38" s="10">
        <f t="shared" si="8"/>
        <v>14563</v>
      </c>
      <c r="J38" s="10">
        <f t="shared" si="6"/>
        <v>13340536518.746199</v>
      </c>
      <c r="K38" s="11">
        <f t="shared" si="7"/>
        <v>1.3900000000000023E-2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11"/>
      <c r="H39" s="10"/>
      <c r="I39" s="10">
        <f t="shared" si="8"/>
        <v>14563</v>
      </c>
      <c r="J39" s="10">
        <f t="shared" si="6"/>
        <v>13157645249.774336</v>
      </c>
      <c r="K39" s="11">
        <f t="shared" si="7"/>
        <v>1.3800000000000034E-2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11"/>
      <c r="H40" s="10"/>
      <c r="I40" s="10">
        <f t="shared" si="8"/>
        <v>14563</v>
      </c>
      <c r="J40" s="10">
        <f t="shared" si="6"/>
        <v>12978541378.747618</v>
      </c>
      <c r="K40" s="11">
        <f t="shared" si="7"/>
        <v>1.4399999999999968E-2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11"/>
      <c r="H41" s="10"/>
      <c r="I41" s="10">
        <f t="shared" si="8"/>
        <v>14563</v>
      </c>
      <c r="J41" s="10">
        <f t="shared" si="6"/>
        <v>12794303409.648678</v>
      </c>
      <c r="K41" s="11">
        <f t="shared" si="7"/>
        <v>1.5900000000000025E-2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11"/>
      <c r="H42" s="10"/>
      <c r="I42" s="10">
        <f t="shared" si="8"/>
        <v>14563</v>
      </c>
      <c r="J42" s="10">
        <f t="shared" si="6"/>
        <v>12594057889.210234</v>
      </c>
      <c r="K42" s="11">
        <f t="shared" si="7"/>
        <v>1.7700000000000049E-2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11"/>
      <c r="H43" s="10"/>
      <c r="I43" s="10">
        <f t="shared" si="8"/>
        <v>14563</v>
      </c>
      <c r="J43" s="10">
        <f t="shared" si="6"/>
        <v>12375020034.597851</v>
      </c>
      <c r="K43" s="11">
        <f t="shared" si="7"/>
        <v>1.9500000000000073E-2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11"/>
      <c r="H44" s="10"/>
      <c r="I44" s="10">
        <f t="shared" si="8"/>
        <v>14563</v>
      </c>
      <c r="J44" s="10">
        <f t="shared" si="6"/>
        <v>12138322741.145512</v>
      </c>
      <c r="K44" s="11">
        <f t="shared" si="7"/>
        <v>2.3200000000000109E-2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11"/>
      <c r="H45" s="10"/>
      <c r="I45" s="10">
        <f t="shared" si="8"/>
        <v>14563</v>
      </c>
      <c r="J45" s="10">
        <f t="shared" si="6"/>
        <v>11863098847.874815</v>
      </c>
      <c r="K45" s="11">
        <f t="shared" si="7"/>
        <v>2.5500000000000078E-2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11"/>
      <c r="H46" s="10"/>
      <c r="I46" s="10">
        <f t="shared" si="8"/>
        <v>14563</v>
      </c>
      <c r="J46" s="10">
        <f t="shared" si="6"/>
        <v>11568111992.076855</v>
      </c>
      <c r="K46" s="11">
        <f t="shared" si="7"/>
        <v>2.6000000000000023E-2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11"/>
      <c r="H47" s="10"/>
      <c r="I47" s="10">
        <f t="shared" si="8"/>
        <v>14563</v>
      </c>
      <c r="J47" s="10">
        <f t="shared" si="6"/>
        <v>11274962955.240599</v>
      </c>
      <c r="K47" s="11">
        <f t="shared" si="7"/>
        <v>2.7099999999999902E-2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11"/>
      <c r="H48" s="10"/>
      <c r="I48" s="10">
        <f t="shared" si="8"/>
        <v>14563</v>
      </c>
      <c r="J48" s="10">
        <f t="shared" si="6"/>
        <v>10977473425.411936</v>
      </c>
      <c r="K48" s="11">
        <f t="shared" si="7"/>
        <v>2.7600000000000069E-2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11"/>
      <c r="H49" s="10"/>
      <c r="I49" s="10">
        <f t="shared" si="8"/>
        <v>14563</v>
      </c>
      <c r="J49" s="10">
        <f t="shared" si="6"/>
        <v>10682632761.20274</v>
      </c>
      <c r="K49" s="11">
        <f t="shared" si="7"/>
        <v>2.8799999999999937E-2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11"/>
      <c r="H50" s="10"/>
      <c r="I50" s="10">
        <f t="shared" si="8"/>
        <v>14563</v>
      </c>
      <c r="J50" s="10">
        <f t="shared" si="6"/>
        <v>10383585498.836256</v>
      </c>
      <c r="K50" s="11">
        <f t="shared" si="7"/>
        <v>2.8299999999999992E-2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11"/>
      <c r="H51" s="10"/>
      <c r="I51" s="10">
        <f t="shared" si="8"/>
        <v>14563</v>
      </c>
      <c r="J51" s="10">
        <f t="shared" si="6"/>
        <v>10097817270.092634</v>
      </c>
      <c r="K51" s="11">
        <f t="shared" si="7"/>
        <v>2.6100000000000012E-2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11"/>
      <c r="H52" s="10"/>
      <c r="I52" s="10">
        <f t="shared" si="8"/>
        <v>14563</v>
      </c>
      <c r="J52" s="10">
        <f t="shared" si="6"/>
        <v>9840968005.1580105</v>
      </c>
      <c r="K52" s="11">
        <f t="shared" si="7"/>
        <v>2.5199999999999889E-2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11"/>
      <c r="H53" s="10"/>
      <c r="I53" s="10">
        <f t="shared" si="8"/>
        <v>14563</v>
      </c>
      <c r="J53" s="10">
        <f t="shared" si="6"/>
        <v>9599071405.7335262</v>
      </c>
      <c r="K53" s="11">
        <f t="shared" si="7"/>
        <v>2.5400000000000089E-2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11"/>
      <c r="H54" s="10"/>
      <c r="I54" s="10">
        <f t="shared" si="8"/>
        <v>14563</v>
      </c>
      <c r="J54" s="10">
        <f t="shared" si="6"/>
        <v>9361294524.8035164</v>
      </c>
      <c r="K54" s="11">
        <f t="shared" si="7"/>
        <v>2.4499999999999966E-2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11"/>
      <c r="H55" s="10"/>
      <c r="I55" s="10">
        <f t="shared" si="8"/>
        <v>14563</v>
      </c>
      <c r="J55" s="10">
        <f t="shared" si="6"/>
        <v>9137427549.8326168</v>
      </c>
      <c r="K55" s="11">
        <f t="shared" si="7"/>
        <v>2.2399999999999753E-2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11"/>
      <c r="H56" s="10"/>
      <c r="I56" s="10">
        <f t="shared" si="8"/>
        <v>14563</v>
      </c>
      <c r="J56" s="10">
        <f t="shared" si="6"/>
        <v>8937233519.0068645</v>
      </c>
      <c r="K56" s="11">
        <f t="shared" si="7"/>
        <v>2.2599999999999953E-2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11"/>
      <c r="H57" s="10"/>
      <c r="I57" s="10">
        <f t="shared" si="8"/>
        <v>14563</v>
      </c>
      <c r="J57" s="10">
        <f t="shared" si="6"/>
        <v>8739715938.7902069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11"/>
      <c r="H58" s="10"/>
      <c r="I58" s="10">
        <f t="shared" si="8"/>
        <v>14563</v>
      </c>
      <c r="J58" s="10">
        <f t="shared" si="6"/>
        <v>8509947360.0683622</v>
      </c>
      <c r="K58" s="11">
        <f t="shared" si="7"/>
        <v>3.0000000000000249E-2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11"/>
      <c r="H59" s="10"/>
      <c r="I59" s="10">
        <f t="shared" si="8"/>
        <v>14563</v>
      </c>
      <c r="J59" s="10">
        <f t="shared" si="6"/>
        <v>8262084815.6003504</v>
      </c>
      <c r="K59" s="11">
        <f t="shared" si="7"/>
        <v>3.499999999999992E-2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11"/>
      <c r="H60" s="10"/>
      <c r="I60" s="10">
        <f t="shared" si="8"/>
        <v>14563</v>
      </c>
      <c r="J60" s="10">
        <f t="shared" si="6"/>
        <v>7982690643.0921268</v>
      </c>
      <c r="K60" s="11">
        <f t="shared" si="7"/>
        <v>4.0000000000000036E-2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11"/>
      <c r="H61" s="10"/>
      <c r="I61" s="10">
        <f t="shared" si="8"/>
        <v>14563</v>
      </c>
      <c r="J61" s="10">
        <f t="shared" si="6"/>
        <v>7675664079.8962755</v>
      </c>
      <c r="K61" s="11">
        <f t="shared" si="7"/>
        <v>4.4999999999999929E-2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11"/>
      <c r="H62" s="10"/>
      <c r="I62" s="10">
        <f t="shared" si="8"/>
        <v>14563</v>
      </c>
      <c r="J62" s="10">
        <f t="shared" si="6"/>
        <v>7345133090.8098335</v>
      </c>
      <c r="K62" s="11">
        <f t="shared" si="7"/>
        <v>4.0000000000000036E-2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11"/>
      <c r="H63" s="10"/>
      <c r="I63" s="10">
        <f t="shared" si="8"/>
        <v>14563</v>
      </c>
      <c r="J63" s="10">
        <f t="shared" si="6"/>
        <v>7062627971.9325314</v>
      </c>
      <c r="K63" s="11">
        <f t="shared" si="7"/>
        <v>3.499999999999992E-2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11"/>
      <c r="H64" s="10"/>
      <c r="I64" s="10">
        <f t="shared" si="8"/>
        <v>14563</v>
      </c>
      <c r="J64" s="10">
        <f t="shared" si="6"/>
        <v>6823795141.9637995</v>
      </c>
      <c r="K64" s="11">
        <f t="shared" si="7"/>
        <v>-1.0000000000000009E-2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11"/>
      <c r="H65" s="10"/>
      <c r="I65" s="10">
        <f t="shared" si="8"/>
        <v>14563</v>
      </c>
      <c r="J65" s="10">
        <f t="shared" si="6"/>
        <v>6892722365.6199999</v>
      </c>
      <c r="K65" s="11">
        <f t="shared" si="7"/>
        <v>-2.0000000000000018E-2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6">
        <f>SUM(F2)</f>
        <v>1300163</v>
      </c>
      <c r="G66" s="11"/>
      <c r="H66" s="10"/>
      <c r="I66" s="10">
        <f t="shared" si="8"/>
        <v>14563</v>
      </c>
      <c r="J66" s="10">
        <f t="shared" ref="J66:J97" si="9">IF(I66="","",I66*C66)</f>
        <v>7033390169</v>
      </c>
      <c r="K66" s="11">
        <f t="shared" ref="K66:K97" si="10">IFERROR(J66/J67-1,"")</f>
        <v>-3.0000000000000027E-2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11"/>
      <c r="H67" s="10"/>
      <c r="I67" s="10">
        <f t="shared" ref="I67:I98" si="11">IF(H67&lt;&gt;"",H67,I66/(1+IF(G66="",0,G66)))</f>
        <v>14563</v>
      </c>
      <c r="J67" s="10">
        <f t="shared" si="9"/>
        <v>7250917700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5">
        <v>13705584</v>
      </c>
      <c r="G2" s="11"/>
      <c r="H2" s="10"/>
      <c r="I2" s="10">
        <f>IF(H2&lt;&gt;"",H2,5040)</f>
        <v>5040</v>
      </c>
      <c r="J2" s="10">
        <f t="shared" ref="J2:J33" si="3">IF(I2="","",I2*C2)</f>
        <v>66487649696.075134</v>
      </c>
      <c r="K2" s="11">
        <f t="shared" ref="K2:K33" si="4">IFERROR(J2/J3-1,"")</f>
        <v>1.3800000000000034E-2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11"/>
      <c r="H3" s="10"/>
      <c r="I3" s="10">
        <f t="shared" ref="I3:I34" si="5">IF(H3&lt;&gt;"",H3,I2/(1+IF(G2="",0,G2)))</f>
        <v>5040</v>
      </c>
      <c r="J3" s="10">
        <f t="shared" si="3"/>
        <v>65582609682.457222</v>
      </c>
      <c r="K3" s="11">
        <f t="shared" si="4"/>
        <v>1.419999999999999E-2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11"/>
      <c r="H4" s="10"/>
      <c r="I4" s="10">
        <f t="shared" si="5"/>
        <v>5040</v>
      </c>
      <c r="J4" s="10">
        <f t="shared" si="3"/>
        <v>64664375549.652161</v>
      </c>
      <c r="K4" s="11">
        <f t="shared" si="4"/>
        <v>1.4499999999999957E-2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11"/>
      <c r="H5" s="10"/>
      <c r="I5" s="10">
        <f t="shared" si="5"/>
        <v>5040</v>
      </c>
      <c r="J5" s="10">
        <f t="shared" si="3"/>
        <v>63740143469.346634</v>
      </c>
      <c r="K5" s="11">
        <f t="shared" si="4"/>
        <v>1.4799999999999924E-2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11"/>
      <c r="H6" s="10"/>
      <c r="I6" s="10">
        <f t="shared" si="5"/>
        <v>5040</v>
      </c>
      <c r="J6" s="10">
        <f t="shared" si="3"/>
        <v>62810547368.29586</v>
      </c>
      <c r="K6" s="11">
        <f t="shared" si="4"/>
        <v>1.5099999999999891E-2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11"/>
      <c r="H7" s="10"/>
      <c r="I7" s="10">
        <f t="shared" si="5"/>
        <v>5040</v>
      </c>
      <c r="J7" s="10">
        <f t="shared" si="3"/>
        <v>61876216499.158569</v>
      </c>
      <c r="K7" s="11">
        <f t="shared" si="4"/>
        <v>1.5300000000000091E-2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11"/>
      <c r="H8" s="10"/>
      <c r="I8" s="10">
        <f t="shared" si="5"/>
        <v>5040</v>
      </c>
      <c r="J8" s="10">
        <f t="shared" si="3"/>
        <v>60943776715.41275</v>
      </c>
      <c r="K8" s="11">
        <f t="shared" si="4"/>
        <v>1.5600000000000058E-2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11"/>
      <c r="H9" s="10"/>
      <c r="I9" s="10">
        <f t="shared" si="5"/>
        <v>5040</v>
      </c>
      <c r="J9" s="10">
        <f t="shared" si="3"/>
        <v>60007657262.123619</v>
      </c>
      <c r="K9" s="11">
        <f t="shared" si="4"/>
        <v>1.5800000000000036E-2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11"/>
      <c r="H10" s="10"/>
      <c r="I10" s="10">
        <f t="shared" si="5"/>
        <v>5040</v>
      </c>
      <c r="J10" s="10">
        <f t="shared" si="3"/>
        <v>59074283581.535362</v>
      </c>
      <c r="K10" s="11">
        <f t="shared" si="4"/>
        <v>1.6000000000000236E-2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11"/>
      <c r="H11" s="10"/>
      <c r="I11" s="10">
        <f t="shared" si="5"/>
        <v>5040</v>
      </c>
      <c r="J11" s="10">
        <f t="shared" si="3"/>
        <v>58143979903.085976</v>
      </c>
      <c r="K11" s="11">
        <f t="shared" si="4"/>
        <v>1.6100000000000003E-2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11"/>
      <c r="H12" s="10"/>
      <c r="I12" s="10">
        <f t="shared" si="5"/>
        <v>5040</v>
      </c>
      <c r="J12" s="10">
        <f t="shared" si="3"/>
        <v>57222694521.293159</v>
      </c>
      <c r="K12" s="11">
        <f t="shared" si="4"/>
        <v>1.6199999999999992E-2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11"/>
      <c r="H13" s="10"/>
      <c r="I13" s="10">
        <f t="shared" si="5"/>
        <v>5040</v>
      </c>
      <c r="J13" s="10">
        <f t="shared" si="3"/>
        <v>56310464988.479782</v>
      </c>
      <c r="K13" s="11">
        <f t="shared" si="4"/>
        <v>1.639999999999997E-2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11"/>
      <c r="H14" s="10"/>
      <c r="I14" s="10">
        <f t="shared" si="5"/>
        <v>5040</v>
      </c>
      <c r="J14" s="10">
        <f t="shared" si="3"/>
        <v>55401874250.767197</v>
      </c>
      <c r="K14" s="11">
        <f t="shared" si="4"/>
        <v>1.6499999999999959E-2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11"/>
      <c r="H15" s="10"/>
      <c r="I15" s="10">
        <f t="shared" si="5"/>
        <v>5040</v>
      </c>
      <c r="J15" s="10">
        <f t="shared" si="3"/>
        <v>54502581653.484703</v>
      </c>
      <c r="K15" s="11">
        <f t="shared" si="4"/>
        <v>1.6699999999999937E-2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11"/>
      <c r="H16" s="10"/>
      <c r="I16" s="10">
        <f t="shared" si="5"/>
        <v>5040</v>
      </c>
      <c r="J16" s="10">
        <f t="shared" si="3"/>
        <v>53607339090.670509</v>
      </c>
      <c r="K16" s="11">
        <f t="shared" si="4"/>
        <v>1.6999999999999904E-2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11"/>
      <c r="H17" s="10"/>
      <c r="I17" s="10">
        <f t="shared" si="5"/>
        <v>5040</v>
      </c>
      <c r="J17" s="10">
        <f t="shared" si="3"/>
        <v>52711247876.765503</v>
      </c>
      <c r="K17" s="11">
        <f t="shared" si="4"/>
        <v>1.7200000000000104E-2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11"/>
      <c r="H18" s="10"/>
      <c r="I18" s="10">
        <f t="shared" si="5"/>
        <v>5040</v>
      </c>
      <c r="J18" s="10">
        <f t="shared" si="3"/>
        <v>51819944825.76239</v>
      </c>
      <c r="K18" s="11">
        <f t="shared" si="4"/>
        <v>1.7500000000000071E-2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11"/>
      <c r="H19" s="10"/>
      <c r="I19" s="10">
        <f t="shared" si="5"/>
        <v>5040</v>
      </c>
      <c r="J19" s="10">
        <f t="shared" si="3"/>
        <v>50928692703.451981</v>
      </c>
      <c r="K19" s="11">
        <f t="shared" si="4"/>
        <v>1.7800000000000038E-2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11"/>
      <c r="H20" s="10"/>
      <c r="I20" s="10">
        <f t="shared" si="5"/>
        <v>5040</v>
      </c>
      <c r="J20" s="10">
        <f t="shared" si="3"/>
        <v>50038016018.325783</v>
      </c>
      <c r="K20" s="11">
        <f t="shared" si="4"/>
        <v>1.8000000000000016E-2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11"/>
      <c r="H21" s="10"/>
      <c r="I21" s="10">
        <f t="shared" si="5"/>
        <v>5040</v>
      </c>
      <c r="J21" s="10">
        <f t="shared" si="3"/>
        <v>49153257385.388786</v>
      </c>
      <c r="K21" s="11">
        <f t="shared" si="4"/>
        <v>1.8299999999999983E-2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11"/>
      <c r="H22" s="10"/>
      <c r="I22" s="10">
        <f t="shared" si="5"/>
        <v>5040</v>
      </c>
      <c r="J22" s="10">
        <f t="shared" si="3"/>
        <v>48269917888.037697</v>
      </c>
      <c r="K22" s="11">
        <f t="shared" si="4"/>
        <v>1.8499999999999961E-2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11"/>
      <c r="H23" s="10"/>
      <c r="I23" s="10">
        <f t="shared" si="5"/>
        <v>5040</v>
      </c>
      <c r="J23" s="10">
        <f t="shared" si="3"/>
        <v>47393144710.886299</v>
      </c>
      <c r="K23" s="11">
        <f t="shared" si="4"/>
        <v>1.8799999999999706E-2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11"/>
      <c r="H24" s="10"/>
      <c r="I24" s="10">
        <f t="shared" si="5"/>
        <v>5040</v>
      </c>
      <c r="J24" s="10">
        <f t="shared" si="3"/>
        <v>46518595122.581772</v>
      </c>
      <c r="K24" s="11">
        <f t="shared" si="4"/>
        <v>1.9099999999999895E-2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11"/>
      <c r="H25" s="10"/>
      <c r="I25" s="10">
        <f t="shared" si="5"/>
        <v>5040</v>
      </c>
      <c r="J25" s="10">
        <f t="shared" si="3"/>
        <v>45646742343.814911</v>
      </c>
      <c r="K25" s="11">
        <f t="shared" si="4"/>
        <v>1.9400000000000084E-2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11"/>
      <c r="H26" s="10"/>
      <c r="I26" s="10">
        <f t="shared" si="5"/>
        <v>5040</v>
      </c>
      <c r="J26" s="10">
        <f t="shared" si="3"/>
        <v>44778048208.568672</v>
      </c>
      <c r="K26" s="11">
        <f t="shared" si="4"/>
        <v>1.980000000000004E-2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11"/>
      <c r="H27" s="10"/>
      <c r="I27" s="10">
        <f t="shared" si="5"/>
        <v>5040</v>
      </c>
      <c r="J27" s="10">
        <f t="shared" si="3"/>
        <v>43908656803.852394</v>
      </c>
      <c r="K27" s="11">
        <f t="shared" si="4"/>
        <v>2.0100000000000007E-2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11"/>
      <c r="H28" s="10"/>
      <c r="I28" s="10">
        <f t="shared" si="5"/>
        <v>5040</v>
      </c>
      <c r="J28" s="10">
        <f t="shared" si="3"/>
        <v>43043482799.580818</v>
      </c>
      <c r="K28" s="11">
        <f t="shared" si="4"/>
        <v>2.0400000000000196E-2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11"/>
      <c r="H29" s="10"/>
      <c r="I29" s="10">
        <f t="shared" si="5"/>
        <v>5040</v>
      </c>
      <c r="J29" s="10">
        <f t="shared" si="3"/>
        <v>42182950607.194054</v>
      </c>
      <c r="K29" s="11">
        <f t="shared" si="4"/>
        <v>2.0899999999999919E-2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11"/>
      <c r="H30" s="10"/>
      <c r="I30" s="10">
        <f t="shared" si="5"/>
        <v>5040</v>
      </c>
      <c r="J30" s="10">
        <f t="shared" si="3"/>
        <v>41319375655.983994</v>
      </c>
      <c r="K30" s="11">
        <f t="shared" si="4"/>
        <v>2.1400000000000086E-2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11"/>
      <c r="H31" s="10"/>
      <c r="I31" s="10">
        <f t="shared" si="5"/>
        <v>5040</v>
      </c>
      <c r="J31" s="10">
        <f t="shared" si="3"/>
        <v>40453667178.366936</v>
      </c>
      <c r="K31" s="11">
        <f t="shared" si="4"/>
        <v>2.200000000000002E-2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11"/>
      <c r="H32" s="10"/>
      <c r="I32" s="10">
        <f t="shared" si="5"/>
        <v>5040</v>
      </c>
      <c r="J32" s="10">
        <f t="shared" si="3"/>
        <v>39582844597.227921</v>
      </c>
      <c r="K32" s="11">
        <f t="shared" si="4"/>
        <v>2.2799999999999931E-2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11"/>
      <c r="H33" s="10"/>
      <c r="I33" s="10">
        <f t="shared" si="5"/>
        <v>5040</v>
      </c>
      <c r="J33" s="10">
        <f t="shared" si="3"/>
        <v>38700473794.708565</v>
      </c>
      <c r="K33" s="11">
        <f t="shared" si="4"/>
        <v>2.3400000000000309E-2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11"/>
      <c r="H34" s="10"/>
      <c r="I34" s="10">
        <f t="shared" si="5"/>
        <v>5040</v>
      </c>
      <c r="J34" s="10">
        <f t="shared" ref="J34:J65" si="6">IF(I34="","",I34*C34)</f>
        <v>37815589011.831696</v>
      </c>
      <c r="K34" s="11">
        <f t="shared" ref="K34:K65" si="7">IFERROR(J34/J35-1,"")</f>
        <v>2.3600000000000065E-2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11"/>
      <c r="H35" s="10"/>
      <c r="I35" s="10">
        <f t="shared" ref="I35:I66" si="8">IF(H35&lt;&gt;"",H35,I34/(1+IF(G34="",0,G34)))</f>
        <v>5040</v>
      </c>
      <c r="J35" s="10">
        <f t="shared" si="6"/>
        <v>36943717283.930923</v>
      </c>
      <c r="K35" s="11">
        <f t="shared" si="7"/>
        <v>2.3400000000000087E-2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11"/>
      <c r="H36" s="10"/>
      <c r="I36" s="10">
        <f t="shared" si="8"/>
        <v>5040</v>
      </c>
      <c r="J36" s="10">
        <f t="shared" si="6"/>
        <v>36099000668.29287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11"/>
      <c r="H37" s="10"/>
      <c r="I37" s="10">
        <f t="shared" si="8"/>
        <v>5040</v>
      </c>
      <c r="J37" s="10">
        <f t="shared" si="6"/>
        <v>35294290837.204613</v>
      </c>
      <c r="K37" s="11">
        <f t="shared" si="7"/>
        <v>2.200000000000002E-2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11"/>
      <c r="H38" s="10"/>
      <c r="I38" s="10">
        <f t="shared" si="8"/>
        <v>5040</v>
      </c>
      <c r="J38" s="10">
        <f t="shared" si="6"/>
        <v>34534531151.863609</v>
      </c>
      <c r="K38" s="11">
        <f t="shared" si="7"/>
        <v>2.1300000000000097E-2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11"/>
      <c r="H39" s="10"/>
      <c r="I39" s="10">
        <f t="shared" si="8"/>
        <v>5040</v>
      </c>
      <c r="J39" s="10">
        <f t="shared" si="6"/>
        <v>33814286842.126316</v>
      </c>
      <c r="K39" s="11">
        <f t="shared" si="7"/>
        <v>2.0499999999999963E-2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11"/>
      <c r="H40" s="10"/>
      <c r="I40" s="10">
        <f t="shared" si="8"/>
        <v>5040</v>
      </c>
      <c r="J40" s="10">
        <f t="shared" si="6"/>
        <v>33135018953.577969</v>
      </c>
      <c r="K40" s="11">
        <f t="shared" si="7"/>
        <v>1.9600000000000062E-2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11"/>
      <c r="H41" s="10"/>
      <c r="I41" s="10">
        <f t="shared" si="8"/>
        <v>5040</v>
      </c>
      <c r="J41" s="10">
        <f t="shared" si="6"/>
        <v>32498057035.678661</v>
      </c>
      <c r="K41" s="11">
        <f t="shared" si="7"/>
        <v>1.8899999999999917E-2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11"/>
      <c r="H42" s="10"/>
      <c r="I42" s="10">
        <f t="shared" si="8"/>
        <v>5040</v>
      </c>
      <c r="J42" s="10">
        <f t="shared" si="6"/>
        <v>31895237055.332874</v>
      </c>
      <c r="K42" s="11">
        <f t="shared" si="7"/>
        <v>1.8000000000000016E-2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11"/>
      <c r="H43" s="10"/>
      <c r="I43" s="10">
        <f t="shared" si="8"/>
        <v>5040</v>
      </c>
      <c r="J43" s="10">
        <f t="shared" si="6"/>
        <v>31331274121.152138</v>
      </c>
      <c r="K43" s="11">
        <f t="shared" si="7"/>
        <v>1.7200000000000104E-2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11"/>
      <c r="H44" s="10"/>
      <c r="I44" s="10">
        <f t="shared" si="8"/>
        <v>5040</v>
      </c>
      <c r="J44" s="10">
        <f t="shared" si="6"/>
        <v>30801488518.631668</v>
      </c>
      <c r="K44" s="11">
        <f t="shared" si="7"/>
        <v>1.6699999999999937E-2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11"/>
      <c r="H45" s="10"/>
      <c r="I45" s="10">
        <f t="shared" si="8"/>
        <v>5040</v>
      </c>
      <c r="J45" s="10">
        <f t="shared" si="6"/>
        <v>30295552787.087311</v>
      </c>
      <c r="K45" s="11">
        <f t="shared" si="7"/>
        <v>1.6699999999999937E-2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11"/>
      <c r="H46" s="10"/>
      <c r="I46" s="10">
        <f t="shared" si="8"/>
        <v>5040</v>
      </c>
      <c r="J46" s="10">
        <f t="shared" si="6"/>
        <v>29797927399.515404</v>
      </c>
      <c r="K46" s="11">
        <f t="shared" si="7"/>
        <v>1.7200000000000326E-2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11"/>
      <c r="H47" s="10"/>
      <c r="I47" s="10">
        <f t="shared" si="8"/>
        <v>5040</v>
      </c>
      <c r="J47" s="10">
        <f t="shared" si="6"/>
        <v>29294069405.736725</v>
      </c>
      <c r="K47" s="11">
        <f t="shared" si="7"/>
        <v>1.7800000000000038E-2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11"/>
      <c r="H48" s="10"/>
      <c r="I48" s="10">
        <f t="shared" si="8"/>
        <v>5040</v>
      </c>
      <c r="J48" s="10">
        <f t="shared" si="6"/>
        <v>28781754181.309418</v>
      </c>
      <c r="K48" s="11">
        <f t="shared" si="7"/>
        <v>1.8400000000000194E-2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11"/>
      <c r="H49" s="10"/>
      <c r="I49" s="10">
        <f t="shared" si="8"/>
        <v>5040</v>
      </c>
      <c r="J49" s="10">
        <f t="shared" si="6"/>
        <v>28261738198.45779</v>
      </c>
      <c r="K49" s="11">
        <f t="shared" si="7"/>
        <v>1.8899999999999917E-2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11"/>
      <c r="H50" s="10"/>
      <c r="I50" s="10">
        <f t="shared" si="8"/>
        <v>5040</v>
      </c>
      <c r="J50" s="10">
        <f t="shared" si="6"/>
        <v>27737499458.68858</v>
      </c>
      <c r="K50" s="11">
        <f t="shared" si="7"/>
        <v>1.9200000000000106E-2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11"/>
      <c r="H51" s="10"/>
      <c r="I51" s="10">
        <f t="shared" si="8"/>
        <v>5040</v>
      </c>
      <c r="J51" s="10">
        <f t="shared" si="6"/>
        <v>27214971996.358494</v>
      </c>
      <c r="K51" s="11">
        <f t="shared" si="7"/>
        <v>1.9200000000000106E-2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11"/>
      <c r="H52" s="10"/>
      <c r="I52" s="10">
        <f t="shared" si="8"/>
        <v>5040</v>
      </c>
      <c r="J52" s="10">
        <f t="shared" si="6"/>
        <v>26702288065.500874</v>
      </c>
      <c r="K52" s="11">
        <f t="shared" si="7"/>
        <v>1.9200000000000106E-2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11"/>
      <c r="H53" s="10"/>
      <c r="I53" s="10">
        <f t="shared" si="8"/>
        <v>5040</v>
      </c>
      <c r="J53" s="10">
        <f t="shared" si="6"/>
        <v>26199262230.671967</v>
      </c>
      <c r="K53" s="11">
        <f t="shared" si="7"/>
        <v>1.9299999999999873E-2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11"/>
      <c r="H54" s="10"/>
      <c r="I54" s="10">
        <f t="shared" si="8"/>
        <v>5040</v>
      </c>
      <c r="J54" s="10">
        <f t="shared" si="6"/>
        <v>25703190651.105629</v>
      </c>
      <c r="K54" s="11">
        <f t="shared" si="7"/>
        <v>1.9400000000000084E-2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11"/>
      <c r="H55" s="10"/>
      <c r="I55" s="10">
        <f t="shared" si="8"/>
        <v>5040</v>
      </c>
      <c r="J55" s="10">
        <f t="shared" si="6"/>
        <v>25214038307.931751</v>
      </c>
      <c r="K55" s="11">
        <f t="shared" si="7"/>
        <v>1.9400000000000084E-2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11"/>
      <c r="H56" s="10"/>
      <c r="I56" s="10">
        <f t="shared" si="8"/>
        <v>5040</v>
      </c>
      <c r="J56" s="10">
        <f t="shared" si="6"/>
        <v>24734194926.360359</v>
      </c>
      <c r="K56" s="11">
        <f t="shared" si="7"/>
        <v>1.9400000000000084E-2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11"/>
      <c r="H57" s="10"/>
      <c r="I57" s="10">
        <f t="shared" si="8"/>
        <v>5040</v>
      </c>
      <c r="J57" s="10">
        <f t="shared" si="6"/>
        <v>24263483349.382339</v>
      </c>
      <c r="K57" s="11">
        <f t="shared" si="7"/>
        <v>1.8999999999999906E-2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11"/>
      <c r="H58" s="10"/>
      <c r="I58" s="10">
        <f t="shared" si="8"/>
        <v>5040</v>
      </c>
      <c r="J58" s="10">
        <f t="shared" si="6"/>
        <v>23811072963.083752</v>
      </c>
      <c r="K58" s="11">
        <f t="shared" si="7"/>
        <v>1.9000000000000128E-2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11"/>
      <c r="H59" s="10"/>
      <c r="I59" s="10">
        <f t="shared" si="8"/>
        <v>5040</v>
      </c>
      <c r="J59" s="10">
        <f t="shared" si="6"/>
        <v>23367098099.198971</v>
      </c>
      <c r="K59" s="11">
        <f t="shared" si="7"/>
        <v>1.8999999999999906E-2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11"/>
      <c r="H60" s="10"/>
      <c r="I60" s="10">
        <f t="shared" si="8"/>
        <v>5040</v>
      </c>
      <c r="J60" s="10">
        <f t="shared" si="6"/>
        <v>22931401471.245312</v>
      </c>
      <c r="K60" s="11">
        <f t="shared" si="7"/>
        <v>1.8999999999999906E-2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11"/>
      <c r="H61" s="10"/>
      <c r="I61" s="10">
        <f t="shared" si="8"/>
        <v>5040</v>
      </c>
      <c r="J61" s="10">
        <f t="shared" si="6"/>
        <v>22503828725.461544</v>
      </c>
      <c r="K61" s="11">
        <f t="shared" si="7"/>
        <v>1.8999999999999684E-2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11"/>
      <c r="H62" s="10"/>
      <c r="I62" s="10">
        <f t="shared" si="8"/>
        <v>5040</v>
      </c>
      <c r="J62" s="10">
        <f t="shared" si="6"/>
        <v>22084228386.125172</v>
      </c>
      <c r="K62" s="11">
        <f t="shared" si="7"/>
        <v>1.9000000000000128E-2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11"/>
      <c r="H63" s="10"/>
      <c r="I63" s="10">
        <f t="shared" si="8"/>
        <v>5040</v>
      </c>
      <c r="J63" s="10">
        <f t="shared" si="6"/>
        <v>21672451801.889275</v>
      </c>
      <c r="K63" s="11">
        <f t="shared" si="7"/>
        <v>1.8999999999999906E-2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11"/>
      <c r="H64" s="10"/>
      <c r="I64" s="10">
        <f t="shared" si="8"/>
        <v>5040</v>
      </c>
      <c r="J64" s="10">
        <f t="shared" si="6"/>
        <v>21268353093.119999</v>
      </c>
      <c r="K64" s="11">
        <f t="shared" si="7"/>
        <v>1.8000000000000016E-2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11"/>
      <c r="H65" s="10"/>
      <c r="I65" s="10">
        <f t="shared" si="8"/>
        <v>5040</v>
      </c>
      <c r="J65" s="10">
        <f t="shared" si="6"/>
        <v>20892291840</v>
      </c>
      <c r="K65" s="11">
        <f t="shared" si="7"/>
        <v>1.8000000000000016E-2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6">
        <f>SUM(F2)</f>
        <v>13705584</v>
      </c>
      <c r="G66" s="11"/>
      <c r="H66" s="10"/>
      <c r="I66" s="10">
        <f t="shared" si="8"/>
        <v>5040</v>
      </c>
      <c r="J66" s="10">
        <f t="shared" ref="J66:J97" si="9">IF(I66="","",I66*C66)</f>
        <v>20522880000</v>
      </c>
      <c r="K66" s="11">
        <f t="shared" ref="K66:K97" si="10">IFERROR(J66/J67-1,"")</f>
        <v>1.8000000000000016E-2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11"/>
      <c r="H67" s="10"/>
      <c r="I67" s="10">
        <f t="shared" ref="I67:I98" si="11">IF(H67&lt;&gt;"",H67,I66/(1+IF(G66="",0,G66)))</f>
        <v>5040</v>
      </c>
      <c r="J67" s="10">
        <f t="shared" si="9"/>
        <v>20160000000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5">
        <v>88057485</v>
      </c>
      <c r="G2" s="11"/>
      <c r="H2" s="10"/>
      <c r="I2" s="10">
        <f>IF(H2&lt;&gt;"",H2,2560)</f>
        <v>2560</v>
      </c>
      <c r="J2" s="10">
        <f t="shared" ref="J2:J33" si="3">IF(I2="","",I2*C2)</f>
        <v>225429431531.13705</v>
      </c>
      <c r="K2" s="11">
        <f t="shared" ref="K2:K33" si="4">IFERROR(J2/J3-1,"")</f>
        <v>2.5400000000000089E-2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11"/>
      <c r="H3" s="10"/>
      <c r="I3" s="10">
        <f t="shared" ref="I3:I34" si="5">IF(H3&lt;&gt;"",H3,I2/(1+IF(G2="",0,G2)))</f>
        <v>2560</v>
      </c>
      <c r="J3" s="10">
        <f t="shared" si="3"/>
        <v>219845359402.31815</v>
      </c>
      <c r="K3" s="11">
        <f t="shared" si="4"/>
        <v>2.6399999999999979E-2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11"/>
      <c r="H4" s="10"/>
      <c r="I4" s="10">
        <f t="shared" si="5"/>
        <v>2560</v>
      </c>
      <c r="J4" s="10">
        <f t="shared" si="3"/>
        <v>214190724281.29205</v>
      </c>
      <c r="K4" s="11">
        <f t="shared" si="4"/>
        <v>2.7099999999999902E-2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11"/>
      <c r="H5" s="10"/>
      <c r="I5" s="10">
        <f t="shared" si="5"/>
        <v>2560</v>
      </c>
      <c r="J5" s="10">
        <f t="shared" si="3"/>
        <v>208539309007.19702</v>
      </c>
      <c r="K5" s="11">
        <f t="shared" si="4"/>
        <v>2.7699999999999836E-2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11"/>
      <c r="H6" s="10"/>
      <c r="I6" s="10">
        <f t="shared" si="5"/>
        <v>2560</v>
      </c>
      <c r="J6" s="10">
        <f t="shared" si="3"/>
        <v>202918467458.59399</v>
      </c>
      <c r="K6" s="11">
        <f t="shared" si="4"/>
        <v>2.8000000000000025E-2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11"/>
      <c r="H7" s="10"/>
      <c r="I7" s="10">
        <f t="shared" si="5"/>
        <v>2560</v>
      </c>
      <c r="J7" s="10">
        <f t="shared" si="3"/>
        <v>197391505309.91632</v>
      </c>
      <c r="K7" s="11">
        <f t="shared" si="4"/>
        <v>2.8000000000000247E-2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11"/>
      <c r="H8" s="10"/>
      <c r="I8" s="10">
        <f t="shared" si="5"/>
        <v>2560</v>
      </c>
      <c r="J8" s="10">
        <f t="shared" si="3"/>
        <v>192015082986.2999</v>
      </c>
      <c r="K8" s="11">
        <f t="shared" si="4"/>
        <v>2.7900000000000036E-2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11"/>
      <c r="H9" s="10"/>
      <c r="I9" s="10">
        <f t="shared" si="5"/>
        <v>2560</v>
      </c>
      <c r="J9" s="10">
        <f t="shared" si="3"/>
        <v>186803271705.71057</v>
      </c>
      <c r="K9" s="11">
        <f t="shared" si="4"/>
        <v>2.7800000000000047E-2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11"/>
      <c r="H10" s="10"/>
      <c r="I10" s="10">
        <f t="shared" si="5"/>
        <v>2560</v>
      </c>
      <c r="J10" s="10">
        <f t="shared" si="3"/>
        <v>181750604889.77481</v>
      </c>
      <c r="K10" s="11">
        <f t="shared" si="4"/>
        <v>2.7700000000000058E-2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11"/>
      <c r="H11" s="10"/>
      <c r="I11" s="10">
        <f t="shared" si="5"/>
        <v>2560</v>
      </c>
      <c r="J11" s="10">
        <f t="shared" si="3"/>
        <v>176851809759.43835</v>
      </c>
      <c r="K11" s="11">
        <f t="shared" si="4"/>
        <v>2.7600000000000069E-2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11"/>
      <c r="H12" s="10"/>
      <c r="I12" s="10">
        <f t="shared" si="5"/>
        <v>2560</v>
      </c>
      <c r="J12" s="10">
        <f t="shared" si="3"/>
        <v>172101800077.30472</v>
      </c>
      <c r="K12" s="11">
        <f t="shared" si="4"/>
        <v>2.7700000000000058E-2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11"/>
      <c r="H13" s="10"/>
      <c r="I13" s="10">
        <f t="shared" si="5"/>
        <v>2560</v>
      </c>
      <c r="J13" s="10">
        <f t="shared" si="3"/>
        <v>167463072956.41211</v>
      </c>
      <c r="K13" s="11">
        <f t="shared" si="4"/>
        <v>2.7700000000000058E-2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11"/>
      <c r="H14" s="10"/>
      <c r="I14" s="10">
        <f t="shared" si="5"/>
        <v>2560</v>
      </c>
      <c r="J14" s="10">
        <f t="shared" si="3"/>
        <v>162949375261.664</v>
      </c>
      <c r="K14" s="11">
        <f t="shared" si="4"/>
        <v>2.7600000000000069E-2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11"/>
      <c r="H15" s="10"/>
      <c r="I15" s="10">
        <f t="shared" si="5"/>
        <v>2560</v>
      </c>
      <c r="J15" s="10">
        <f t="shared" si="3"/>
        <v>158572766895.35226</v>
      </c>
      <c r="K15" s="11">
        <f t="shared" si="4"/>
        <v>2.7400000000000091E-2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11"/>
      <c r="H16" s="10"/>
      <c r="I16" s="10">
        <f t="shared" si="5"/>
        <v>2560</v>
      </c>
      <c r="J16" s="10">
        <f t="shared" si="3"/>
        <v>154343748194.81433</v>
      </c>
      <c r="K16" s="11">
        <f t="shared" si="4"/>
        <v>2.7199999999999891E-2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11"/>
      <c r="H17" s="10"/>
      <c r="I17" s="10">
        <f t="shared" si="5"/>
        <v>2560</v>
      </c>
      <c r="J17" s="10">
        <f t="shared" si="3"/>
        <v>150256764208.34729</v>
      </c>
      <c r="K17" s="11">
        <f t="shared" si="4"/>
        <v>2.6699999999999946E-2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11"/>
      <c r="H18" s="10"/>
      <c r="I18" s="10">
        <f t="shared" si="5"/>
        <v>2560</v>
      </c>
      <c r="J18" s="10">
        <f t="shared" si="3"/>
        <v>146349239513.34109</v>
      </c>
      <c r="K18" s="11">
        <f t="shared" si="4"/>
        <v>2.6399999999999979E-2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11"/>
      <c r="H19" s="10"/>
      <c r="I19" s="10">
        <f t="shared" si="5"/>
        <v>2560</v>
      </c>
      <c r="J19" s="10">
        <f t="shared" si="3"/>
        <v>142584995628.74231</v>
      </c>
      <c r="K19" s="11">
        <f t="shared" si="4"/>
        <v>2.6100000000000012E-2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11"/>
      <c r="H20" s="10"/>
      <c r="I20" s="10">
        <f t="shared" si="5"/>
        <v>2560</v>
      </c>
      <c r="J20" s="10">
        <f t="shared" si="3"/>
        <v>138958186949.36392</v>
      </c>
      <c r="K20" s="11">
        <f t="shared" si="4"/>
        <v>2.6000000000000023E-2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11"/>
      <c r="H21" s="10"/>
      <c r="I21" s="10">
        <f t="shared" si="5"/>
        <v>2560</v>
      </c>
      <c r="J21" s="10">
        <f t="shared" si="3"/>
        <v>135436829385.34494</v>
      </c>
      <c r="K21" s="11">
        <f t="shared" si="4"/>
        <v>2.6100000000000012E-2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11"/>
      <c r="H22" s="10"/>
      <c r="I22" s="10">
        <f t="shared" si="5"/>
        <v>2560</v>
      </c>
      <c r="J22" s="10">
        <f t="shared" si="3"/>
        <v>131991842301.28149</v>
      </c>
      <c r="K22" s="11">
        <f t="shared" si="4"/>
        <v>2.6399999999999979E-2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11"/>
      <c r="H23" s="10"/>
      <c r="I23" s="10">
        <f t="shared" si="5"/>
        <v>2560</v>
      </c>
      <c r="J23" s="10">
        <f t="shared" si="3"/>
        <v>128596884549.18306</v>
      </c>
      <c r="K23" s="11">
        <f t="shared" si="4"/>
        <v>2.6399999999999979E-2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11"/>
      <c r="H24" s="10"/>
      <c r="I24" s="10">
        <f t="shared" si="5"/>
        <v>2560</v>
      </c>
      <c r="J24" s="10">
        <f t="shared" si="3"/>
        <v>125289248391.64368</v>
      </c>
      <c r="K24" s="11">
        <f t="shared" si="4"/>
        <v>2.6499999999999968E-2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11"/>
      <c r="H25" s="10"/>
      <c r="I25" s="10">
        <f t="shared" si="5"/>
        <v>2560</v>
      </c>
      <c r="J25" s="10">
        <f t="shared" si="3"/>
        <v>122054796289.95975</v>
      </c>
      <c r="K25" s="11">
        <f t="shared" si="4"/>
        <v>2.6299999999999768E-2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11"/>
      <c r="H26" s="10"/>
      <c r="I26" s="10">
        <f t="shared" si="5"/>
        <v>2560</v>
      </c>
      <c r="J26" s="10">
        <f t="shared" si="3"/>
        <v>118927015775.07529</v>
      </c>
      <c r="K26" s="11">
        <f t="shared" si="4"/>
        <v>2.6400000000000201E-2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11"/>
      <c r="H27" s="10"/>
      <c r="I27" s="10">
        <f t="shared" si="5"/>
        <v>2560</v>
      </c>
      <c r="J27" s="10">
        <f t="shared" si="3"/>
        <v>115868097988.18713</v>
      </c>
      <c r="K27" s="11">
        <f t="shared" si="4"/>
        <v>2.6999999999999913E-2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11"/>
      <c r="H28" s="10"/>
      <c r="I28" s="10">
        <f t="shared" si="5"/>
        <v>2560</v>
      </c>
      <c r="J28" s="10">
        <f t="shared" si="3"/>
        <v>112821906512.35361</v>
      </c>
      <c r="K28" s="11">
        <f t="shared" si="4"/>
        <v>2.6899999999999924E-2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11"/>
      <c r="H29" s="10"/>
      <c r="I29" s="10">
        <f t="shared" si="5"/>
        <v>2560</v>
      </c>
      <c r="J29" s="10">
        <f t="shared" si="3"/>
        <v>109866497723.58908</v>
      </c>
      <c r="K29" s="11">
        <f t="shared" si="4"/>
        <v>2.6700000000000168E-2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11"/>
      <c r="H30" s="10"/>
      <c r="I30" s="10">
        <f t="shared" si="5"/>
        <v>2560</v>
      </c>
      <c r="J30" s="10">
        <f t="shared" si="3"/>
        <v>107009348128.55661</v>
      </c>
      <c r="K30" s="11">
        <f t="shared" si="4"/>
        <v>2.6599999999999957E-2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11"/>
      <c r="H31" s="10"/>
      <c r="I31" s="10">
        <f t="shared" si="5"/>
        <v>2560</v>
      </c>
      <c r="J31" s="10">
        <f t="shared" si="3"/>
        <v>104236653154.64311</v>
      </c>
      <c r="K31" s="11">
        <f t="shared" si="4"/>
        <v>2.7199999999999891E-2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11"/>
      <c r="H32" s="10"/>
      <c r="I32" s="10">
        <f t="shared" si="5"/>
        <v>2560</v>
      </c>
      <c r="J32" s="10">
        <f t="shared" si="3"/>
        <v>101476492557.09027</v>
      </c>
      <c r="K32" s="11">
        <f t="shared" si="4"/>
        <v>2.8299999999999992E-2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11"/>
      <c r="H33" s="10"/>
      <c r="I33" s="10">
        <f t="shared" si="5"/>
        <v>2560</v>
      </c>
      <c r="J33" s="10">
        <f t="shared" si="3"/>
        <v>98683742640.367859</v>
      </c>
      <c r="K33" s="11">
        <f t="shared" si="4"/>
        <v>2.5600000000000067E-2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11"/>
      <c r="H34" s="10"/>
      <c r="I34" s="10">
        <f t="shared" si="5"/>
        <v>2560</v>
      </c>
      <c r="J34" s="10">
        <f t="shared" ref="J34:J65" si="6">IF(I34="","",I34*C34)</f>
        <v>96220497894.274429</v>
      </c>
      <c r="K34" s="11">
        <f t="shared" ref="K34:K65" si="7">IFERROR(J34/J35-1,"")</f>
        <v>2.5900000000000034E-2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11"/>
      <c r="H35" s="10"/>
      <c r="I35" s="10">
        <f t="shared" ref="I35:I66" si="8">IF(H35&lt;&gt;"",H35,I34/(1+IF(G34="",0,G34)))</f>
        <v>2560</v>
      </c>
      <c r="J35" s="10">
        <f t="shared" si="6"/>
        <v>93791303142.873993</v>
      </c>
      <c r="K35" s="11">
        <f t="shared" si="7"/>
        <v>2.9900000000000038E-2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11"/>
      <c r="H36" s="10"/>
      <c r="I36" s="10">
        <f t="shared" si="8"/>
        <v>2560</v>
      </c>
      <c r="J36" s="10">
        <f t="shared" si="6"/>
        <v>91068359202.712875</v>
      </c>
      <c r="K36" s="11">
        <f t="shared" si="7"/>
        <v>3.069999999999995E-2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11"/>
      <c r="H37" s="10"/>
      <c r="I37" s="10">
        <f t="shared" si="8"/>
        <v>2560</v>
      </c>
      <c r="J37" s="10">
        <f t="shared" si="6"/>
        <v>88355835066.181122</v>
      </c>
      <c r="K37" s="11">
        <f t="shared" si="7"/>
        <v>3.1199999999999894E-2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11"/>
      <c r="H38" s="10"/>
      <c r="I38" s="10">
        <f t="shared" si="8"/>
        <v>2560</v>
      </c>
      <c r="J38" s="10">
        <f t="shared" si="6"/>
        <v>85682539823.682251</v>
      </c>
      <c r="K38" s="11">
        <f t="shared" si="7"/>
        <v>3.0799999999999939E-2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11"/>
      <c r="H39" s="10"/>
      <c r="I39" s="10">
        <f t="shared" si="8"/>
        <v>2560</v>
      </c>
      <c r="J39" s="10">
        <f t="shared" si="6"/>
        <v>83122370802.951355</v>
      </c>
      <c r="K39" s="11">
        <f t="shared" si="7"/>
        <v>3.0599999999999961E-2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11"/>
      <c r="H40" s="10"/>
      <c r="I40" s="10">
        <f t="shared" si="8"/>
        <v>2560</v>
      </c>
      <c r="J40" s="10">
        <f t="shared" si="6"/>
        <v>80654347761.450958</v>
      </c>
      <c r="K40" s="11">
        <f t="shared" si="7"/>
        <v>2.9800000000000049E-2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11"/>
      <c r="H41" s="10"/>
      <c r="I41" s="10">
        <f t="shared" si="8"/>
        <v>2560</v>
      </c>
      <c r="J41" s="10">
        <f t="shared" si="6"/>
        <v>78320399846.038986</v>
      </c>
      <c r="K41" s="11">
        <f t="shared" si="7"/>
        <v>2.8699999999999948E-2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11"/>
      <c r="H42" s="10"/>
      <c r="I42" s="10">
        <f t="shared" si="8"/>
        <v>2560</v>
      </c>
      <c r="J42" s="10">
        <f t="shared" si="6"/>
        <v>76135316269.115387</v>
      </c>
      <c r="K42" s="11">
        <f t="shared" si="7"/>
        <v>2.770000000000028E-2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11"/>
      <c r="H43" s="10"/>
      <c r="I43" s="10">
        <f t="shared" si="8"/>
        <v>2560</v>
      </c>
      <c r="J43" s="10">
        <f t="shared" si="6"/>
        <v>74083211315.67128</v>
      </c>
      <c r="K43" s="11">
        <f t="shared" si="7"/>
        <v>2.6200000000000001E-2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11"/>
      <c r="H44" s="10"/>
      <c r="I44" s="10">
        <f t="shared" si="8"/>
        <v>2560</v>
      </c>
      <c r="J44" s="10">
        <f t="shared" si="6"/>
        <v>72191786509.132019</v>
      </c>
      <c r="K44" s="11">
        <f t="shared" si="7"/>
        <v>2.4899999999999922E-2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11"/>
      <c r="H45" s="10"/>
      <c r="I45" s="10">
        <f t="shared" si="8"/>
        <v>2560</v>
      </c>
      <c r="J45" s="10">
        <f t="shared" si="6"/>
        <v>70437883217.02803</v>
      </c>
      <c r="K45" s="11">
        <f t="shared" si="7"/>
        <v>2.4000000000000021E-2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11"/>
      <c r="H46" s="10"/>
      <c r="I46" s="10">
        <f t="shared" si="8"/>
        <v>2560</v>
      </c>
      <c r="J46" s="10">
        <f t="shared" si="6"/>
        <v>68786995329.128937</v>
      </c>
      <c r="K46" s="11">
        <f t="shared" si="7"/>
        <v>2.3400000000000087E-2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11"/>
      <c r="H47" s="10"/>
      <c r="I47" s="10">
        <f t="shared" si="8"/>
        <v>2560</v>
      </c>
      <c r="J47" s="10">
        <f t="shared" si="6"/>
        <v>67214183436.709915</v>
      </c>
      <c r="K47" s="11">
        <f t="shared" si="7"/>
        <v>2.2799999999999709E-2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11"/>
      <c r="H48" s="10"/>
      <c r="I48" s="10">
        <f t="shared" si="8"/>
        <v>2560</v>
      </c>
      <c r="J48" s="10">
        <f t="shared" si="6"/>
        <v>65715861787.944786</v>
      </c>
      <c r="K48" s="11">
        <f t="shared" si="7"/>
        <v>2.2199999999999998E-2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11"/>
      <c r="H49" s="10"/>
      <c r="I49" s="10">
        <f t="shared" si="8"/>
        <v>2560</v>
      </c>
      <c r="J49" s="10">
        <f t="shared" si="6"/>
        <v>64288653676.330254</v>
      </c>
      <c r="K49" s="11">
        <f t="shared" si="7"/>
        <v>2.1600000000000064E-2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11"/>
      <c r="H50" s="10"/>
      <c r="I50" s="10">
        <f t="shared" si="8"/>
        <v>2560</v>
      </c>
      <c r="J50" s="10">
        <f t="shared" si="6"/>
        <v>62929379088.028824</v>
      </c>
      <c r="K50" s="11">
        <f t="shared" si="7"/>
        <v>2.1400000000000086E-2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11"/>
      <c r="H51" s="10"/>
      <c r="I51" s="10">
        <f t="shared" si="8"/>
        <v>2560</v>
      </c>
      <c r="J51" s="10">
        <f t="shared" si="6"/>
        <v>61610905705.922089</v>
      </c>
      <c r="K51" s="11">
        <f t="shared" si="7"/>
        <v>2.1800000000000042E-2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11"/>
      <c r="H52" s="10"/>
      <c r="I52" s="10">
        <f t="shared" si="8"/>
        <v>2560</v>
      </c>
      <c r="J52" s="10">
        <f t="shared" si="6"/>
        <v>60296443243.219894</v>
      </c>
      <c r="K52" s="11">
        <f t="shared" si="7"/>
        <v>2.1700000000000053E-2</v>
      </c>
      <c r="L52" t="inlineStr">
        <is>
          <t xml:space="preserve">Arten Fiscal Crisis - trade &amp; financial fallout across the region.</t>
        </is>
      </c>
      <c r="M52" t="inlineStr">
        <is>
          <t xml:space="preserve">Arten Fiscal Crisis (1713-15): capital flight and imperial-debt default triggered by the Arten Revolution and the 1715 Declaration of Rights.</t>
        </is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11"/>
      <c r="H53" s="10"/>
      <c r="I53" s="10">
        <f t="shared" si="8"/>
        <v>2560</v>
      </c>
      <c r="J53" s="10">
        <f t="shared" si="6"/>
        <v>59015800375.080635</v>
      </c>
      <c r="K53" s="11">
        <f t="shared" si="7"/>
        <v>2.1400000000000086E-2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11"/>
      <c r="H54" s="10"/>
      <c r="I54" s="10">
        <f t="shared" si="8"/>
        <v>2560</v>
      </c>
      <c r="J54" s="10">
        <f t="shared" si="6"/>
        <v>57779322865.75351</v>
      </c>
      <c r="K54" s="11">
        <f t="shared" si="7"/>
        <v>2.120000000000033E-2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11"/>
      <c r="H55" s="10"/>
      <c r="I55" s="10">
        <f t="shared" si="8"/>
        <v>2560</v>
      </c>
      <c r="J55" s="10">
        <f t="shared" si="6"/>
        <v>56579830460.001465</v>
      </c>
      <c r="K55" s="11">
        <f t="shared" si="7"/>
        <v>2.0999999999999908E-2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11"/>
      <c r="H56" s="10"/>
      <c r="I56" s="10">
        <f t="shared" si="8"/>
        <v>2560</v>
      </c>
      <c r="J56" s="10">
        <f t="shared" si="6"/>
        <v>55416092517.141502</v>
      </c>
      <c r="K56" s="11">
        <f t="shared" si="7"/>
        <v>2.0599999999999952E-2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11"/>
      <c r="H57" s="10"/>
      <c r="I57" s="10">
        <f t="shared" si="8"/>
        <v>2560</v>
      </c>
      <c r="J57" s="10">
        <f t="shared" si="6"/>
        <v>54297562725.006378</v>
      </c>
      <c r="K57" s="11">
        <f t="shared" si="7"/>
        <v>1.9999999999999796E-2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11"/>
      <c r="H58" s="10"/>
      <c r="I58" s="10">
        <f t="shared" si="8"/>
        <v>2560</v>
      </c>
      <c r="J58" s="10">
        <f t="shared" si="6"/>
        <v>53232904632.3592</v>
      </c>
      <c r="K58" s="11">
        <f t="shared" si="7"/>
        <v>2.0000000000000018E-2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11"/>
      <c r="H59" s="10"/>
      <c r="I59" s="10">
        <f t="shared" si="8"/>
        <v>2560</v>
      </c>
      <c r="J59" s="10">
        <f t="shared" si="6"/>
        <v>52189122188.587448</v>
      </c>
      <c r="K59" s="11">
        <f t="shared" si="7"/>
        <v>2.0000000000000018E-2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11"/>
      <c r="H60" s="10"/>
      <c r="I60" s="10">
        <f t="shared" si="8"/>
        <v>2560</v>
      </c>
      <c r="J60" s="10">
        <f t="shared" si="6"/>
        <v>51165806067.242592</v>
      </c>
      <c r="K60" s="11">
        <f t="shared" si="7"/>
        <v>1.8999999999999906E-2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11"/>
      <c r="H61" s="10"/>
      <c r="I61" s="10">
        <f t="shared" si="8"/>
        <v>2560</v>
      </c>
      <c r="J61" s="10">
        <f t="shared" si="6"/>
        <v>50211782205.341118</v>
      </c>
      <c r="K61" s="11">
        <f t="shared" si="7"/>
        <v>1.8999999999999906E-2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11"/>
      <c r="H62" s="10"/>
      <c r="I62" s="10">
        <f t="shared" si="8"/>
        <v>2560</v>
      </c>
      <c r="J62" s="10">
        <f t="shared" si="6"/>
        <v>49275546815.840157</v>
      </c>
      <c r="K62" s="11">
        <f t="shared" si="7"/>
        <v>1.8999999999999684E-2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11"/>
      <c r="H63" s="10"/>
      <c r="I63" s="10">
        <f t="shared" si="8"/>
        <v>2560</v>
      </c>
      <c r="J63" s="10">
        <f t="shared" si="6"/>
        <v>48356768219.666504</v>
      </c>
      <c r="K63" s="11">
        <f t="shared" si="7"/>
        <v>1.8000000000000016E-2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11"/>
      <c r="H64" s="10"/>
      <c r="I64" s="10">
        <f t="shared" si="8"/>
        <v>2560</v>
      </c>
      <c r="J64" s="10">
        <f t="shared" si="6"/>
        <v>47501736954.485764</v>
      </c>
      <c r="K64" s="11">
        <f t="shared" si="7"/>
        <v>1.8000000000000238E-2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11"/>
      <c r="H65" s="10"/>
      <c r="I65" s="10">
        <f t="shared" si="8"/>
        <v>2560</v>
      </c>
      <c r="J65" s="10">
        <f t="shared" si="6"/>
        <v>46661824120.319992</v>
      </c>
      <c r="K65" s="11">
        <f t="shared" si="7"/>
        <v>1.6999999999999904E-2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6">
        <f>SUM(F2)</f>
        <v>88057485</v>
      </c>
      <c r="G66" s="11"/>
      <c r="H66" s="10"/>
      <c r="I66" s="10">
        <f t="shared" si="8"/>
        <v>2560</v>
      </c>
      <c r="J66" s="10">
        <f t="shared" ref="J66:J97" si="9">IF(I66="","",I66*C66)</f>
        <v>45881832960</v>
      </c>
      <c r="K66" s="11">
        <f t="shared" ref="K66:K97" si="10">IFERROR(J66/J67-1,"")</f>
        <v>1.6999999999999904E-2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11"/>
      <c r="H67" s="10"/>
      <c r="I67" s="10">
        <f t="shared" ref="I67:I98" si="11">IF(H67&lt;&gt;"",H67,I66/(1+IF(G66="",0,G66)))</f>
        <v>2560</v>
      </c>
      <c r="J67" s="10">
        <f t="shared" si="9"/>
        <v>45114880000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5">
        <v>347520587</v>
      </c>
      <c r="G2" s="11"/>
      <c r="H2" s="10"/>
      <c r="I2" s="10">
        <f>IF(H2&lt;&gt;"",H2,11861)</f>
        <v>11861</v>
      </c>
      <c r="J2" s="10">
        <f t="shared" ref="J2:J33" si="3">IF(I2="","",I2*C2)</f>
        <v>4121944076977.3179</v>
      </c>
      <c r="K2" s="11">
        <f t="shared" ref="K2:K33" si="4">IFERROR(J2/J3-1,"")</f>
        <v>2.3999999999999577E-3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11"/>
      <c r="H3" s="10"/>
      <c r="I3" s="10">
        <f t="shared" ref="I3:I34" si="5">IF(H3&lt;&gt;"",H3,I2/(1+IF(G2="",0,G2)))</f>
        <v>11861</v>
      </c>
      <c r="J3" s="10">
        <f t="shared" si="3"/>
        <v>4112075096745.1299</v>
      </c>
      <c r="K3" s="11">
        <f t="shared" si="4"/>
        <v>2.3999999999999577E-3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11"/>
      <c r="H4" s="10"/>
      <c r="I4" s="10">
        <f t="shared" si="5"/>
        <v>11861</v>
      </c>
      <c r="J4" s="10">
        <f t="shared" si="3"/>
        <v>4102229745356.2754</v>
      </c>
      <c r="K4" s="11">
        <f t="shared" si="4"/>
        <v>2.2999999999999687E-3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11"/>
      <c r="H5" s="10"/>
      <c r="I5" s="10">
        <f t="shared" si="5"/>
        <v>11861</v>
      </c>
      <c r="J5" s="10">
        <f t="shared" si="3"/>
        <v>4092816267940.0132</v>
      </c>
      <c r="K5" s="11">
        <f t="shared" si="4"/>
        <v>3.7000000000000366E-3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11"/>
      <c r="H6" s="10"/>
      <c r="I6" s="10">
        <f t="shared" si="5"/>
        <v>11861</v>
      </c>
      <c r="J6" s="10">
        <f t="shared" si="3"/>
        <v>4077728671854.1528</v>
      </c>
      <c r="K6" s="11">
        <f t="shared" si="4"/>
        <v>2.4999999999999467E-3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11"/>
      <c r="H7" s="10"/>
      <c r="I7" s="10">
        <f t="shared" si="5"/>
        <v>11861</v>
      </c>
      <c r="J7" s="10">
        <f t="shared" si="3"/>
        <v>4067559772423.0957</v>
      </c>
      <c r="K7" s="11">
        <f t="shared" si="4"/>
        <v>1.7000000000000348E-3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11"/>
      <c r="H8" s="10"/>
      <c r="I8" s="10">
        <f t="shared" si="5"/>
        <v>11861</v>
      </c>
      <c r="J8" s="10">
        <f t="shared" si="3"/>
        <v>4060656656107.7124</v>
      </c>
      <c r="K8" s="11">
        <f t="shared" si="4"/>
        <v>3.5000000000000586E-3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11"/>
      <c r="H9" s="10"/>
      <c r="I9" s="10">
        <f t="shared" si="5"/>
        <v>11861</v>
      </c>
      <c r="J9" s="10">
        <f t="shared" si="3"/>
        <v>4046493927361.9453</v>
      </c>
      <c r="K9" s="11">
        <f t="shared" si="4"/>
        <v>3.3000000000000806E-3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11"/>
      <c r="H10" s="10"/>
      <c r="I10" s="10">
        <f t="shared" si="5"/>
        <v>11861</v>
      </c>
      <c r="J10" s="10">
        <f t="shared" si="3"/>
        <v>4033184418779.9707</v>
      </c>
      <c r="K10" s="11">
        <f t="shared" si="4"/>
        <v>3.6000000000000476E-3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11"/>
      <c r="H11" s="10"/>
      <c r="I11" s="10">
        <f t="shared" si="5"/>
        <v>11861</v>
      </c>
      <c r="J11" s="10">
        <f t="shared" si="3"/>
        <v>4018717037445.168</v>
      </c>
      <c r="K11" s="11">
        <f t="shared" si="4"/>
        <v>4.4999999999999485E-3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11"/>
      <c r="H12" s="10"/>
      <c r="I12" s="10">
        <f t="shared" si="5"/>
        <v>11861</v>
      </c>
      <c r="J12" s="10">
        <f t="shared" si="3"/>
        <v>4000713825231.6255</v>
      </c>
      <c r="K12" s="11">
        <f t="shared" si="4"/>
        <v>3.4000000000000696E-3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11"/>
      <c r="H13" s="10"/>
      <c r="I13" s="10">
        <f t="shared" si="5"/>
        <v>11861</v>
      </c>
      <c r="J13" s="10">
        <f t="shared" si="3"/>
        <v>3987157489766.4194</v>
      </c>
      <c r="K13" s="11">
        <f t="shared" si="4"/>
        <v>3.6000000000000476E-3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11"/>
      <c r="H14" s="10"/>
      <c r="I14" s="10">
        <f t="shared" si="5"/>
        <v>11861</v>
      </c>
      <c r="J14" s="10">
        <f t="shared" si="3"/>
        <v>3972855211006.7944</v>
      </c>
      <c r="K14" s="11">
        <f t="shared" si="4"/>
        <v>3.6000000000000476E-3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11"/>
      <c r="H15" s="10"/>
      <c r="I15" s="10">
        <f t="shared" si="5"/>
        <v>11861</v>
      </c>
      <c r="J15" s="10">
        <f t="shared" si="3"/>
        <v>3958604235758.0654</v>
      </c>
      <c r="K15" s="11">
        <f t="shared" si="4"/>
        <v>4.9999999999998934E-3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11"/>
      <c r="H16" s="10"/>
      <c r="I16" s="10">
        <f t="shared" si="5"/>
        <v>11861</v>
      </c>
      <c r="J16" s="10">
        <f t="shared" si="3"/>
        <v>3938909687321.4585</v>
      </c>
      <c r="K16" s="11">
        <f t="shared" si="4"/>
        <v>5.7000000000000384E-3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11"/>
      <c r="H17" s="10"/>
      <c r="I17" s="10">
        <f t="shared" si="5"/>
        <v>11861</v>
      </c>
      <c r="J17" s="10">
        <f t="shared" si="3"/>
        <v>3916585151955.313</v>
      </c>
      <c r="K17" s="11">
        <f t="shared" si="4"/>
        <v>4.3999999999999595E-3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11"/>
      <c r="H18" s="10"/>
      <c r="I18" s="10">
        <f t="shared" si="5"/>
        <v>11861</v>
      </c>
      <c r="J18" s="10">
        <f t="shared" si="3"/>
        <v>3899427670206.4053</v>
      </c>
      <c r="K18" s="11">
        <f t="shared" si="4"/>
        <v>7.2000000000003173E-3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11"/>
      <c r="H19" s="10"/>
      <c r="I19" s="10">
        <f t="shared" si="5"/>
        <v>11861</v>
      </c>
      <c r="J19" s="10">
        <f t="shared" si="3"/>
        <v>3871552492262.1172</v>
      </c>
      <c r="K19" s="11">
        <f t="shared" si="4"/>
        <v>6.7999999999999172E-3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11"/>
      <c r="H20" s="10"/>
      <c r="I20" s="10">
        <f t="shared" si="5"/>
        <v>11861</v>
      </c>
      <c r="J20" s="10">
        <f t="shared" si="3"/>
        <v>3845403746783.9863</v>
      </c>
      <c r="K20" s="11">
        <f t="shared" si="4"/>
        <v>8.0999999999999961E-3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11"/>
      <c r="H21" s="10"/>
      <c r="I21" s="10">
        <f t="shared" si="5"/>
        <v>11861</v>
      </c>
      <c r="J21" s="10">
        <f t="shared" si="3"/>
        <v>3814506246189.8486</v>
      </c>
      <c r="K21" s="11">
        <f t="shared" si="4"/>
        <v>8.0000000000000071E-3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11"/>
      <c r="H22" s="10"/>
      <c r="I22" s="10">
        <f t="shared" si="5"/>
        <v>11861</v>
      </c>
      <c r="J22" s="10">
        <f t="shared" si="3"/>
        <v>3784232387093.104</v>
      </c>
      <c r="K22" s="11">
        <f t="shared" si="4"/>
        <v>8.0999999999999961E-3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11"/>
      <c r="H23" s="10"/>
      <c r="I23" s="10">
        <f t="shared" si="5"/>
        <v>11861</v>
      </c>
      <c r="J23" s="10">
        <f t="shared" si="3"/>
        <v>3753826393307.3145</v>
      </c>
      <c r="K23" s="11">
        <f t="shared" si="4"/>
        <v>8.3999999999999631E-3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11"/>
      <c r="H24" s="10"/>
      <c r="I24" s="10">
        <f t="shared" si="5"/>
        <v>11861</v>
      </c>
      <c r="J24" s="10">
        <f t="shared" si="3"/>
        <v>3722556915219.4707</v>
      </c>
      <c r="K24" s="11">
        <f t="shared" si="4"/>
        <v>8.799999999999919E-3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11"/>
      <c r="H25" s="10"/>
      <c r="I25" s="10">
        <f t="shared" si="5"/>
        <v>11861</v>
      </c>
      <c r="J25" s="10">
        <f t="shared" si="3"/>
        <v>3690084174484.0117</v>
      </c>
      <c r="K25" s="11">
        <f t="shared" si="4"/>
        <v>9.5000000000000639E-3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11"/>
      <c r="H26" s="10"/>
      <c r="I26" s="10">
        <f t="shared" si="5"/>
        <v>11861</v>
      </c>
      <c r="J26" s="10">
        <f t="shared" si="3"/>
        <v>3655358270910.3628</v>
      </c>
      <c r="K26" s="11">
        <f t="shared" si="4"/>
        <v>9.7000000000000419E-3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11"/>
      <c r="H27" s="10"/>
      <c r="I27" s="10">
        <f t="shared" si="5"/>
        <v>11861</v>
      </c>
      <c r="J27" s="10">
        <f t="shared" si="3"/>
        <v>3620241924245.1846</v>
      </c>
      <c r="K27" s="11">
        <f t="shared" si="4"/>
        <v>8.3999999999999631E-3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11"/>
      <c r="H28" s="10"/>
      <c r="I28" s="10">
        <f t="shared" si="5"/>
        <v>11861</v>
      </c>
      <c r="J28" s="10">
        <f t="shared" si="3"/>
        <v>3590085208493.8364</v>
      </c>
      <c r="K28" s="11">
        <f t="shared" si="4"/>
        <v>8.799999999999919E-3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11"/>
      <c r="H29" s="10"/>
      <c r="I29" s="10">
        <f t="shared" si="5"/>
        <v>11861</v>
      </c>
      <c r="J29" s="10">
        <f t="shared" si="3"/>
        <v>3558768049656.8564</v>
      </c>
      <c r="K29" s="11">
        <f t="shared" si="4"/>
        <v>1.0400000000000187E-2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11"/>
      <c r="H30" s="10"/>
      <c r="I30" s="10">
        <f t="shared" si="5"/>
        <v>11861</v>
      </c>
      <c r="J30" s="10">
        <f t="shared" si="3"/>
        <v>3522137816366.6431</v>
      </c>
      <c r="K30" s="11">
        <f t="shared" si="4"/>
        <v>1.0199999999999987E-2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11"/>
      <c r="H31" s="10"/>
      <c r="I31" s="10">
        <f t="shared" si="5"/>
        <v>11861</v>
      </c>
      <c r="J31" s="10">
        <f t="shared" si="3"/>
        <v>3486574753877.0967</v>
      </c>
      <c r="K31" s="11">
        <f t="shared" si="4"/>
        <v>1.2899999999999912E-2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11"/>
      <c r="H32" s="10"/>
      <c r="I32" s="10">
        <f t="shared" si="5"/>
        <v>11861</v>
      </c>
      <c r="J32" s="10">
        <f t="shared" si="3"/>
        <v>3442170751186.7876</v>
      </c>
      <c r="K32" s="11">
        <f t="shared" si="4"/>
        <v>1.2999999999999901E-2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11"/>
      <c r="H33" s="10"/>
      <c r="I33" s="10">
        <f t="shared" si="5"/>
        <v>11861</v>
      </c>
      <c r="J33" s="10">
        <f t="shared" si="3"/>
        <v>3397996792879.3564</v>
      </c>
      <c r="K33" s="11">
        <f t="shared" si="4"/>
        <v>1.4299999999999757E-2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11"/>
      <c r="H34" s="10"/>
      <c r="I34" s="10">
        <f t="shared" si="5"/>
        <v>11861</v>
      </c>
      <c r="J34" s="10">
        <f t="shared" ref="J34:J65" si="6">IF(I34="","",I34*C34)</f>
        <v>3350090498747.271</v>
      </c>
      <c r="K34" s="11">
        <f t="shared" ref="K34:K65" si="7">IFERROR(J34/J35-1,"")</f>
        <v>1.5300000000000091E-2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11"/>
      <c r="H35" s="10"/>
      <c r="I35" s="10">
        <f t="shared" ref="I35:I66" si="8">IF(H35&lt;&gt;"",H35,I34/(1+IF(G34="",0,G34)))</f>
        <v>11861</v>
      </c>
      <c r="J35" s="10">
        <f t="shared" si="6"/>
        <v>3299606519006.4717</v>
      </c>
      <c r="K35" s="11">
        <f t="shared" si="7"/>
        <v>1.6299999999999981E-2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11"/>
      <c r="H36" s="10"/>
      <c r="I36" s="10">
        <f t="shared" si="8"/>
        <v>11861</v>
      </c>
      <c r="J36" s="10">
        <f t="shared" si="6"/>
        <v>3246685544629.0186</v>
      </c>
      <c r="K36" s="11">
        <f t="shared" si="7"/>
        <v>1.7199999999999882E-2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11"/>
      <c r="H37" s="10"/>
      <c r="I37" s="10">
        <f t="shared" si="8"/>
        <v>11861</v>
      </c>
      <c r="J37" s="10">
        <f t="shared" si="6"/>
        <v>3191786811471.7056</v>
      </c>
      <c r="K37" s="11">
        <f t="shared" si="7"/>
        <v>1.859999999999995E-2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11"/>
      <c r="H38" s="10"/>
      <c r="I38" s="10">
        <f t="shared" si="8"/>
        <v>11861</v>
      </c>
      <c r="J38" s="10">
        <f t="shared" si="6"/>
        <v>3133503643698.9058</v>
      </c>
      <c r="K38" s="11">
        <f t="shared" si="7"/>
        <v>2.0599999999999952E-2</v>
      </c>
      <c r="L38" t="inlineStr">
        <is>
          <t xml:space="preserve">Massiran Credit Crisis - oil-price collapse -&gt; inflation &amp; deadly food riots.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11"/>
      <c r="H39" s="10"/>
      <c r="I39" s="10">
        <f t="shared" si="8"/>
        <v>11861</v>
      </c>
      <c r="J39" s="10">
        <f t="shared" si="6"/>
        <v>3070256362628.7534</v>
      </c>
      <c r="K39" s="11">
        <f t="shared" si="7"/>
        <v>2.0599999999999952E-2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11"/>
      <c r="H40" s="10"/>
      <c r="I40" s="10">
        <f t="shared" si="8"/>
        <v>11861</v>
      </c>
      <c r="J40" s="10">
        <f t="shared" si="6"/>
        <v>3008285677668.7769</v>
      </c>
      <c r="K40" s="11">
        <f t="shared" si="7"/>
        <v>2.0499999999999963E-2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11"/>
      <c r="H41" s="10"/>
      <c r="I41" s="10">
        <f t="shared" si="8"/>
        <v>11861</v>
      </c>
      <c r="J41" s="10">
        <f t="shared" si="6"/>
        <v>2947854657196.2539</v>
      </c>
      <c r="K41" s="11">
        <f t="shared" si="7"/>
        <v>2.0899999999999919E-2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11"/>
      <c r="H42" s="10"/>
      <c r="I42" s="10">
        <f t="shared" si="8"/>
        <v>11861</v>
      </c>
      <c r="J42" s="10">
        <f t="shared" si="6"/>
        <v>2887505786263.3501</v>
      </c>
      <c r="K42" s="11">
        <f t="shared" si="7"/>
        <v>1.6100000000000003E-2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11"/>
      <c r="H43" s="10"/>
      <c r="I43" s="10">
        <f t="shared" si="8"/>
        <v>11861</v>
      </c>
      <c r="J43" s="10">
        <f t="shared" si="6"/>
        <v>2841753554043.2539</v>
      </c>
      <c r="K43" s="11">
        <f t="shared" si="7"/>
        <v>1.880000000000015E-2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11"/>
      <c r="H44" s="10"/>
      <c r="I44" s="10">
        <f t="shared" si="8"/>
        <v>11861</v>
      </c>
      <c r="J44" s="10">
        <f t="shared" si="6"/>
        <v>2789314442523.8062</v>
      </c>
      <c r="K44" s="11">
        <f t="shared" si="7"/>
        <v>2.0099999999999785E-2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11"/>
      <c r="H45" s="10"/>
      <c r="I45" s="10">
        <f t="shared" si="8"/>
        <v>11861</v>
      </c>
      <c r="J45" s="10">
        <f t="shared" si="6"/>
        <v>2734353928559.7554</v>
      </c>
      <c r="K45" s="11">
        <f t="shared" si="7"/>
        <v>2.1099999999999897E-2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11"/>
      <c r="H46" s="10"/>
      <c r="I46" s="10">
        <f t="shared" si="8"/>
        <v>11861</v>
      </c>
      <c r="J46" s="10">
        <f t="shared" si="6"/>
        <v>2677851266829.6499</v>
      </c>
      <c r="K46" s="11">
        <f t="shared" si="7"/>
        <v>2.1999999999999797E-2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11"/>
      <c r="H47" s="10"/>
      <c r="I47" s="10">
        <f t="shared" si="8"/>
        <v>11861</v>
      </c>
      <c r="J47" s="10">
        <f t="shared" si="6"/>
        <v>2620206719011.3994</v>
      </c>
      <c r="K47" s="11">
        <f t="shared" si="7"/>
        <v>1.880000000000015E-2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11"/>
      <c r="H48" s="10"/>
      <c r="I48" s="10">
        <f t="shared" si="8"/>
        <v>11861</v>
      </c>
      <c r="J48" s="10">
        <f t="shared" si="6"/>
        <v>2571855829418.3345</v>
      </c>
      <c r="K48" s="11">
        <f t="shared" si="7"/>
        <v>2.1099999999999897E-2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11"/>
      <c r="H49" s="10"/>
      <c r="I49" s="10">
        <f t="shared" si="8"/>
        <v>11861</v>
      </c>
      <c r="J49" s="10">
        <f t="shared" si="6"/>
        <v>2518711026753.8291</v>
      </c>
      <c r="K49" s="11">
        <f t="shared" si="7"/>
        <v>2.1800000000000264E-2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11"/>
      <c r="H50" s="10"/>
      <c r="I50" s="10">
        <f t="shared" si="8"/>
        <v>11861</v>
      </c>
      <c r="J50" s="10">
        <f t="shared" si="6"/>
        <v>2464974580890.4175</v>
      </c>
      <c r="K50" s="11">
        <f t="shared" si="7"/>
        <v>2.2899999999999698E-2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11"/>
      <c r="H51" s="10"/>
      <c r="I51" s="10">
        <f t="shared" si="8"/>
        <v>11861</v>
      </c>
      <c r="J51" s="10">
        <f t="shared" si="6"/>
        <v>2409790381161.8125</v>
      </c>
      <c r="K51" s="11">
        <f t="shared" si="7"/>
        <v>3.0299999999999994E-2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11"/>
      <c r="H52" s="10"/>
      <c r="I52" s="10">
        <f t="shared" si="8"/>
        <v>11861</v>
      </c>
      <c r="J52" s="10">
        <f t="shared" si="6"/>
        <v>2338921072660.208</v>
      </c>
      <c r="K52" s="11">
        <f t="shared" si="7"/>
        <v>3.1700000000000061E-2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11"/>
      <c r="H53" s="10"/>
      <c r="I53" s="10">
        <f t="shared" si="8"/>
        <v>11861</v>
      </c>
      <c r="J53" s="10">
        <f t="shared" si="6"/>
        <v>2267055415973.8374</v>
      </c>
      <c r="K53" s="11">
        <f t="shared" si="7"/>
        <v>3.3099999999999907E-2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11"/>
      <c r="H54" s="10"/>
      <c r="I54" s="10">
        <f t="shared" si="8"/>
        <v>11861</v>
      </c>
      <c r="J54" s="10">
        <f t="shared" si="6"/>
        <v>2194420110322.1738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11"/>
      <c r="H55" s="10"/>
      <c r="I55" s="10">
        <f t="shared" si="8"/>
        <v>11861</v>
      </c>
      <c r="J55" s="10">
        <f t="shared" si="6"/>
        <v>2121442488710.5315</v>
      </c>
      <c r="K55" s="11">
        <f t="shared" si="7"/>
        <v>3.5099999999999909E-2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11"/>
      <c r="H56" s="10"/>
      <c r="I56" s="10">
        <f t="shared" si="8"/>
        <v>11861</v>
      </c>
      <c r="J56" s="10">
        <f t="shared" si="6"/>
        <v>2049504867849.0308</v>
      </c>
      <c r="K56" s="11">
        <f t="shared" si="7"/>
        <v>3.5800000000000054E-2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11"/>
      <c r="H57" s="10"/>
      <c r="I57" s="10">
        <f t="shared" si="8"/>
        <v>11861</v>
      </c>
      <c r="J57" s="10">
        <f t="shared" si="6"/>
        <v>1978668534320.3616</v>
      </c>
      <c r="K57" s="11">
        <f t="shared" si="7"/>
        <v>3.6599999999999744E-2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11"/>
      <c r="H58" s="10"/>
      <c r="I58" s="10">
        <f t="shared" si="8"/>
        <v>11861</v>
      </c>
      <c r="J58" s="10">
        <f t="shared" si="6"/>
        <v>1908806226432.9172</v>
      </c>
      <c r="K58" s="11">
        <f t="shared" si="7"/>
        <v>3.7600000000000078E-2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11"/>
      <c r="H59" s="10"/>
      <c r="I59" s="10">
        <f t="shared" si="8"/>
        <v>11861</v>
      </c>
      <c r="J59" s="10">
        <f t="shared" si="6"/>
        <v>1839635915991.6316</v>
      </c>
      <c r="K59" s="11">
        <f t="shared" si="7"/>
        <v>3.8699999999999957E-2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11"/>
      <c r="H60" s="10"/>
      <c r="I60" s="10">
        <f t="shared" si="8"/>
        <v>11861</v>
      </c>
      <c r="J60" s="10">
        <f t="shared" si="6"/>
        <v>1771094556649.3035</v>
      </c>
      <c r="K60" s="11">
        <f t="shared" si="7"/>
        <v>4.0100000000000025E-2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11"/>
      <c r="H61" s="10"/>
      <c r="I61" s="10">
        <f t="shared" si="8"/>
        <v>11861</v>
      </c>
      <c r="J61" s="10">
        <f t="shared" si="6"/>
        <v>1702811803335.5479</v>
      </c>
      <c r="K61" s="11">
        <f t="shared" si="7"/>
        <v>3.960000000000008E-2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11"/>
      <c r="H62" s="10"/>
      <c r="I62" s="10">
        <f t="shared" si="8"/>
        <v>11861</v>
      </c>
      <c r="J62" s="10">
        <f t="shared" si="6"/>
        <v>1637949022061.8967</v>
      </c>
      <c r="K62" s="11">
        <f t="shared" si="7"/>
        <v>3.8299999999999779E-2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11"/>
      <c r="H63" s="10"/>
      <c r="I63" s="10">
        <f t="shared" si="8"/>
        <v>11861</v>
      </c>
      <c r="J63" s="10">
        <f t="shared" si="6"/>
        <v>1577529636966.0955</v>
      </c>
      <c r="K63" s="11">
        <f t="shared" si="7"/>
        <v>3.7000000000000144E-2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11"/>
      <c r="H64" s="10"/>
      <c r="I64" s="10">
        <f t="shared" si="8"/>
        <v>11861</v>
      </c>
      <c r="J64" s="10">
        <f t="shared" si="6"/>
        <v>1521243622918.1248</v>
      </c>
      <c r="K64" s="11">
        <f t="shared" si="7"/>
        <v>3.6499999999999755E-2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11"/>
      <c r="H65" s="10"/>
      <c r="I65" s="10">
        <f t="shared" si="8"/>
        <v>11861</v>
      </c>
      <c r="J65" s="10">
        <f t="shared" si="6"/>
        <v>1467673538753.6179</v>
      </c>
      <c r="K65" s="11">
        <f t="shared" si="7"/>
        <v>3.6299999999999999E-2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6">
        <f>SUM(F2)</f>
        <v>347520587</v>
      </c>
      <c r="G66" s="11"/>
      <c r="H66" s="10"/>
      <c r="I66" s="10">
        <f t="shared" si="8"/>
        <v>11861</v>
      </c>
      <c r="J66" s="10">
        <f t="shared" ref="J66:J97" si="9">IF(I66="","",I66*C66)</f>
        <v>1416263185133.2798</v>
      </c>
      <c r="K66" s="11">
        <f t="shared" ref="K66:K97" si="10">IFERROR(J66/J67-1,"")</f>
        <v>3.5199999999999898E-2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11"/>
      <c r="H67" s="10"/>
      <c r="I67" s="10">
        <f t="shared" ref="I67:I98" si="11">IF(H67&lt;&gt;"",H67,I66/(1+IF(G66="",0,G66)))</f>
        <v>11861</v>
      </c>
      <c r="J67" s="10">
        <f t="shared" si="9"/>
        <v>1368105858900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5">
        <v>2646840</v>
      </c>
      <c r="G2" s="11"/>
      <c r="H2" s="10"/>
      <c r="I2" s="10">
        <f>IF(H2&lt;&gt;"",H2,40476)</f>
        <v>40476</v>
      </c>
      <c r="J2" s="10">
        <f t="shared" ref="J2:J33" si="3">IF(I2="","",I2*C2)</f>
        <v>107122064473.40579</v>
      </c>
      <c r="K2" s="11">
        <f t="shared" ref="K2:K33" si="4">IFERROR(J2/J3-1,"")</f>
        <v>1.9300000000000095E-2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11"/>
      <c r="H3" s="10"/>
      <c r="I3" s="10">
        <f t="shared" ref="I3:I34" si="5">IF(H3&lt;&gt;"",H3,I2/(1+IF(G2="",0,G2)))</f>
        <v>40476</v>
      </c>
      <c r="J3" s="10">
        <f t="shared" si="3"/>
        <v>105093755001.86971</v>
      </c>
      <c r="K3" s="11">
        <f t="shared" si="4"/>
        <v>1.9200000000000106E-2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11"/>
      <c r="H4" s="10"/>
      <c r="I4" s="10">
        <f t="shared" si="5"/>
        <v>40476</v>
      </c>
      <c r="J4" s="10">
        <f t="shared" si="3"/>
        <v>103113966838.56917</v>
      </c>
      <c r="K4" s="11">
        <f t="shared" si="4"/>
        <v>1.9099999999999895E-2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11"/>
      <c r="H5" s="10"/>
      <c r="I5" s="10">
        <f t="shared" si="5"/>
        <v>40476</v>
      </c>
      <c r="J5" s="10">
        <f t="shared" si="3"/>
        <v>101181402059.23775</v>
      </c>
      <c r="K5" s="11">
        <f t="shared" si="4"/>
        <v>1.9099999999999895E-2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11"/>
      <c r="H6" s="10"/>
      <c r="I6" s="10">
        <f t="shared" si="5"/>
        <v>40476</v>
      </c>
      <c r="J6" s="10">
        <f t="shared" si="3"/>
        <v>99285057461.718918</v>
      </c>
      <c r="K6" s="11">
        <f t="shared" si="4"/>
        <v>2.1600000000000064E-2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11"/>
      <c r="H7" s="10"/>
      <c r="I7" s="10">
        <f t="shared" si="5"/>
        <v>40476</v>
      </c>
      <c r="J7" s="10">
        <f t="shared" si="3"/>
        <v>97185843247.571365</v>
      </c>
      <c r="K7" s="11">
        <f t="shared" si="4"/>
        <v>2.3499999999999854E-2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11"/>
      <c r="H8" s="10"/>
      <c r="I8" s="10">
        <f t="shared" si="5"/>
        <v>40476</v>
      </c>
      <c r="J8" s="10">
        <f t="shared" si="3"/>
        <v>94954414506.664749</v>
      </c>
      <c r="K8" s="11">
        <f t="shared" si="4"/>
        <v>2.4400000000000199E-2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11"/>
      <c r="H9" s="10"/>
      <c r="I9" s="10">
        <f t="shared" si="5"/>
        <v>40476</v>
      </c>
      <c r="J9" s="10">
        <f t="shared" si="3"/>
        <v>92692712325.912476</v>
      </c>
      <c r="K9" s="11">
        <f t="shared" si="4"/>
        <v>2.5500000000000078E-2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11"/>
      <c r="H10" s="10"/>
      <c r="I10" s="10">
        <f t="shared" si="5"/>
        <v>40476</v>
      </c>
      <c r="J10" s="10">
        <f t="shared" si="3"/>
        <v>90387822843.405624</v>
      </c>
      <c r="K10" s="11">
        <f t="shared" si="4"/>
        <v>2.6100000000000012E-2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11"/>
      <c r="H11" s="10"/>
      <c r="I11" s="10">
        <f t="shared" si="5"/>
        <v>40476</v>
      </c>
      <c r="J11" s="10">
        <f t="shared" si="3"/>
        <v>88088707575.680359</v>
      </c>
      <c r="K11" s="11">
        <f t="shared" si="4"/>
        <v>2.6399999999999979E-2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11"/>
      <c r="H12" s="10"/>
      <c r="I12" s="10">
        <f t="shared" si="5"/>
        <v>40476</v>
      </c>
      <c r="J12" s="10">
        <f t="shared" si="3"/>
        <v>85822980880.436829</v>
      </c>
      <c r="K12" s="11">
        <f t="shared" si="4"/>
        <v>2.6699999999999946E-2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11"/>
      <c r="H13" s="10"/>
      <c r="I13" s="10">
        <f t="shared" si="5"/>
        <v>40476</v>
      </c>
      <c r="J13" s="10">
        <f t="shared" si="3"/>
        <v>83591098549.173889</v>
      </c>
      <c r="K13" s="11">
        <f t="shared" si="4"/>
        <v>2.7300000000000102E-2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11"/>
      <c r="H14" s="10"/>
      <c r="I14" s="10">
        <f t="shared" si="5"/>
        <v>40476</v>
      </c>
      <c r="J14" s="10">
        <f t="shared" si="3"/>
        <v>81369705586.658112</v>
      </c>
      <c r="K14" s="11">
        <f t="shared" si="4"/>
        <v>2.8000000000000025E-2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11"/>
      <c r="H15" s="10"/>
      <c r="I15" s="10">
        <f t="shared" si="5"/>
        <v>40476</v>
      </c>
      <c r="J15" s="10">
        <f t="shared" si="3"/>
        <v>79153410103.753021</v>
      </c>
      <c r="K15" s="11">
        <f t="shared" si="4"/>
        <v>2.8399999999999981E-2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11"/>
      <c r="H16" s="10"/>
      <c r="I16" s="10">
        <f t="shared" si="5"/>
        <v>40476</v>
      </c>
      <c r="J16" s="10">
        <f t="shared" si="3"/>
        <v>76967532189.56926</v>
      </c>
      <c r="K16" s="11">
        <f t="shared" si="4"/>
        <v>1.980000000000004E-2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11"/>
      <c r="H17" s="10"/>
      <c r="I17" s="10">
        <f t="shared" si="5"/>
        <v>40476</v>
      </c>
      <c r="J17" s="10">
        <f t="shared" si="3"/>
        <v>75473163551.254425</v>
      </c>
      <c r="K17" s="11">
        <f t="shared" si="4"/>
        <v>1.5600000000000058E-2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11"/>
      <c r="H18" s="10"/>
      <c r="I18" s="10">
        <f t="shared" si="5"/>
        <v>40476</v>
      </c>
      <c r="J18" s="10">
        <f t="shared" si="3"/>
        <v>74313867222.582138</v>
      </c>
      <c r="K18" s="11">
        <f t="shared" si="4"/>
        <v>1.6999999999999904E-2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11"/>
      <c r="H19" s="10"/>
      <c r="I19" s="10">
        <f t="shared" si="5"/>
        <v>40476</v>
      </c>
      <c r="J19" s="10">
        <f t="shared" si="3"/>
        <v>73071649186.413116</v>
      </c>
      <c r="K19" s="11">
        <f t="shared" si="4"/>
        <v>1.7900000000000027E-2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11"/>
      <c r="H20" s="10"/>
      <c r="I20" s="10">
        <f t="shared" si="5"/>
        <v>40476</v>
      </c>
      <c r="J20" s="10">
        <f t="shared" si="3"/>
        <v>71786667832.216446</v>
      </c>
      <c r="K20" s="11">
        <f t="shared" si="4"/>
        <v>1.8999999999999906E-2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11"/>
      <c r="H21" s="10"/>
      <c r="I21" s="10">
        <f t="shared" si="5"/>
        <v>40476</v>
      </c>
      <c r="J21" s="10">
        <f t="shared" si="3"/>
        <v>70448152926.61084</v>
      </c>
      <c r="K21" s="11">
        <f t="shared" si="4"/>
        <v>2.0100000000000007E-2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11"/>
      <c r="H22" s="10"/>
      <c r="I22" s="10">
        <f t="shared" si="5"/>
        <v>40476</v>
      </c>
      <c r="J22" s="10">
        <f t="shared" si="3"/>
        <v>69060046001.971222</v>
      </c>
      <c r="K22" s="11">
        <f t="shared" si="4"/>
        <v>2.1300000000000097E-2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11"/>
      <c r="H23" s="10"/>
      <c r="I23" s="10">
        <f t="shared" si="5"/>
        <v>40476</v>
      </c>
      <c r="J23" s="10">
        <f t="shared" si="3"/>
        <v>67619745424.43084</v>
      </c>
      <c r="K23" s="11">
        <f t="shared" si="4"/>
        <v>2.2199999999999998E-2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11"/>
      <c r="H24" s="10"/>
      <c r="I24" s="10">
        <f t="shared" si="5"/>
        <v>40476</v>
      </c>
      <c r="J24" s="10">
        <f t="shared" si="3"/>
        <v>66151189028.009041</v>
      </c>
      <c r="K24" s="11">
        <f t="shared" si="4"/>
        <v>2.3400000000000087E-2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11"/>
      <c r="H25" s="10"/>
      <c r="I25" s="10">
        <f t="shared" si="5"/>
        <v>40476</v>
      </c>
      <c r="J25" s="10">
        <f t="shared" si="3"/>
        <v>64638644741.068047</v>
      </c>
      <c r="K25" s="11">
        <f t="shared" si="4"/>
        <v>2.4800000000000155E-2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11"/>
      <c r="H26" s="10"/>
      <c r="I26" s="10">
        <f t="shared" si="5"/>
        <v>40476</v>
      </c>
      <c r="J26" s="10">
        <f t="shared" si="3"/>
        <v>63074399630.238136</v>
      </c>
      <c r="K26" s="11">
        <f t="shared" si="4"/>
        <v>2.970000000000006E-2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11"/>
      <c r="H27" s="10"/>
      <c r="I27" s="10">
        <f t="shared" si="5"/>
        <v>40476</v>
      </c>
      <c r="J27" s="10">
        <f t="shared" si="3"/>
        <v>61255122492.219223</v>
      </c>
      <c r="K27" s="11">
        <f t="shared" si="4"/>
        <v>3.2899999999999929E-2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11"/>
      <c r="H28" s="10"/>
      <c r="I28" s="10">
        <f t="shared" si="5"/>
        <v>40476</v>
      </c>
      <c r="J28" s="10">
        <f t="shared" si="3"/>
        <v>59304020226.758865</v>
      </c>
      <c r="K28" s="11">
        <f t="shared" si="4"/>
        <v>3.6100000000000021E-2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11"/>
      <c r="H29" s="10"/>
      <c r="I29" s="10">
        <f t="shared" si="5"/>
        <v>40476</v>
      </c>
      <c r="J29" s="10">
        <f t="shared" si="3"/>
        <v>57237737888.967148</v>
      </c>
      <c r="K29" s="11">
        <f t="shared" si="4"/>
        <v>3.7900000000000267E-2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11"/>
      <c r="H30" s="10"/>
      <c r="I30" s="10">
        <f t="shared" si="5"/>
        <v>40476</v>
      </c>
      <c r="J30" s="10">
        <f t="shared" si="3"/>
        <v>55147642247.776413</v>
      </c>
      <c r="K30" s="11">
        <f t="shared" si="4"/>
        <v>3.8699999999999957E-2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11"/>
      <c r="H31" s="10"/>
      <c r="I31" s="10">
        <f t="shared" si="5"/>
        <v>40476</v>
      </c>
      <c r="J31" s="10">
        <f t="shared" si="3"/>
        <v>53092945265.98288</v>
      </c>
      <c r="K31" s="11">
        <f t="shared" si="4"/>
        <v>3.8699999999999957E-2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11"/>
      <c r="H32" s="10"/>
      <c r="I32" s="10">
        <f t="shared" si="5"/>
        <v>40476</v>
      </c>
      <c r="J32" s="10">
        <f t="shared" si="3"/>
        <v>51114802412.614693</v>
      </c>
      <c r="K32" s="11">
        <f t="shared" si="4"/>
        <v>3.8000000000000256E-2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11"/>
      <c r="H33" s="10"/>
      <c r="I33" s="10">
        <f t="shared" si="5"/>
        <v>40476</v>
      </c>
      <c r="J33" s="10">
        <f t="shared" si="3"/>
        <v>49243547603.675034</v>
      </c>
      <c r="K33" s="11">
        <f t="shared" si="4"/>
        <v>3.69999999999997E-2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11"/>
      <c r="H34" s="10"/>
      <c r="I34" s="10">
        <f t="shared" si="5"/>
        <v>40476</v>
      </c>
      <c r="J34" s="10">
        <f t="shared" ref="J34:J65" si="6">IF(I34="","",I34*C34)</f>
        <v>47486545423.023186</v>
      </c>
      <c r="K34" s="11">
        <f t="shared" ref="K34:K65" si="7">IFERROR(J34/J35-1,"")</f>
        <v>3.6000000000000254E-2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11"/>
      <c r="H35" s="10"/>
      <c r="I35" s="10">
        <f t="shared" ref="I35:I66" si="8">IF(H35&lt;&gt;"",H35,I34/(1+IF(G34="",0,G34)))</f>
        <v>40476</v>
      </c>
      <c r="J35" s="10">
        <f t="shared" si="6"/>
        <v>45836433806.006927</v>
      </c>
      <c r="K35" s="11">
        <f t="shared" si="7"/>
        <v>3.5099999999999909E-2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11"/>
      <c r="H36" s="10"/>
      <c r="I36" s="10">
        <f t="shared" si="8"/>
        <v>40476</v>
      </c>
      <c r="J36" s="10">
        <f t="shared" si="6"/>
        <v>44282131007.638809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11"/>
      <c r="H37" s="10"/>
      <c r="I37" s="10">
        <f t="shared" si="8"/>
        <v>40476</v>
      </c>
      <c r="J37" s="10">
        <f t="shared" si="6"/>
        <v>42934003303.896454</v>
      </c>
      <c r="K37" s="11">
        <f t="shared" si="7"/>
        <v>1.980000000000004E-2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11"/>
      <c r="H38" s="10"/>
      <c r="I38" s="10">
        <f t="shared" si="8"/>
        <v>40476</v>
      </c>
      <c r="J38" s="10">
        <f t="shared" si="6"/>
        <v>42100415085.209312</v>
      </c>
      <c r="K38" s="11">
        <f t="shared" si="7"/>
        <v>2.079999999999993E-2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11"/>
      <c r="H39" s="10"/>
      <c r="I39" s="10">
        <f t="shared" si="8"/>
        <v>40476</v>
      </c>
      <c r="J39" s="10">
        <f t="shared" si="6"/>
        <v>41242569636.76461</v>
      </c>
      <c r="K39" s="11">
        <f t="shared" si="7"/>
        <v>2.0599999999999952E-2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11"/>
      <c r="H40" s="10"/>
      <c r="I40" s="10">
        <f t="shared" si="8"/>
        <v>40476</v>
      </c>
      <c r="J40" s="10">
        <f t="shared" si="6"/>
        <v>40410121141.254761</v>
      </c>
      <c r="K40" s="11">
        <f t="shared" si="7"/>
        <v>1.9300000000000095E-2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11"/>
      <c r="H41" s="10"/>
      <c r="I41" s="10">
        <f t="shared" si="8"/>
        <v>40476</v>
      </c>
      <c r="J41" s="10">
        <f t="shared" si="6"/>
        <v>39644973159.28064</v>
      </c>
      <c r="K41" s="11">
        <f t="shared" si="7"/>
        <v>1.6899999999999693E-2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11"/>
      <c r="H42" s="10"/>
      <c r="I42" s="10">
        <f t="shared" si="8"/>
        <v>40476</v>
      </c>
      <c r="J42" s="10">
        <f t="shared" si="6"/>
        <v>38986107935.17617</v>
      </c>
      <c r="K42" s="11">
        <f t="shared" si="7"/>
        <v>1.3500000000000068E-2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11"/>
      <c r="H43" s="10"/>
      <c r="I43" s="10">
        <f t="shared" si="8"/>
        <v>40476</v>
      </c>
      <c r="J43" s="10">
        <f t="shared" si="6"/>
        <v>38466806053.454529</v>
      </c>
      <c r="K43" s="11">
        <f t="shared" si="7"/>
        <v>9.3999999999998529E-3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11"/>
      <c r="H44" s="10"/>
      <c r="I44" s="10">
        <f t="shared" si="8"/>
        <v>40476</v>
      </c>
      <c r="J44" s="10">
        <f t="shared" si="6"/>
        <v>38108585351.153687</v>
      </c>
      <c r="K44" s="11">
        <f t="shared" si="7"/>
        <v>2.0000000000000018E-2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11"/>
      <c r="H45" s="10"/>
      <c r="I45" s="10">
        <f t="shared" si="8"/>
        <v>40476</v>
      </c>
      <c r="J45" s="10">
        <f t="shared" si="6"/>
        <v>37361358187.405571</v>
      </c>
      <c r="K45" s="11">
        <f t="shared" si="7"/>
        <v>5.2100000000000035E-2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11"/>
      <c r="H46" s="10"/>
      <c r="I46" s="10">
        <f t="shared" si="8"/>
        <v>40476</v>
      </c>
      <c r="J46" s="10">
        <f t="shared" si="6"/>
        <v>35511223445.875458</v>
      </c>
      <c r="K46" s="11">
        <f t="shared" si="7"/>
        <v>1.980000000000004E-2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11"/>
      <c r="H47" s="10"/>
      <c r="I47" s="10">
        <f t="shared" si="8"/>
        <v>40476</v>
      </c>
      <c r="J47" s="10">
        <f t="shared" si="6"/>
        <v>34821752741.591934</v>
      </c>
      <c r="K47" s="11">
        <f t="shared" si="7"/>
        <v>2.6899999999999924E-2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11"/>
      <c r="H48" s="10"/>
      <c r="I48" s="10">
        <f t="shared" si="8"/>
        <v>40476</v>
      </c>
      <c r="J48" s="10">
        <f t="shared" si="6"/>
        <v>33909584907.578087</v>
      </c>
      <c r="K48" s="11">
        <f t="shared" si="7"/>
        <v>-1.0799999999999921E-2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11"/>
      <c r="H49" s="10"/>
      <c r="I49" s="10">
        <f t="shared" si="8"/>
        <v>40476</v>
      </c>
      <c r="J49" s="10">
        <f t="shared" si="6"/>
        <v>34279806821.247559</v>
      </c>
      <c r="K49" s="11">
        <f t="shared" si="7"/>
        <v>-9.7000000000001529E-3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11"/>
      <c r="H50" s="10"/>
      <c r="I50" s="10">
        <f t="shared" si="8"/>
        <v>40476</v>
      </c>
      <c r="J50" s="10">
        <f t="shared" si="6"/>
        <v>34615577927.140831</v>
      </c>
      <c r="K50" s="11">
        <f t="shared" si="7"/>
        <v>-9.4999999999999529E-3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11"/>
      <c r="H51" s="10"/>
      <c r="I51" s="10">
        <f t="shared" si="8"/>
        <v>40476</v>
      </c>
      <c r="J51" s="10">
        <f t="shared" si="6"/>
        <v>34947579936.537941</v>
      </c>
      <c r="K51" s="11">
        <f t="shared" si="7"/>
        <v>-9.7999999999999199E-3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11"/>
      <c r="H52" s="10"/>
      <c r="I52" s="10">
        <f t="shared" si="8"/>
        <v>40476</v>
      </c>
      <c r="J52" s="10">
        <f t="shared" si="6"/>
        <v>35293455803.411369</v>
      </c>
      <c r="K52" s="11">
        <f t="shared" si="7"/>
        <v>-1.0599999999999943E-2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11"/>
      <c r="H53" s="10"/>
      <c r="I53" s="10">
        <f t="shared" si="8"/>
        <v>40476</v>
      </c>
      <c r="J53" s="10">
        <f t="shared" si="6"/>
        <v>35671574493.037567</v>
      </c>
      <c r="K53" s="11">
        <f t="shared" si="7"/>
        <v>0.10000000000000009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11"/>
      <c r="H54" s="10"/>
      <c r="I54" s="10">
        <f t="shared" si="8"/>
        <v>40476</v>
      </c>
      <c r="J54" s="10">
        <f t="shared" si="6"/>
        <v>32428704084.579605</v>
      </c>
      <c r="K54" s="11">
        <f t="shared" si="7"/>
        <v>2.3500000000000076E-2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11"/>
      <c r="H55" s="10"/>
      <c r="I55" s="10">
        <f t="shared" si="8"/>
        <v>40476</v>
      </c>
      <c r="J55" s="10">
        <f t="shared" si="6"/>
        <v>31684127097.781734</v>
      </c>
      <c r="K55" s="11">
        <f t="shared" si="7"/>
        <v>2.4599999999999955E-2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11"/>
      <c r="H56" s="10"/>
      <c r="I56" s="10">
        <f t="shared" si="8"/>
        <v>40476</v>
      </c>
      <c r="J56" s="10">
        <f t="shared" si="6"/>
        <v>30923411182.687622</v>
      </c>
      <c r="K56" s="11">
        <f t="shared" si="7"/>
        <v>2.6600000000000179E-2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11"/>
      <c r="H57" s="10"/>
      <c r="I57" s="10">
        <f t="shared" si="8"/>
        <v>40476</v>
      </c>
      <c r="J57" s="10">
        <f t="shared" si="6"/>
        <v>30122161681.947807</v>
      </c>
      <c r="K57" s="11">
        <f t="shared" si="7"/>
        <v>-2.6499999999999968E-2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11"/>
      <c r="H58" s="10"/>
      <c r="I58" s="10">
        <f t="shared" si="8"/>
        <v>40476</v>
      </c>
      <c r="J58" s="10">
        <f t="shared" si="6"/>
        <v>30942128075.960766</v>
      </c>
      <c r="K58" s="11">
        <f t="shared" si="7"/>
        <v>-3.1599999999999961E-2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11"/>
      <c r="H59" s="10"/>
      <c r="I59" s="10">
        <f t="shared" si="8"/>
        <v>40476</v>
      </c>
      <c r="J59" s="10">
        <f t="shared" si="6"/>
        <v>31951805117.679436</v>
      </c>
      <c r="K59" s="11">
        <f t="shared" si="7"/>
        <v>-2.6399999999999868E-2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11"/>
      <c r="H60" s="10"/>
      <c r="I60" s="10">
        <f t="shared" si="8"/>
        <v>40476</v>
      </c>
      <c r="J60" s="10">
        <f t="shared" si="6"/>
        <v>32818205749.465317</v>
      </c>
      <c r="K60" s="11">
        <f t="shared" si="7"/>
        <v>-2.2300000000000098E-2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11"/>
      <c r="H61" s="10"/>
      <c r="I61" s="10">
        <f t="shared" si="8"/>
        <v>40476</v>
      </c>
      <c r="J61" s="10">
        <f t="shared" si="6"/>
        <v>33566744143.873703</v>
      </c>
      <c r="K61" s="11">
        <f t="shared" si="7"/>
        <v>-1.9700000000000051E-2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11"/>
      <c r="H62" s="10"/>
      <c r="I62" s="10">
        <f t="shared" si="8"/>
        <v>40476</v>
      </c>
      <c r="J62" s="10">
        <f t="shared" si="6"/>
        <v>34241297708.735802</v>
      </c>
      <c r="K62" s="11">
        <f t="shared" si="7"/>
        <v>-1.4000000000000012E-2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11"/>
      <c r="H63" s="10"/>
      <c r="I63" s="10">
        <f t="shared" si="8"/>
        <v>40476</v>
      </c>
      <c r="J63" s="10">
        <f t="shared" si="6"/>
        <v>34727482463.220894</v>
      </c>
      <c r="K63" s="11">
        <f t="shared" si="7"/>
        <v>-1.0699999999999821E-2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11"/>
      <c r="H64" s="10"/>
      <c r="I64" s="10">
        <f t="shared" si="8"/>
        <v>40476</v>
      </c>
      <c r="J64" s="10">
        <f t="shared" si="6"/>
        <v>35103085477.83371</v>
      </c>
      <c r="K64" s="11">
        <f t="shared" si="7"/>
        <v>-6.6000000000001613E-3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11"/>
      <c r="H65" s="10"/>
      <c r="I65" s="10">
        <f t="shared" si="8"/>
        <v>40476</v>
      </c>
      <c r="J65" s="10">
        <f t="shared" si="6"/>
        <v>35336305091.437202</v>
      </c>
      <c r="K65" s="11">
        <f t="shared" si="7"/>
        <v>-1.4999999999998348E-3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6">
        <f>SUM(F2)</f>
        <v>2646840</v>
      </c>
      <c r="G66" s="11"/>
      <c r="H66" s="10"/>
      <c r="I66" s="10">
        <f t="shared" si="8"/>
        <v>40476</v>
      </c>
      <c r="J66" s="10">
        <f t="shared" ref="J66:J97" si="9">IF(I66="","",I66*C66)</f>
        <v>35389389175.199997</v>
      </c>
      <c r="K66" s="11">
        <f t="shared" ref="K66:K97" si="10">IFERROR(J66/J67-1,"")</f>
        <v>4.3999999999999595E-3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11"/>
      <c r="H67" s="10"/>
      <c r="I67" s="10">
        <f t="shared" ref="I67:I98" si="11">IF(H67&lt;&gt;"",H67,I66/(1+IF(G66="",0,G66)))</f>
        <v>40476</v>
      </c>
      <c r="J67" s="10">
        <f t="shared" si="9"/>
        <v>35234358000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5">
        <v>27120468</v>
      </c>
      <c r="G2" s="11"/>
      <c r="H2" s="10"/>
      <c r="I2" s="10">
        <f>IF(H2&lt;&gt;"",H2,1865)</f>
        <v>1865</v>
      </c>
      <c r="J2" s="10">
        <f t="shared" ref="J2:J33" si="3">IF(I2="","",I2*C2)</f>
        <v>49948920084.915398</v>
      </c>
      <c r="K2" s="11">
        <f t="shared" ref="K2:K33" si="4">IFERROR(J2/J3-1,"")</f>
        <v>1.4799999999999702E-2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11"/>
      <c r="H3" s="10"/>
      <c r="I3" s="10">
        <f t="shared" ref="I3:I34" si="5">IF(H3&lt;&gt;"",H3,I2/(1+IF(G2="",0,G2)))</f>
        <v>1865</v>
      </c>
      <c r="J3" s="10">
        <f t="shared" si="3"/>
        <v>49220457316.629295</v>
      </c>
      <c r="K3" s="11">
        <f t="shared" si="4"/>
        <v>1.639999999999997E-2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11"/>
      <c r="H4" s="10"/>
      <c r="I4" s="10">
        <f t="shared" si="5"/>
        <v>1865</v>
      </c>
      <c r="J4" s="10">
        <f t="shared" si="3"/>
        <v>48426266545.286598</v>
      </c>
      <c r="K4" s="11">
        <f t="shared" si="4"/>
        <v>1.8799999999999928E-2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11"/>
      <c r="H5" s="10"/>
      <c r="I5" s="10">
        <f t="shared" si="5"/>
        <v>1865</v>
      </c>
      <c r="J5" s="10">
        <f t="shared" si="3"/>
        <v>47532652674.996666</v>
      </c>
      <c r="K5" s="11">
        <f t="shared" si="4"/>
        <v>1.9400000000000084E-2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11"/>
      <c r="H6" s="10"/>
      <c r="I6" s="10">
        <f t="shared" si="5"/>
        <v>1865</v>
      </c>
      <c r="J6" s="10">
        <f t="shared" si="3"/>
        <v>46628068152.831726</v>
      </c>
      <c r="K6" s="11">
        <f t="shared" si="4"/>
        <v>1.959999999999984E-2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11"/>
      <c r="H7" s="10"/>
      <c r="I7" s="10">
        <f t="shared" si="5"/>
        <v>1865</v>
      </c>
      <c r="J7" s="10">
        <f t="shared" si="3"/>
        <v>45731726317.018173</v>
      </c>
      <c r="K7" s="11">
        <f t="shared" si="4"/>
        <v>2.0500000000000185E-2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11"/>
      <c r="H8" s="10"/>
      <c r="I8" s="10">
        <f t="shared" si="5"/>
        <v>1865</v>
      </c>
      <c r="J8" s="10">
        <f t="shared" si="3"/>
        <v>44813058615.40242</v>
      </c>
      <c r="K8" s="11">
        <f t="shared" si="4"/>
        <v>1.8000000000000016E-2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11"/>
      <c r="H9" s="10"/>
      <c r="I9" s="10">
        <f t="shared" si="5"/>
        <v>1865</v>
      </c>
      <c r="J9" s="10">
        <f t="shared" si="3"/>
        <v>44020686262.674286</v>
      </c>
      <c r="K9" s="11">
        <f t="shared" si="4"/>
        <v>1.7700000000000049E-2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11"/>
      <c r="H10" s="10"/>
      <c r="I10" s="10">
        <f t="shared" si="5"/>
        <v>1865</v>
      </c>
      <c r="J10" s="10">
        <f t="shared" si="3"/>
        <v>43255071497.174301</v>
      </c>
      <c r="K10" s="11">
        <f t="shared" si="4"/>
        <v>1.7300000000000315E-2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11"/>
      <c r="H11" s="10"/>
      <c r="I11" s="10">
        <f t="shared" si="5"/>
        <v>1865</v>
      </c>
      <c r="J11" s="10">
        <f t="shared" si="3"/>
        <v>42519484416.764267</v>
      </c>
      <c r="K11" s="11">
        <f t="shared" si="4"/>
        <v>1.6799999999999704E-2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11"/>
      <c r="H12" s="10"/>
      <c r="I12" s="10">
        <f t="shared" si="5"/>
        <v>1865</v>
      </c>
      <c r="J12" s="10">
        <f t="shared" si="3"/>
        <v>41816959497.211128</v>
      </c>
      <c r="K12" s="11">
        <f t="shared" si="4"/>
        <v>1.859999999999995E-2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11"/>
      <c r="H13" s="10"/>
      <c r="I13" s="10">
        <f t="shared" si="5"/>
        <v>1865</v>
      </c>
      <c r="J13" s="10">
        <f t="shared" si="3"/>
        <v>41053366873.366516</v>
      </c>
      <c r="K13" s="11">
        <f t="shared" si="4"/>
        <v>1.9400000000000084E-2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11"/>
      <c r="H14" s="10"/>
      <c r="I14" s="10">
        <f t="shared" si="5"/>
        <v>1865</v>
      </c>
      <c r="J14" s="10">
        <f t="shared" si="3"/>
        <v>40272088359.198067</v>
      </c>
      <c r="K14" s="11">
        <f t="shared" si="4"/>
        <v>1.980000000000004E-2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11"/>
      <c r="H15" s="10"/>
      <c r="I15" s="10">
        <f t="shared" si="5"/>
        <v>1865</v>
      </c>
      <c r="J15" s="10">
        <f t="shared" si="3"/>
        <v>39490182740.927696</v>
      </c>
      <c r="K15" s="11">
        <f t="shared" si="4"/>
        <v>2.0299999999999763E-2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11"/>
      <c r="H16" s="10"/>
      <c r="I16" s="10">
        <f t="shared" si="5"/>
        <v>1865</v>
      </c>
      <c r="J16" s="10">
        <f t="shared" si="3"/>
        <v>38704481761.175835</v>
      </c>
      <c r="K16" s="11">
        <f t="shared" si="4"/>
        <v>2.2100000000000009E-2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11"/>
      <c r="H17" s="10"/>
      <c r="I17" s="10">
        <f t="shared" si="5"/>
        <v>1865</v>
      </c>
      <c r="J17" s="10">
        <f t="shared" si="3"/>
        <v>37867607632.497635</v>
      </c>
      <c r="K17" s="11">
        <f t="shared" si="4"/>
        <v>2.3800000000000043E-2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11"/>
      <c r="H18" s="10"/>
      <c r="I18" s="10">
        <f t="shared" si="5"/>
        <v>1865</v>
      </c>
      <c r="J18" s="10">
        <f t="shared" si="3"/>
        <v>36987309662.529434</v>
      </c>
      <c r="K18" s="11">
        <f t="shared" si="4"/>
        <v>2.5600000000000067E-2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11"/>
      <c r="H19" s="10"/>
      <c r="I19" s="10">
        <f t="shared" si="5"/>
        <v>1865</v>
      </c>
      <c r="J19" s="10">
        <f t="shared" si="3"/>
        <v>36064069483.745544</v>
      </c>
      <c r="K19" s="11">
        <f t="shared" si="4"/>
        <v>2.50999999999999E-2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11"/>
      <c r="H20" s="10"/>
      <c r="I20" s="10">
        <f t="shared" si="5"/>
        <v>1865</v>
      </c>
      <c r="J20" s="10">
        <f t="shared" si="3"/>
        <v>35181025737.728561</v>
      </c>
      <c r="K20" s="11">
        <f t="shared" si="4"/>
        <v>2.3499999999999854E-2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11"/>
      <c r="H21" s="10"/>
      <c r="I21" s="10">
        <f t="shared" si="5"/>
        <v>1865</v>
      </c>
      <c r="J21" s="10">
        <f t="shared" si="3"/>
        <v>34373254262.558441</v>
      </c>
      <c r="K21" s="11">
        <f t="shared" si="4"/>
        <v>2.2999999999999909E-2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11"/>
      <c r="H22" s="10"/>
      <c r="I22" s="10">
        <f t="shared" si="5"/>
        <v>1865</v>
      </c>
      <c r="J22" s="10">
        <f t="shared" si="3"/>
        <v>33600444049.421741</v>
      </c>
      <c r="K22" s="11">
        <f t="shared" si="4"/>
        <v>2.1900000000000031E-2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11"/>
      <c r="H23" s="10"/>
      <c r="I23" s="10">
        <f t="shared" si="5"/>
        <v>1865</v>
      </c>
      <c r="J23" s="10">
        <f t="shared" si="3"/>
        <v>32880364076.153965</v>
      </c>
      <c r="K23" s="11">
        <f t="shared" si="4"/>
        <v>2.1800000000000042E-2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11"/>
      <c r="H24" s="10"/>
      <c r="I24" s="10">
        <f t="shared" si="5"/>
        <v>1865</v>
      </c>
      <c r="J24" s="10">
        <f t="shared" si="3"/>
        <v>32178864823.012295</v>
      </c>
      <c r="K24" s="11">
        <f t="shared" si="4"/>
        <v>2.4000000000000021E-2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11"/>
      <c r="H25" s="10"/>
      <c r="I25" s="10">
        <f t="shared" si="5"/>
        <v>1865</v>
      </c>
      <c r="J25" s="10">
        <f t="shared" si="3"/>
        <v>31424672678.722942</v>
      </c>
      <c r="K25" s="11">
        <f t="shared" si="4"/>
        <v>2.3700000000000054E-2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11"/>
      <c r="H26" s="10"/>
      <c r="I26" s="10">
        <f t="shared" si="5"/>
        <v>1865</v>
      </c>
      <c r="J26" s="10">
        <f t="shared" si="3"/>
        <v>30697150218.543461</v>
      </c>
      <c r="K26" s="11">
        <f t="shared" si="4"/>
        <v>2.4000000000000021E-2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11"/>
      <c r="H27" s="10"/>
      <c r="I27" s="10">
        <f t="shared" si="5"/>
        <v>1865</v>
      </c>
      <c r="J27" s="10">
        <f t="shared" si="3"/>
        <v>29977685760.296345</v>
      </c>
      <c r="K27" s="11">
        <f t="shared" si="4"/>
        <v>2.5600000000000067E-2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11"/>
      <c r="H28" s="10"/>
      <c r="I28" s="10">
        <f t="shared" si="5"/>
        <v>1865</v>
      </c>
      <c r="J28" s="10">
        <f t="shared" si="3"/>
        <v>29229412792.800648</v>
      </c>
      <c r="K28" s="11">
        <f t="shared" si="4"/>
        <v>2.5199999999999889E-2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11"/>
      <c r="H29" s="10"/>
      <c r="I29" s="10">
        <f t="shared" si="5"/>
        <v>1865</v>
      </c>
      <c r="J29" s="10">
        <f t="shared" si="3"/>
        <v>28510937175.966297</v>
      </c>
      <c r="K29" s="11">
        <f t="shared" si="4"/>
        <v>2.6799999999999713E-2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11"/>
      <c r="H30" s="10"/>
      <c r="I30" s="10">
        <f t="shared" si="5"/>
        <v>1865</v>
      </c>
      <c r="J30" s="10">
        <f t="shared" si="3"/>
        <v>27766787276.944199</v>
      </c>
      <c r="K30" s="11">
        <f t="shared" si="4"/>
        <v>2.629999999999999E-2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11"/>
      <c r="H31" s="10"/>
      <c r="I31" s="10">
        <f t="shared" si="5"/>
        <v>1865</v>
      </c>
      <c r="J31" s="10">
        <f t="shared" si="3"/>
        <v>27055234606.785732</v>
      </c>
      <c r="K31" s="11">
        <f t="shared" si="4"/>
        <v>2.5600000000000067E-2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11"/>
      <c r="H32" s="10"/>
      <c r="I32" s="10">
        <f t="shared" si="5"/>
        <v>1865</v>
      </c>
      <c r="J32" s="10">
        <f t="shared" si="3"/>
        <v>26379908937.973606</v>
      </c>
      <c r="K32" s="11">
        <f t="shared" si="4"/>
        <v>2.7300000000000102E-2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11"/>
      <c r="H33" s="10"/>
      <c r="I33" s="10">
        <f t="shared" si="5"/>
        <v>1865</v>
      </c>
      <c r="J33" s="10">
        <f t="shared" si="3"/>
        <v>25678875633.187584</v>
      </c>
      <c r="K33" s="11">
        <f t="shared" si="4"/>
        <v>2.8899999999999926E-2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11"/>
      <c r="H34" s="10"/>
      <c r="I34" s="10">
        <f t="shared" si="5"/>
        <v>1865</v>
      </c>
      <c r="J34" s="10">
        <f t="shared" ref="J34:J65" si="6">IF(I34="","",I34*C34)</f>
        <v>24957600965.290684</v>
      </c>
      <c r="K34" s="11">
        <f t="shared" ref="K34:K65" si="7">IFERROR(J34/J35-1,"")</f>
        <v>2.9099999999999904E-2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11"/>
      <c r="H35" s="10"/>
      <c r="I35" s="10">
        <f t="shared" ref="I35:I66" si="8">IF(H35&lt;&gt;"",H35,I34/(1+IF(G34="",0,G34)))</f>
        <v>1865</v>
      </c>
      <c r="J35" s="10">
        <f t="shared" si="6"/>
        <v>24251871504.50946</v>
      </c>
      <c r="K35" s="11">
        <f t="shared" si="7"/>
        <v>2.7700000000000058E-2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11"/>
      <c r="H36" s="10"/>
      <c r="I36" s="10">
        <f t="shared" si="8"/>
        <v>1865</v>
      </c>
      <c r="J36" s="10">
        <f t="shared" si="6"/>
        <v>23598201327.731304</v>
      </c>
      <c r="K36" s="11">
        <f t="shared" si="7"/>
        <v>2.6100000000000012E-2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11"/>
      <c r="H37" s="10"/>
      <c r="I37" s="10">
        <f t="shared" si="8"/>
        <v>1865</v>
      </c>
      <c r="J37" s="10">
        <f t="shared" si="6"/>
        <v>22997954709.805382</v>
      </c>
      <c r="K37" s="11">
        <f t="shared" si="7"/>
        <v>2.6100000000000012E-2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11"/>
      <c r="H38" s="10"/>
      <c r="I38" s="10">
        <f t="shared" si="8"/>
        <v>1865</v>
      </c>
      <c r="J38" s="10">
        <f t="shared" si="6"/>
        <v>22412976035.284458</v>
      </c>
      <c r="K38" s="11">
        <f t="shared" si="7"/>
        <v>2.6699999999999724E-2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11"/>
      <c r="H39" s="10"/>
      <c r="I39" s="10">
        <f t="shared" si="8"/>
        <v>1865</v>
      </c>
      <c r="J39" s="10">
        <f t="shared" si="6"/>
        <v>21830112043.717213</v>
      </c>
      <c r="K39" s="11">
        <f t="shared" si="7"/>
        <v>2.6799999999999713E-2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11"/>
      <c r="H40" s="10"/>
      <c r="I40" s="10">
        <f t="shared" si="8"/>
        <v>1865</v>
      </c>
      <c r="J40" s="10">
        <f t="shared" si="6"/>
        <v>21260335064.001965</v>
      </c>
      <c r="K40" s="11">
        <f t="shared" si="7"/>
        <v>2.6599999999999957E-2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11"/>
      <c r="H41" s="10"/>
      <c r="I41" s="10">
        <f t="shared" si="8"/>
        <v>1865</v>
      </c>
      <c r="J41" s="10">
        <f t="shared" si="6"/>
        <v>20709463339.179783</v>
      </c>
      <c r="K41" s="11">
        <f t="shared" si="7"/>
        <v>2.53000000000001E-2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11"/>
      <c r="H42" s="10"/>
      <c r="I42" s="10">
        <f t="shared" si="8"/>
        <v>1865</v>
      </c>
      <c r="J42" s="10">
        <f t="shared" si="6"/>
        <v>20198442737.910641</v>
      </c>
      <c r="K42" s="11">
        <f t="shared" si="7"/>
        <v>2.2699999999999942E-2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11"/>
      <c r="H43" s="10"/>
      <c r="I43" s="10">
        <f t="shared" si="8"/>
        <v>1865</v>
      </c>
      <c r="J43" s="10">
        <f t="shared" si="6"/>
        <v>19750115124.582615</v>
      </c>
      <c r="K43" s="11">
        <f t="shared" si="7"/>
        <v>2.1600000000000064E-2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11"/>
      <c r="H44" s="10"/>
      <c r="I44" s="10">
        <f t="shared" si="8"/>
        <v>1865</v>
      </c>
      <c r="J44" s="10">
        <f t="shared" si="6"/>
        <v>19332532424.219475</v>
      </c>
      <c r="K44" s="11">
        <f t="shared" si="7"/>
        <v>2.2199999999999998E-2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11"/>
      <c r="H45" s="10"/>
      <c r="I45" s="10">
        <f t="shared" si="8"/>
        <v>1865</v>
      </c>
      <c r="J45" s="10">
        <f t="shared" si="6"/>
        <v>18912671125.239166</v>
      </c>
      <c r="K45" s="11">
        <f t="shared" si="7"/>
        <v>2.2799999999999931E-2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11"/>
      <c r="H46" s="10"/>
      <c r="I46" s="10">
        <f t="shared" si="8"/>
        <v>1865</v>
      </c>
      <c r="J46" s="10">
        <f t="shared" si="6"/>
        <v>18491074623.816158</v>
      </c>
      <c r="K46" s="11">
        <f t="shared" si="7"/>
        <v>2.3500000000000076E-2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11"/>
      <c r="H47" s="10"/>
      <c r="I47" s="10">
        <f t="shared" si="8"/>
        <v>1865</v>
      </c>
      <c r="J47" s="10">
        <f t="shared" si="6"/>
        <v>18066511601.188232</v>
      </c>
      <c r="K47" s="11">
        <f t="shared" si="7"/>
        <v>2.5900000000000034E-2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11"/>
      <c r="H48" s="10"/>
      <c r="I48" s="10">
        <f t="shared" si="8"/>
        <v>1865</v>
      </c>
      <c r="J48" s="10">
        <f t="shared" si="6"/>
        <v>17610402184.606915</v>
      </c>
      <c r="K48" s="11">
        <f t="shared" si="7"/>
        <v>2.8299999999999992E-2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11"/>
      <c r="H49" s="10"/>
      <c r="I49" s="10">
        <f t="shared" si="8"/>
        <v>1865</v>
      </c>
      <c r="J49" s="10">
        <f t="shared" si="6"/>
        <v>17125743639.606062</v>
      </c>
      <c r="K49" s="11">
        <f t="shared" si="7"/>
        <v>2.8999999999999915E-2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11"/>
      <c r="H50" s="10"/>
      <c r="I50" s="10">
        <f t="shared" si="8"/>
        <v>1865</v>
      </c>
      <c r="J50" s="10">
        <f t="shared" si="6"/>
        <v>16643093916.040878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11"/>
      <c r="H51" s="10"/>
      <c r="I51" s="10">
        <f t="shared" si="8"/>
        <v>1865</v>
      </c>
      <c r="J51" s="10">
        <f t="shared" si="6"/>
        <v>16167761721.430811</v>
      </c>
      <c r="K51" s="11">
        <f t="shared" si="7"/>
        <v>2.9900000000000038E-2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11"/>
      <c r="H52" s="10"/>
      <c r="I52" s="10">
        <f t="shared" si="8"/>
        <v>1865</v>
      </c>
      <c r="J52" s="10">
        <f t="shared" si="6"/>
        <v>15698380154.802225</v>
      </c>
      <c r="K52" s="11">
        <f t="shared" si="7"/>
        <v>3.0600000000000183E-2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11"/>
      <c r="H53" s="10"/>
      <c r="I53" s="10">
        <f t="shared" si="8"/>
        <v>1865</v>
      </c>
      <c r="J53" s="10">
        <f t="shared" si="6"/>
        <v>15232272612.849043</v>
      </c>
      <c r="K53" s="11">
        <f t="shared" si="7"/>
        <v>3.1099999999999905E-2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11"/>
      <c r="H54" s="10"/>
      <c r="I54" s="10">
        <f t="shared" si="8"/>
        <v>1865</v>
      </c>
      <c r="J54" s="10">
        <f t="shared" si="6"/>
        <v>14772837370.622679</v>
      </c>
      <c r="K54" s="11">
        <f t="shared" si="7"/>
        <v>3.1500000000000083E-2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11"/>
      <c r="H55" s="10"/>
      <c r="I55" s="10">
        <f t="shared" si="8"/>
        <v>1865</v>
      </c>
      <c r="J55" s="10">
        <f t="shared" si="6"/>
        <v>14321703703.948305</v>
      </c>
      <c r="K55" s="11">
        <f t="shared" si="7"/>
        <v>3.180000000000005E-2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11"/>
      <c r="H56" s="10"/>
      <c r="I56" s="10">
        <f t="shared" si="8"/>
        <v>1865</v>
      </c>
      <c r="J56" s="10">
        <f t="shared" si="6"/>
        <v>13880309850.696167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11"/>
      <c r="H57" s="10"/>
      <c r="I57" s="10">
        <f t="shared" si="8"/>
        <v>1865</v>
      </c>
      <c r="J57" s="10">
        <f t="shared" si="6"/>
        <v>13452519723.489208</v>
      </c>
      <c r="K57" s="11">
        <f t="shared" si="7"/>
        <v>3.2000000000000028E-2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11"/>
      <c r="H58" s="10"/>
      <c r="I58" s="10">
        <f t="shared" si="8"/>
        <v>1865</v>
      </c>
      <c r="J58" s="10">
        <f t="shared" si="6"/>
        <v>13035387328.962412</v>
      </c>
      <c r="K58" s="11">
        <f t="shared" si="7"/>
        <v>3.200000000000025E-2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11"/>
      <c r="H59" s="10"/>
      <c r="I59" s="10">
        <f t="shared" si="8"/>
        <v>1865</v>
      </c>
      <c r="J59" s="10">
        <f t="shared" si="6"/>
        <v>12631189272.250397</v>
      </c>
      <c r="K59" s="11">
        <f t="shared" si="7"/>
        <v>3.2000000000000028E-2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11"/>
      <c r="H60" s="10"/>
      <c r="I60" s="10">
        <f t="shared" si="8"/>
        <v>1865</v>
      </c>
      <c r="J60" s="10">
        <f t="shared" si="6"/>
        <v>12239524488.614725</v>
      </c>
      <c r="K60" s="11">
        <f t="shared" si="7"/>
        <v>3.2000000000000028E-2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11"/>
      <c r="H61" s="10"/>
      <c r="I61" s="10">
        <f t="shared" si="8"/>
        <v>1865</v>
      </c>
      <c r="J61" s="10">
        <f t="shared" si="6"/>
        <v>11860004349.432873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11"/>
      <c r="H62" s="10"/>
      <c r="I62" s="10">
        <f t="shared" si="8"/>
        <v>1865</v>
      </c>
      <c r="J62" s="10">
        <f t="shared" si="6"/>
        <v>11492252276.582241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11"/>
      <c r="H63" s="10"/>
      <c r="I63" s="10">
        <f t="shared" si="8"/>
        <v>1865</v>
      </c>
      <c r="J63" s="10">
        <f t="shared" si="6"/>
        <v>11146704438.974047</v>
      </c>
      <c r="K63" s="11">
        <f t="shared" si="7"/>
        <v>3.0999999999999694E-2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11"/>
      <c r="H64" s="10"/>
      <c r="I64" s="10">
        <f t="shared" si="8"/>
        <v>1865</v>
      </c>
      <c r="J64" s="10">
        <f t="shared" si="6"/>
        <v>10811546497.549999</v>
      </c>
      <c r="K64" s="11">
        <f t="shared" si="7"/>
        <v>3.0999999999999917E-2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11"/>
      <c r="H65" s="10"/>
      <c r="I65" s="10">
        <f t="shared" si="8"/>
        <v>1865</v>
      </c>
      <c r="J65" s="10">
        <f t="shared" si="6"/>
        <v>10486466050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6">
        <f>SUM(F2)</f>
        <v>27120468</v>
      </c>
      <c r="G66" s="11"/>
      <c r="H66" s="10"/>
      <c r="I66" s="10">
        <f t="shared" si="8"/>
        <v>1865</v>
      </c>
      <c r="J66" s="10">
        <f t="shared" ref="J66:J97" si="9">IF(I66="","",I66*C66)</f>
        <v>10181035000</v>
      </c>
      <c r="K66" s="11">
        <f t="shared" ref="K66:K97" si="10">IFERROR(J66/J67-1,"")</f>
        <v>3.0000000000000027E-2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11"/>
      <c r="H67" s="10"/>
      <c r="I67" s="10">
        <f t="shared" ref="I67:I98" si="11">IF(H67&lt;&gt;"",H67,I66/(1+IF(G66="",0,G66)))</f>
        <v>1865</v>
      </c>
      <c r="J67" s="10">
        <f t="shared" si="9"/>
        <v>9884500000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5">
        <v>39227750</v>
      </c>
      <c r="G2" s="11"/>
      <c r="H2" s="10"/>
      <c r="I2" s="10">
        <f>IF(H2&lt;&gt;"",H2,14167)</f>
        <v>14167</v>
      </c>
      <c r="J2" s="10">
        <f t="shared" ref="J2:J33" si="3">IF(I2="","",I2*C2)</f>
        <v>555745392932.15955</v>
      </c>
      <c r="K2" s="11">
        <f t="shared" ref="K2:K33" si="4">IFERROR(J2/J3-1,"")</f>
        <v>8.0000000000000071E-3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11"/>
      <c r="H3" s="10"/>
      <c r="I3" s="10">
        <f t="shared" ref="I3:I34" si="5">IF(H3&lt;&gt;"",H3,I2/(1+IF(G2="",0,G2)))</f>
        <v>14167</v>
      </c>
      <c r="J3" s="10">
        <f t="shared" si="3"/>
        <v>551334715210.47571</v>
      </c>
      <c r="K3" s="11">
        <f t="shared" si="4"/>
        <v>8.0000000000000071E-3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11"/>
      <c r="H4" s="10"/>
      <c r="I4" s="10">
        <f t="shared" si="5"/>
        <v>14167</v>
      </c>
      <c r="J4" s="10">
        <f t="shared" si="3"/>
        <v>546959042867.5354</v>
      </c>
      <c r="K4" s="11">
        <f t="shared" si="4"/>
        <v>7.6000000000000512E-3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11"/>
      <c r="H5" s="10"/>
      <c r="I5" s="10">
        <f t="shared" si="5"/>
        <v>14167</v>
      </c>
      <c r="J5" s="10">
        <f t="shared" si="3"/>
        <v>542833508205.17603</v>
      </c>
      <c r="K5" s="11">
        <f t="shared" si="4"/>
        <v>8.0000000000000071E-3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11"/>
      <c r="H6" s="10"/>
      <c r="I6" s="10">
        <f t="shared" si="5"/>
        <v>14167</v>
      </c>
      <c r="J6" s="10">
        <f t="shared" si="3"/>
        <v>538525305759.10321</v>
      </c>
      <c r="K6" s="11">
        <f t="shared" si="4"/>
        <v>7.8999999999997961E-3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11"/>
      <c r="H7" s="10"/>
      <c r="I7" s="10">
        <f t="shared" si="5"/>
        <v>14167</v>
      </c>
      <c r="J7" s="10">
        <f t="shared" si="3"/>
        <v>534304301775.08014</v>
      </c>
      <c r="K7" s="11">
        <f t="shared" si="4"/>
        <v>8.499999999999952E-3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11"/>
      <c r="H8" s="10"/>
      <c r="I8" s="10">
        <f t="shared" si="5"/>
        <v>14167</v>
      </c>
      <c r="J8" s="10">
        <f t="shared" si="3"/>
        <v>529800993331.76019</v>
      </c>
      <c r="K8" s="11">
        <f t="shared" si="4"/>
        <v>8.800000000000141E-3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11"/>
      <c r="H9" s="10"/>
      <c r="I9" s="10">
        <f t="shared" si="5"/>
        <v>14167</v>
      </c>
      <c r="J9" s="10">
        <f t="shared" si="3"/>
        <v>525179414484.29834</v>
      </c>
      <c r="K9" s="11">
        <f t="shared" si="4"/>
        <v>9.5000000000000639E-3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11"/>
      <c r="H10" s="10"/>
      <c r="I10" s="10">
        <f t="shared" si="5"/>
        <v>14167</v>
      </c>
      <c r="J10" s="10">
        <f t="shared" si="3"/>
        <v>520237161450.51843</v>
      </c>
      <c r="K10" s="11">
        <f t="shared" si="4"/>
        <v>9.5000000000000639E-3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11"/>
      <c r="H11" s="10"/>
      <c r="I11" s="10">
        <f t="shared" si="5"/>
        <v>14167</v>
      </c>
      <c r="J11" s="10">
        <f t="shared" si="3"/>
        <v>515341417979.71112</v>
      </c>
      <c r="K11" s="11">
        <f t="shared" si="4"/>
        <v>9.6000000000000529E-3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11"/>
      <c r="H12" s="10"/>
      <c r="I12" s="10">
        <f t="shared" si="5"/>
        <v>14167</v>
      </c>
      <c r="J12" s="10">
        <f t="shared" si="3"/>
        <v>510441182626.49677</v>
      </c>
      <c r="K12" s="11">
        <f t="shared" si="4"/>
        <v>9.200000000000097E-3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11"/>
      <c r="H13" s="10"/>
      <c r="I13" s="10">
        <f t="shared" si="5"/>
        <v>14167</v>
      </c>
      <c r="J13" s="10">
        <f t="shared" si="3"/>
        <v>505787933637.03595</v>
      </c>
      <c r="K13" s="11">
        <f t="shared" si="4"/>
        <v>9.2999999999998639E-3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11"/>
      <c r="H14" s="10"/>
      <c r="I14" s="10">
        <f t="shared" si="5"/>
        <v>14167</v>
      </c>
      <c r="J14" s="10">
        <f t="shared" si="3"/>
        <v>501127448367.22083</v>
      </c>
      <c r="K14" s="11">
        <f t="shared" si="4"/>
        <v>1.1600000000000055E-2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11"/>
      <c r="H15" s="10"/>
      <c r="I15" s="10">
        <f t="shared" si="5"/>
        <v>14167</v>
      </c>
      <c r="J15" s="10">
        <f t="shared" si="3"/>
        <v>495381028437.34753</v>
      </c>
      <c r="K15" s="11">
        <f t="shared" si="4"/>
        <v>1.2299999999999756E-2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11"/>
      <c r="H16" s="10"/>
      <c r="I16" s="10">
        <f t="shared" si="5"/>
        <v>14167</v>
      </c>
      <c r="J16" s="10">
        <f t="shared" si="3"/>
        <v>489361877345.99194</v>
      </c>
      <c r="K16" s="11">
        <f t="shared" si="4"/>
        <v>1.4900000000000135E-2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11"/>
      <c r="H17" s="10"/>
      <c r="I17" s="10">
        <f t="shared" si="5"/>
        <v>14167</v>
      </c>
      <c r="J17" s="10">
        <f t="shared" si="3"/>
        <v>482177433585.56696</v>
      </c>
      <c r="K17" s="11">
        <f t="shared" si="4"/>
        <v>1.4100000000000001E-2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11"/>
      <c r="H18" s="10"/>
      <c r="I18" s="10">
        <f t="shared" si="5"/>
        <v>14167</v>
      </c>
      <c r="J18" s="10">
        <f t="shared" si="3"/>
        <v>475473260610.95258</v>
      </c>
      <c r="K18" s="11">
        <f t="shared" si="4"/>
        <v>1.165000000000016E-2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11"/>
      <c r="H19" s="10"/>
      <c r="I19" s="10">
        <f t="shared" si="5"/>
        <v>14167</v>
      </c>
      <c r="J19" s="10">
        <f t="shared" si="3"/>
        <v>469997786399.39954</v>
      </c>
      <c r="K19" s="11">
        <f t="shared" si="4"/>
        <v>1.7700000000000049E-2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11"/>
      <c r="H20" s="10"/>
      <c r="I20" s="10">
        <f t="shared" si="5"/>
        <v>14167</v>
      </c>
      <c r="J20" s="10">
        <f t="shared" si="3"/>
        <v>461823510267.66193</v>
      </c>
      <c r="K20" s="11">
        <f t="shared" si="4"/>
        <v>1.6999999999999904E-2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11"/>
      <c r="H21" s="10"/>
      <c r="I21" s="10">
        <f t="shared" si="5"/>
        <v>14167</v>
      </c>
      <c r="J21" s="10">
        <f t="shared" si="3"/>
        <v>454103746575.87213</v>
      </c>
      <c r="K21" s="11">
        <f t="shared" si="4"/>
        <v>1.6599999999999948E-2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11"/>
      <c r="H22" s="10"/>
      <c r="I22" s="10">
        <f t="shared" si="5"/>
        <v>14167</v>
      </c>
      <c r="J22" s="10">
        <f t="shared" si="3"/>
        <v>446688713924.7218</v>
      </c>
      <c r="K22" s="11">
        <f t="shared" si="4"/>
        <v>1.6900000000000137E-2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11"/>
      <c r="H23" s="10"/>
      <c r="I23" s="10">
        <f t="shared" si="5"/>
        <v>14167</v>
      </c>
      <c r="J23" s="10">
        <f t="shared" si="3"/>
        <v>439265133174.07983</v>
      </c>
      <c r="K23" s="11">
        <f t="shared" si="4"/>
        <v>1.7300000000000093E-2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11"/>
      <c r="H24" s="10"/>
      <c r="I24" s="10">
        <f t="shared" si="5"/>
        <v>14167</v>
      </c>
      <c r="J24" s="10">
        <f t="shared" si="3"/>
        <v>431795078319.15839</v>
      </c>
      <c r="K24" s="11">
        <f t="shared" si="4"/>
        <v>1.8199999999999994E-2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11"/>
      <c r="H25" s="10"/>
      <c r="I25" s="10">
        <f t="shared" si="5"/>
        <v>14167</v>
      </c>
      <c r="J25" s="10">
        <f t="shared" si="3"/>
        <v>424076879119.18915</v>
      </c>
      <c r="K25" s="11">
        <f t="shared" si="4"/>
        <v>1.8900000000000139E-2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11"/>
      <c r="H26" s="10"/>
      <c r="I26" s="10">
        <f t="shared" si="5"/>
        <v>14167</v>
      </c>
      <c r="J26" s="10">
        <f t="shared" si="3"/>
        <v>416210500656.77606</v>
      </c>
      <c r="K26" s="11">
        <f t="shared" si="4"/>
        <v>1.8399999999999972E-2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11"/>
      <c r="H27" s="10"/>
      <c r="I27" s="10">
        <f t="shared" si="5"/>
        <v>14167</v>
      </c>
      <c r="J27" s="10">
        <f t="shared" si="3"/>
        <v>408690593732.10535</v>
      </c>
      <c r="K27" s="11">
        <f t="shared" si="4"/>
        <v>1.6299999999999981E-2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11"/>
      <c r="H28" s="10"/>
      <c r="I28" s="10">
        <f t="shared" si="5"/>
        <v>14167</v>
      </c>
      <c r="J28" s="10">
        <f t="shared" si="3"/>
        <v>402135780509.79565</v>
      </c>
      <c r="K28" s="11">
        <f t="shared" si="4"/>
        <v>1.4399999999999968E-2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11"/>
      <c r="H29" s="10"/>
      <c r="I29" s="10">
        <f t="shared" si="5"/>
        <v>14167</v>
      </c>
      <c r="J29" s="10">
        <f t="shared" si="3"/>
        <v>396427228420.53992</v>
      </c>
      <c r="K29" s="11">
        <f t="shared" si="4"/>
        <v>1.4100000000000001E-2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11"/>
      <c r="H30" s="10"/>
      <c r="I30" s="10">
        <f t="shared" si="5"/>
        <v>14167</v>
      </c>
      <c r="J30" s="10">
        <f t="shared" si="3"/>
        <v>390915322375.0517</v>
      </c>
      <c r="K30" s="11">
        <f t="shared" si="4"/>
        <v>1.3900000000000023E-2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11"/>
      <c r="H31" s="10"/>
      <c r="I31" s="10">
        <f t="shared" si="5"/>
        <v>14167</v>
      </c>
      <c r="J31" s="10">
        <f t="shared" si="3"/>
        <v>385556092686.70648</v>
      </c>
      <c r="K31" s="11">
        <f t="shared" si="4"/>
        <v>1.419999999999999E-2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11"/>
      <c r="H32" s="10"/>
      <c r="I32" s="10">
        <f t="shared" si="5"/>
        <v>14167</v>
      </c>
      <c r="J32" s="10">
        <f t="shared" si="3"/>
        <v>380157851199.67114</v>
      </c>
      <c r="K32" s="11">
        <f t="shared" si="4"/>
        <v>1.8899999999999917E-2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11"/>
      <c r="H33" s="10"/>
      <c r="I33" s="10">
        <f t="shared" si="5"/>
        <v>14167</v>
      </c>
      <c r="J33" s="10">
        <f t="shared" si="3"/>
        <v>373106145058.07361</v>
      </c>
      <c r="K33" s="11">
        <f t="shared" si="4"/>
        <v>1.3700000000000045E-2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11"/>
      <c r="H34" s="10"/>
      <c r="I34" s="10">
        <f t="shared" si="5"/>
        <v>14167</v>
      </c>
      <c r="J34" s="10">
        <f t="shared" ref="J34:J65" si="6">IF(I34="","",I34*C34)</f>
        <v>368063672741.51483</v>
      </c>
      <c r="K34" s="11">
        <f t="shared" ref="K34:K65" si="7">IFERROR(J34/J35-1,"")</f>
        <v>1.4100000000000001E-2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11"/>
      <c r="H35" s="10"/>
      <c r="I35" s="10">
        <f t="shared" ref="I35:I66" si="8">IF(H35&lt;&gt;"",H35,I34/(1+IF(G34="",0,G34)))</f>
        <v>14167</v>
      </c>
      <c r="J35" s="10">
        <f t="shared" si="6"/>
        <v>362946132276.41736</v>
      </c>
      <c r="K35" s="11">
        <f t="shared" si="7"/>
        <v>1.4499999999999957E-2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11"/>
      <c r="H36" s="10"/>
      <c r="I36" s="10">
        <f t="shared" si="8"/>
        <v>14167</v>
      </c>
      <c r="J36" s="10">
        <f t="shared" si="6"/>
        <v>357758632110.81061</v>
      </c>
      <c r="K36" s="11">
        <f t="shared" si="7"/>
        <v>1.4799999999999924E-2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11"/>
      <c r="H37" s="10"/>
      <c r="I37" s="10">
        <f t="shared" si="8"/>
        <v>14167</v>
      </c>
      <c r="J37" s="10">
        <f t="shared" si="6"/>
        <v>352541024941.67383</v>
      </c>
      <c r="K37" s="11">
        <f t="shared" si="7"/>
        <v>1.4599999999999946E-2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11"/>
      <c r="H38" s="10"/>
      <c r="I38" s="10">
        <f t="shared" si="8"/>
        <v>14167</v>
      </c>
      <c r="J38" s="10">
        <f t="shared" si="6"/>
        <v>347467992254.75446</v>
      </c>
      <c r="K38" s="11">
        <f t="shared" si="7"/>
        <v>1.5999999999999792E-2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11"/>
      <c r="H39" s="10"/>
      <c r="I39" s="10">
        <f t="shared" si="8"/>
        <v>14167</v>
      </c>
      <c r="J39" s="10">
        <f t="shared" si="6"/>
        <v>341996055368.85284</v>
      </c>
      <c r="K39" s="11">
        <f t="shared" si="7"/>
        <v>1.560000000000028E-2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11"/>
      <c r="H40" s="10"/>
      <c r="I40" s="10">
        <f t="shared" si="8"/>
        <v>14167</v>
      </c>
      <c r="J40" s="10">
        <f t="shared" si="6"/>
        <v>336742866649.1264</v>
      </c>
      <c r="K40" s="11">
        <f t="shared" si="7"/>
        <v>1.5099999999999891E-2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11"/>
      <c r="H41" s="10"/>
      <c r="I41" s="10">
        <f t="shared" si="8"/>
        <v>14167</v>
      </c>
      <c r="J41" s="10">
        <f t="shared" si="6"/>
        <v>331733687960.91663</v>
      </c>
      <c r="K41" s="11">
        <f t="shared" si="7"/>
        <v>1.4499999999999957E-2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11"/>
      <c r="H42" s="10"/>
      <c r="I42" s="10">
        <f t="shared" si="8"/>
        <v>14167</v>
      </c>
      <c r="J42" s="10">
        <f t="shared" si="6"/>
        <v>326992299616.47772</v>
      </c>
      <c r="K42" s="11">
        <f t="shared" si="7"/>
        <v>1.9900000000000029E-2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11"/>
      <c r="H43" s="10"/>
      <c r="I43" s="10">
        <f t="shared" si="8"/>
        <v>14167</v>
      </c>
      <c r="J43" s="10">
        <f t="shared" si="6"/>
        <v>320612118459.14081</v>
      </c>
      <c r="K43" s="11">
        <f t="shared" si="7"/>
        <v>1.4100000000000001E-2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11"/>
      <c r="H44" s="10"/>
      <c r="I44" s="10">
        <f t="shared" si="8"/>
        <v>14167</v>
      </c>
      <c r="J44" s="10">
        <f t="shared" si="6"/>
        <v>316154342233.64642</v>
      </c>
      <c r="K44" s="11">
        <f t="shared" si="7"/>
        <v>1.4499999999999957E-2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11"/>
      <c r="H45" s="10"/>
      <c r="I45" s="10">
        <f t="shared" si="8"/>
        <v>14167</v>
      </c>
      <c r="J45" s="10">
        <f t="shared" si="6"/>
        <v>311635625661.55389</v>
      </c>
      <c r="K45" s="11">
        <f t="shared" si="7"/>
        <v>1.5700000000000047E-2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11"/>
      <c r="H46" s="10"/>
      <c r="I46" s="10">
        <f t="shared" si="8"/>
        <v>14167</v>
      </c>
      <c r="J46" s="10">
        <f t="shared" si="6"/>
        <v>306818574048.9848</v>
      </c>
      <c r="K46" s="11">
        <f t="shared" si="7"/>
        <v>1.7600000000000282E-2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11"/>
      <c r="H47" s="10"/>
      <c r="I47" s="10">
        <f t="shared" si="8"/>
        <v>14167</v>
      </c>
      <c r="J47" s="10">
        <f t="shared" si="6"/>
        <v>301511963491.53375</v>
      </c>
      <c r="K47" s="11">
        <f t="shared" si="7"/>
        <v>1.6699999999999715E-2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11"/>
      <c r="H48" s="10"/>
      <c r="I48" s="10">
        <f t="shared" si="8"/>
        <v>14167</v>
      </c>
      <c r="J48" s="10">
        <f t="shared" si="6"/>
        <v>296559421158.19202</v>
      </c>
      <c r="K48" s="11">
        <f t="shared" si="7"/>
        <v>1.4799999999999924E-2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11"/>
      <c r="H49" s="10"/>
      <c r="I49" s="10">
        <f t="shared" si="8"/>
        <v>14167</v>
      </c>
      <c r="J49" s="10">
        <f t="shared" si="6"/>
        <v>292234352737.67444</v>
      </c>
      <c r="K49" s="11">
        <f t="shared" si="7"/>
        <v>1.4999999999999902E-2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11"/>
      <c r="H50" s="10"/>
      <c r="I50" s="10">
        <f t="shared" si="8"/>
        <v>14167</v>
      </c>
      <c r="J50" s="10">
        <f t="shared" si="6"/>
        <v>287915618460.763</v>
      </c>
      <c r="K50" s="11">
        <f t="shared" si="7"/>
        <v>2.0899999999999919E-2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11"/>
      <c r="H51" s="10"/>
      <c r="I51" s="10">
        <f t="shared" si="8"/>
        <v>14167</v>
      </c>
      <c r="J51" s="10">
        <f t="shared" si="6"/>
        <v>282021371790.34479</v>
      </c>
      <c r="K51" s="11">
        <f t="shared" si="7"/>
        <v>1.6499999999999959E-2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11"/>
      <c r="H52" s="10"/>
      <c r="I52" s="10">
        <f t="shared" si="8"/>
        <v>14167</v>
      </c>
      <c r="J52" s="10">
        <f t="shared" si="6"/>
        <v>277443553163.15277</v>
      </c>
      <c r="K52" s="11">
        <f t="shared" si="7"/>
        <v>1.7500000000000071E-2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11"/>
      <c r="H53" s="10"/>
      <c r="I53" s="10">
        <f t="shared" si="8"/>
        <v>14167</v>
      </c>
      <c r="J53" s="10">
        <f t="shared" si="6"/>
        <v>272671796720.54324</v>
      </c>
      <c r="K53" s="11">
        <f t="shared" si="7"/>
        <v>1.8899999999999917E-2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11"/>
      <c r="H54" s="10"/>
      <c r="I54" s="10">
        <f t="shared" si="8"/>
        <v>14167</v>
      </c>
      <c r="J54" s="10">
        <f t="shared" si="6"/>
        <v>267613894121.64417</v>
      </c>
      <c r="K54" s="11">
        <f t="shared" si="7"/>
        <v>1.9399999999999862E-2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11"/>
      <c r="H55" s="10"/>
      <c r="I55" s="10">
        <f t="shared" si="8"/>
        <v>14167</v>
      </c>
      <c r="J55" s="10">
        <f t="shared" si="6"/>
        <v>262520986974.34195</v>
      </c>
      <c r="K55" s="11">
        <f t="shared" si="7"/>
        <v>2.0399999999999974E-2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11"/>
      <c r="H56" s="10"/>
      <c r="I56" s="10">
        <f t="shared" si="8"/>
        <v>14167</v>
      </c>
      <c r="J56" s="10">
        <f t="shared" si="6"/>
        <v>257272625415.85843</v>
      </c>
      <c r="K56" s="11">
        <f t="shared" si="7"/>
        <v>2.1600000000000064E-2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11"/>
      <c r="H57" s="10"/>
      <c r="I57" s="10">
        <f t="shared" si="8"/>
        <v>14167</v>
      </c>
      <c r="J57" s="10">
        <f t="shared" si="6"/>
        <v>251833031926.2514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11"/>
      <c r="H58" s="10"/>
      <c r="I58" s="10">
        <f t="shared" si="8"/>
        <v>14167</v>
      </c>
      <c r="J58" s="10">
        <f t="shared" si="6"/>
        <v>246411968616.68436</v>
      </c>
      <c r="K58" s="11">
        <f t="shared" si="7"/>
        <v>2.200000000000002E-2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11"/>
      <c r="H59" s="10"/>
      <c r="I59" s="10">
        <f t="shared" si="8"/>
        <v>14167</v>
      </c>
      <c r="J59" s="10">
        <f t="shared" si="6"/>
        <v>241107601386.18823</v>
      </c>
      <c r="K59" s="11">
        <f t="shared" si="7"/>
        <v>2.200000000000002E-2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11"/>
      <c r="H60" s="10"/>
      <c r="I60" s="10">
        <f t="shared" si="8"/>
        <v>14167</v>
      </c>
      <c r="J60" s="10">
        <f t="shared" si="6"/>
        <v>235917418186.09415</v>
      </c>
      <c r="K60" s="11">
        <f t="shared" si="7"/>
        <v>2.3000000000000131E-2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11"/>
      <c r="H61" s="10"/>
      <c r="I61" s="10">
        <f t="shared" si="8"/>
        <v>14167</v>
      </c>
      <c r="J61" s="10">
        <f t="shared" si="6"/>
        <v>230613312009.86719</v>
      </c>
      <c r="K61" s="11">
        <f t="shared" si="7"/>
        <v>2.2999999999999909E-2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11"/>
      <c r="H62" s="10"/>
      <c r="I62" s="10">
        <f t="shared" si="8"/>
        <v>14167</v>
      </c>
      <c r="J62" s="10">
        <f t="shared" si="6"/>
        <v>225428457487.65125</v>
      </c>
      <c r="K62" s="11">
        <f t="shared" si="7"/>
        <v>2.2999999999999909E-2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11"/>
      <c r="H63" s="10"/>
      <c r="I63" s="10">
        <f t="shared" si="8"/>
        <v>14167</v>
      </c>
      <c r="J63" s="10">
        <f t="shared" si="6"/>
        <v>220360173497.21533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11"/>
      <c r="H64" s="10"/>
      <c r="I64" s="10">
        <f t="shared" si="8"/>
        <v>14167</v>
      </c>
      <c r="J64" s="10">
        <f t="shared" si="6"/>
        <v>215405839195.7139</v>
      </c>
      <c r="K64" s="11">
        <f t="shared" si="7"/>
        <v>2.2999999999999909E-2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11"/>
      <c r="H65" s="10"/>
      <c r="I65" s="10">
        <f t="shared" si="8"/>
        <v>14167</v>
      </c>
      <c r="J65" s="10">
        <f t="shared" si="6"/>
        <v>210562892664.43198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6">
        <f>SUM(F2)</f>
        <v>39227750</v>
      </c>
      <c r="G66" s="11"/>
      <c r="H66" s="10"/>
      <c r="I66" s="10">
        <f t="shared" si="8"/>
        <v>14167</v>
      </c>
      <c r="J66" s="10">
        <f t="shared" ref="J66:J97" si="9">IF(I66="","",I66*C66)</f>
        <v>205828829584</v>
      </c>
      <c r="K66" s="11">
        <f t="shared" ref="K66:K97" si="10">IFERROR(J66/J67-1,"")</f>
        <v>2.200000000000002E-2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11"/>
      <c r="H67" s="10"/>
      <c r="I67" s="10">
        <f t="shared" ref="I67:I98" si="11">IF(H67&lt;&gt;"",H67,I66/(1+IF(G66="",0,G66)))</f>
        <v>14167</v>
      </c>
      <c r="J67" s="10">
        <f t="shared" si="9"/>
        <v>201398072000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5">
        <v>6835852</v>
      </c>
      <c r="G2" s="11"/>
      <c r="H2" s="10"/>
      <c r="I2" s="10">
        <f>IF(H2&lt;&gt;"",H2,7222)</f>
        <v>7222</v>
      </c>
      <c r="J2" s="10">
        <f t="shared" ref="J2:J33" si="3">IF(I2="","",I2*C2)</f>
        <v>49364902463.791878</v>
      </c>
      <c r="K2" s="11">
        <f t="shared" ref="K2:K33" si="4">IFERROR(J2/J3-1,"")</f>
        <v>3.2000000000000917E-3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11"/>
      <c r="H3" s="10"/>
      <c r="I3" s="10">
        <f t="shared" ref="I3:I34" si="5">IF(H3&lt;&gt;"",H3,I2/(1+IF(G2="",0,G2)))</f>
        <v>7222</v>
      </c>
      <c r="J3" s="10">
        <f t="shared" si="3"/>
        <v>49207438660.07962</v>
      </c>
      <c r="K3" s="11">
        <f t="shared" si="4"/>
        <v>3.6000000000000476E-3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11"/>
      <c r="H4" s="10"/>
      <c r="I4" s="10">
        <f t="shared" si="5"/>
        <v>7222</v>
      </c>
      <c r="J4" s="10">
        <f t="shared" si="3"/>
        <v>49030927321.72142</v>
      </c>
      <c r="K4" s="11">
        <f t="shared" si="4"/>
        <v>4.0000000000000036E-3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11"/>
      <c r="H5" s="10"/>
      <c r="I5" s="10">
        <f t="shared" si="5"/>
        <v>7222</v>
      </c>
      <c r="J5" s="10">
        <f t="shared" si="3"/>
        <v>48835584981.794243</v>
      </c>
      <c r="K5" s="11">
        <f t="shared" si="4"/>
        <v>5.4000000000000714E-3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11"/>
      <c r="H6" s="10"/>
      <c r="I6" s="10">
        <f t="shared" si="5"/>
        <v>7222</v>
      </c>
      <c r="J6" s="10">
        <f t="shared" si="3"/>
        <v>48573289220.00621</v>
      </c>
      <c r="K6" s="11">
        <f t="shared" si="4"/>
        <v>7.8000000000000291E-3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11"/>
      <c r="H7" s="10"/>
      <c r="I7" s="10">
        <f t="shared" si="5"/>
        <v>7222</v>
      </c>
      <c r="J7" s="10">
        <f t="shared" si="3"/>
        <v>48197349890.857521</v>
      </c>
      <c r="K7" s="11">
        <f t="shared" si="4"/>
        <v>5.8000000000000274E-3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11"/>
      <c r="H8" s="10"/>
      <c r="I8" s="10">
        <f t="shared" si="5"/>
        <v>7222</v>
      </c>
      <c r="J8" s="10">
        <f t="shared" si="3"/>
        <v>47919417270.687531</v>
      </c>
      <c r="K8" s="11">
        <f t="shared" si="4"/>
        <v>1.1999999999998678E-3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11"/>
      <c r="H9" s="10"/>
      <c r="I9" s="10">
        <f t="shared" si="5"/>
        <v>7222</v>
      </c>
      <c r="J9" s="10">
        <f t="shared" si="3"/>
        <v>47861982891.218071</v>
      </c>
      <c r="K9" s="11">
        <f t="shared" si="4"/>
        <v>4.0999999999999925E-3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11"/>
      <c r="H10" s="10"/>
      <c r="I10" s="10">
        <f t="shared" si="5"/>
        <v>7222</v>
      </c>
      <c r="J10" s="10">
        <f t="shared" si="3"/>
        <v>47666550036.070183</v>
      </c>
      <c r="K10" s="11">
        <f t="shared" si="4"/>
        <v>4.0000000000002256E-3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11"/>
      <c r="H11" s="10"/>
      <c r="I11" s="10">
        <f t="shared" si="5"/>
        <v>7222</v>
      </c>
      <c r="J11" s="10">
        <f t="shared" si="3"/>
        <v>47476643462.221291</v>
      </c>
      <c r="K11" s="11">
        <f t="shared" si="4"/>
        <v>2.6999999999999247E-3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11"/>
      <c r="H12" s="10"/>
      <c r="I12" s="10">
        <f t="shared" si="5"/>
        <v>7222</v>
      </c>
      <c r="J12" s="10">
        <f t="shared" si="3"/>
        <v>47348801697.637672</v>
      </c>
      <c r="K12" s="11">
        <f t="shared" si="4"/>
        <v>2.1999999999999797E-3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11"/>
      <c r="H13" s="10"/>
      <c r="I13" s="10">
        <f t="shared" si="5"/>
        <v>7222</v>
      </c>
      <c r="J13" s="10">
        <f t="shared" si="3"/>
        <v>47244862999.039787</v>
      </c>
      <c r="K13" s="11">
        <f t="shared" si="4"/>
        <v>4.9999999999998934E-3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11"/>
      <c r="H14" s="10"/>
      <c r="I14" s="10">
        <f t="shared" si="5"/>
        <v>7222</v>
      </c>
      <c r="J14" s="10">
        <f t="shared" si="3"/>
        <v>47009813929.39283</v>
      </c>
      <c r="K14" s="11">
        <f t="shared" si="4"/>
        <v>4.9999999999998934E-3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11"/>
      <c r="H15" s="10"/>
      <c r="I15" s="10">
        <f t="shared" si="5"/>
        <v>7222</v>
      </c>
      <c r="J15" s="10">
        <f t="shared" si="3"/>
        <v>46775934258.102325</v>
      </c>
      <c r="K15" s="11">
        <f t="shared" si="4"/>
        <v>4.7999999999999154E-3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11"/>
      <c r="H16" s="10"/>
      <c r="I16" s="10">
        <f t="shared" si="5"/>
        <v>7222</v>
      </c>
      <c r="J16" s="10">
        <f t="shared" si="3"/>
        <v>46552482342.856621</v>
      </c>
      <c r="K16" s="11">
        <f t="shared" si="4"/>
        <v>4.3999999999999595E-3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11"/>
      <c r="H17" s="10"/>
      <c r="I17" s="10">
        <f t="shared" si="5"/>
        <v>7222</v>
      </c>
      <c r="J17" s="10">
        <f t="shared" si="3"/>
        <v>46348548728.451431</v>
      </c>
      <c r="K17" s="11">
        <f t="shared" si="4"/>
        <v>3.8000000000000256E-3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11"/>
      <c r="H18" s="10"/>
      <c r="I18" s="10">
        <f t="shared" si="5"/>
        <v>7222</v>
      </c>
      <c r="J18" s="10">
        <f t="shared" si="3"/>
        <v>46173090982.717102</v>
      </c>
      <c r="K18" s="11">
        <f t="shared" si="4"/>
        <v>3.4000000000000696E-3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11"/>
      <c r="H19" s="10"/>
      <c r="I19" s="10">
        <f t="shared" si="5"/>
        <v>7222</v>
      </c>
      <c r="J19" s="10">
        <f t="shared" si="3"/>
        <v>46016634425.669823</v>
      </c>
      <c r="K19" s="11">
        <f t="shared" si="4"/>
        <v>3.3999999999998476E-3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11"/>
      <c r="H20" s="10"/>
      <c r="I20" s="10">
        <f t="shared" si="5"/>
        <v>7222</v>
      </c>
      <c r="J20" s="10">
        <f t="shared" si="3"/>
        <v>45860708018.407242</v>
      </c>
      <c r="K20" s="11">
        <f t="shared" si="4"/>
        <v>3.8000000000002476E-3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11"/>
      <c r="H21" s="10"/>
      <c r="I21" s="10">
        <f t="shared" si="5"/>
        <v>7222</v>
      </c>
      <c r="J21" s="10">
        <f t="shared" si="3"/>
        <v>45687097049.618683</v>
      </c>
      <c r="K21" s="11">
        <f t="shared" si="4"/>
        <v>4.3999999999997375E-3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11"/>
      <c r="H22" s="10"/>
      <c r="I22" s="10">
        <f t="shared" si="5"/>
        <v>7222</v>
      </c>
      <c r="J22" s="10">
        <f t="shared" si="3"/>
        <v>45486954450.038521</v>
      </c>
      <c r="K22" s="11">
        <f t="shared" si="4"/>
        <v>5.3000000000000824E-3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11"/>
      <c r="H23" s="10"/>
      <c r="I23" s="10">
        <f t="shared" si="5"/>
        <v>7222</v>
      </c>
      <c r="J23" s="10">
        <f t="shared" si="3"/>
        <v>45247144583.744667</v>
      </c>
      <c r="K23" s="11">
        <f t="shared" si="4"/>
        <v>6.0999999999999943E-3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11"/>
      <c r="H24" s="10"/>
      <c r="I24" s="10">
        <f t="shared" si="5"/>
        <v>7222</v>
      </c>
      <c r="J24" s="10">
        <f t="shared" si="3"/>
        <v>44972810440.060303</v>
      </c>
      <c r="K24" s="11">
        <f t="shared" si="4"/>
        <v>6.8999999999999062E-3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11"/>
      <c r="H25" s="10"/>
      <c r="I25" s="10">
        <f t="shared" si="5"/>
        <v>7222</v>
      </c>
      <c r="J25" s="10">
        <f t="shared" si="3"/>
        <v>44664624530.797798</v>
      </c>
      <c r="K25" s="11">
        <f t="shared" si="4"/>
        <v>7.5000000000000622E-3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11"/>
      <c r="H26" s="10"/>
      <c r="I26" s="10">
        <f t="shared" si="5"/>
        <v>7222</v>
      </c>
      <c r="J26" s="10">
        <f t="shared" si="3"/>
        <v>44332133529.327835</v>
      </c>
      <c r="K26" s="11">
        <f t="shared" si="4"/>
        <v>7.8999999999997961E-3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11"/>
      <c r="H27" s="10"/>
      <c r="I27" s="10">
        <f t="shared" si="5"/>
        <v>7222</v>
      </c>
      <c r="J27" s="10">
        <f t="shared" si="3"/>
        <v>43984654756.749519</v>
      </c>
      <c r="K27" s="11">
        <f t="shared" si="4"/>
        <v>8.499999999999952E-3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11"/>
      <c r="H28" s="10"/>
      <c r="I28" s="10">
        <f t="shared" si="5"/>
        <v>7222</v>
      </c>
      <c r="J28" s="10">
        <f t="shared" si="3"/>
        <v>43613936298.214699</v>
      </c>
      <c r="K28" s="11">
        <f t="shared" si="4"/>
        <v>9.300000000000086E-3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11"/>
      <c r="H29" s="10"/>
      <c r="I29" s="10">
        <f t="shared" si="5"/>
        <v>7222</v>
      </c>
      <c r="J29" s="10">
        <f t="shared" si="3"/>
        <v>43212064102.065483</v>
      </c>
      <c r="K29" s="11">
        <f t="shared" si="4"/>
        <v>1.0399999999999965E-2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11"/>
      <c r="H30" s="10"/>
      <c r="I30" s="10">
        <f t="shared" si="5"/>
        <v>7222</v>
      </c>
      <c r="J30" s="10">
        <f t="shared" si="3"/>
        <v>42767284344.878746</v>
      </c>
      <c r="K30" s="11">
        <f t="shared" si="4"/>
        <v>1.1800000000000033E-2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11"/>
      <c r="H31" s="10"/>
      <c r="I31" s="10">
        <f t="shared" si="5"/>
        <v>7222</v>
      </c>
      <c r="J31" s="10">
        <f t="shared" si="3"/>
        <v>42268515857.75721</v>
      </c>
      <c r="K31" s="11">
        <f t="shared" si="4"/>
        <v>1.3200000000000101E-2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11"/>
      <c r="H32" s="10"/>
      <c r="I32" s="10">
        <f t="shared" si="5"/>
        <v>7222</v>
      </c>
      <c r="J32" s="10">
        <f t="shared" si="3"/>
        <v>41717840364.939995</v>
      </c>
      <c r="K32" s="11">
        <f t="shared" si="4"/>
        <v>1.2199999999999989E-2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11"/>
      <c r="H33" s="10"/>
      <c r="I33" s="10">
        <f t="shared" si="5"/>
        <v>7222</v>
      </c>
      <c r="J33" s="10">
        <f t="shared" si="3"/>
        <v>41215017155.641174</v>
      </c>
      <c r="K33" s="11">
        <f t="shared" si="4"/>
        <v>1.0700000000000154E-2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11"/>
      <c r="H34" s="10"/>
      <c r="I34" s="10">
        <f t="shared" si="5"/>
        <v>7222</v>
      </c>
      <c r="J34" s="10">
        <f t="shared" ref="J34:J65" si="6">IF(I34="","",I34*C34)</f>
        <v>40778685223.747078</v>
      </c>
      <c r="K34" s="11">
        <f t="shared" ref="K34:K65" si="7">IFERROR(J34/J35-1,"")</f>
        <v>1.089999999999991E-2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11"/>
      <c r="H35" s="10"/>
      <c r="I35" s="10">
        <f t="shared" ref="I35:I66" si="8">IF(H35&lt;&gt;"",H35,I34/(1+IF(G34="",0,G34)))</f>
        <v>7222</v>
      </c>
      <c r="J35" s="10">
        <f t="shared" si="6"/>
        <v>40338990230.237495</v>
      </c>
      <c r="K35" s="11">
        <f t="shared" si="7"/>
        <v>1.1200000000000099E-2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11"/>
      <c r="H36" s="10"/>
      <c r="I36" s="10">
        <f t="shared" si="8"/>
        <v>7222</v>
      </c>
      <c r="J36" s="10">
        <f t="shared" si="6"/>
        <v>39892197616.927902</v>
      </c>
      <c r="K36" s="11">
        <f t="shared" si="7"/>
        <v>1.1900000000000244E-2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11"/>
      <c r="H37" s="10"/>
      <c r="I37" s="10">
        <f t="shared" si="8"/>
        <v>7222</v>
      </c>
      <c r="J37" s="10">
        <f t="shared" si="6"/>
        <v>39423063165.261284</v>
      </c>
      <c r="K37" s="11">
        <f t="shared" si="7"/>
        <v>1.2699999999999712E-2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11"/>
      <c r="H38" s="10"/>
      <c r="I38" s="10">
        <f t="shared" si="8"/>
        <v>7222</v>
      </c>
      <c r="J38" s="10">
        <f t="shared" si="6"/>
        <v>38928669068.096466</v>
      </c>
      <c r="K38" s="11">
        <f t="shared" si="7"/>
        <v>1.2999999999999901E-2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11"/>
      <c r="H39" s="10"/>
      <c r="I39" s="10">
        <f t="shared" si="8"/>
        <v>7222</v>
      </c>
      <c r="J39" s="10">
        <f t="shared" si="6"/>
        <v>38429090886.571045</v>
      </c>
      <c r="K39" s="11">
        <f t="shared" si="7"/>
        <v>1.2699999999999934E-2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11"/>
      <c r="H40" s="10"/>
      <c r="I40" s="10">
        <f t="shared" si="8"/>
        <v>7222</v>
      </c>
      <c r="J40" s="10">
        <f t="shared" si="6"/>
        <v>37947161930.059296</v>
      </c>
      <c r="K40" s="11">
        <f t="shared" si="7"/>
        <v>1.2299999999999978E-2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11"/>
      <c r="H41" s="10"/>
      <c r="I41" s="10">
        <f t="shared" si="8"/>
        <v>7222</v>
      </c>
      <c r="J41" s="10">
        <f t="shared" si="6"/>
        <v>37486083107.832954</v>
      </c>
      <c r="K41" s="11">
        <f t="shared" si="7"/>
        <v>1.21E-2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11"/>
      <c r="H42" s="10"/>
      <c r="I42" s="10">
        <f t="shared" si="8"/>
        <v>7222</v>
      </c>
      <c r="J42" s="10">
        <f t="shared" si="6"/>
        <v>37037924224.713913</v>
      </c>
      <c r="K42" s="11">
        <f t="shared" si="7"/>
        <v>1.2099999999999778E-2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11"/>
      <c r="H43" s="10"/>
      <c r="I43" s="10">
        <f t="shared" si="8"/>
        <v>7222</v>
      </c>
      <c r="J43" s="10">
        <f t="shared" si="6"/>
        <v>36595123233.587509</v>
      </c>
      <c r="K43" s="11">
        <f t="shared" si="7"/>
        <v>1.2499999999999956E-2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11"/>
      <c r="H44" s="10"/>
      <c r="I44" s="10">
        <f t="shared" si="8"/>
        <v>7222</v>
      </c>
      <c r="J44" s="10">
        <f t="shared" si="6"/>
        <v>36143331588.728409</v>
      </c>
      <c r="K44" s="11">
        <f t="shared" si="7"/>
        <v>1.2699999999999934E-2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11"/>
      <c r="H45" s="10"/>
      <c r="I45" s="10">
        <f t="shared" si="8"/>
        <v>7222</v>
      </c>
      <c r="J45" s="10">
        <f t="shared" si="6"/>
        <v>35690067728.5755</v>
      </c>
      <c r="K45" s="11">
        <f t="shared" si="7"/>
        <v>1.2199999999999989E-2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11"/>
      <c r="H46" s="10"/>
      <c r="I46" s="10">
        <f t="shared" si="8"/>
        <v>7222</v>
      </c>
      <c r="J46" s="10">
        <f t="shared" si="6"/>
        <v>35259896985.354179</v>
      </c>
      <c r="K46" s="11">
        <f t="shared" si="7"/>
        <v>1.1100000000000332E-2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11"/>
      <c r="H47" s="10"/>
      <c r="I47" s="10">
        <f t="shared" si="8"/>
        <v>7222</v>
      </c>
      <c r="J47" s="10">
        <f t="shared" si="6"/>
        <v>34872808807.58992</v>
      </c>
      <c r="K47" s="11">
        <f t="shared" si="7"/>
        <v>1.089999999999991E-2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11"/>
      <c r="H48" s="10"/>
      <c r="I48" s="10">
        <f t="shared" si="8"/>
        <v>7222</v>
      </c>
      <c r="J48" s="10">
        <f t="shared" si="6"/>
        <v>34496793755.653305</v>
      </c>
      <c r="K48" s="11">
        <f t="shared" si="7"/>
        <v>1.2000000000000011E-2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11"/>
      <c r="H49" s="10"/>
      <c r="I49" s="10">
        <f t="shared" si="8"/>
        <v>7222</v>
      </c>
      <c r="J49" s="10">
        <f t="shared" si="6"/>
        <v>34087740865.270061</v>
      </c>
      <c r="K49" s="11">
        <f t="shared" si="7"/>
        <v>1.3100000000000112E-2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11"/>
      <c r="H50" s="10"/>
      <c r="I50" s="10">
        <f t="shared" si="8"/>
        <v>7222</v>
      </c>
      <c r="J50" s="10">
        <f t="shared" si="6"/>
        <v>33646965615.704334</v>
      </c>
      <c r="K50" s="11">
        <f t="shared" si="7"/>
        <v>1.4200000000000212E-2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11"/>
      <c r="H51" s="10"/>
      <c r="I51" s="10">
        <f t="shared" si="8"/>
        <v>7222</v>
      </c>
      <c r="J51" s="10">
        <f t="shared" si="6"/>
        <v>33175868286.042526</v>
      </c>
      <c r="K51" s="11">
        <f t="shared" si="7"/>
        <v>1.5500000000000069E-2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11"/>
      <c r="H52" s="10"/>
      <c r="I52" s="10">
        <f t="shared" si="8"/>
        <v>7222</v>
      </c>
      <c r="J52" s="10">
        <f t="shared" si="6"/>
        <v>32669491172.863144</v>
      </c>
      <c r="K52" s="11">
        <f t="shared" si="7"/>
        <v>1.6799999999999926E-2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11"/>
      <c r="H53" s="10"/>
      <c r="I53" s="10">
        <f t="shared" si="8"/>
        <v>7222</v>
      </c>
      <c r="J53" s="10">
        <f t="shared" si="6"/>
        <v>32129712011.077053</v>
      </c>
      <c r="K53" s="11">
        <f t="shared" si="7"/>
        <v>1.7899999999999805E-2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11"/>
      <c r="H54" s="10"/>
      <c r="I54" s="10">
        <f t="shared" si="8"/>
        <v>7222</v>
      </c>
      <c r="J54" s="10">
        <f t="shared" si="6"/>
        <v>31564703812.827446</v>
      </c>
      <c r="K54" s="11">
        <f t="shared" si="7"/>
        <v>1.8699999999999717E-2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11"/>
      <c r="H55" s="10"/>
      <c r="I55" s="10">
        <f t="shared" si="8"/>
        <v>7222</v>
      </c>
      <c r="J55" s="10">
        <f t="shared" si="6"/>
        <v>30985279093.77388</v>
      </c>
      <c r="K55" s="11">
        <f t="shared" si="7"/>
        <v>1.9600000000000062E-2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11"/>
      <c r="H56" s="10"/>
      <c r="I56" s="10">
        <f t="shared" si="8"/>
        <v>7222</v>
      </c>
      <c r="J56" s="10">
        <f t="shared" si="6"/>
        <v>30389642108.448292</v>
      </c>
      <c r="K56" s="11">
        <f t="shared" si="7"/>
        <v>2.1300000000000097E-2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11"/>
      <c r="H57" s="10"/>
      <c r="I57" s="10">
        <f t="shared" si="8"/>
        <v>7222</v>
      </c>
      <c r="J57" s="10">
        <f t="shared" si="6"/>
        <v>29755842659.794662</v>
      </c>
      <c r="K57" s="11">
        <f t="shared" si="7"/>
        <v>2.200000000000002E-2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11"/>
      <c r="H58" s="10"/>
      <c r="I58" s="10">
        <f t="shared" si="8"/>
        <v>7222</v>
      </c>
      <c r="J58" s="10">
        <f t="shared" si="6"/>
        <v>29115305929.348984</v>
      </c>
      <c r="K58" s="11">
        <f t="shared" si="7"/>
        <v>2.4000000000000021E-2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11"/>
      <c r="H59" s="10"/>
      <c r="I59" s="10">
        <f t="shared" si="8"/>
        <v>7222</v>
      </c>
      <c r="J59" s="10">
        <f t="shared" si="6"/>
        <v>28432915946.629868</v>
      </c>
      <c r="K59" s="11">
        <f t="shared" si="7"/>
        <v>2.6000000000000023E-2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11"/>
      <c r="H60" s="10"/>
      <c r="I60" s="10">
        <f t="shared" si="8"/>
        <v>7222</v>
      </c>
      <c r="J60" s="10">
        <f t="shared" si="6"/>
        <v>27712393710.165562</v>
      </c>
      <c r="K60" s="11">
        <f t="shared" si="7"/>
        <v>2.8000000000000025E-2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11"/>
      <c r="H61" s="10"/>
      <c r="I61" s="10">
        <f t="shared" si="8"/>
        <v>7222</v>
      </c>
      <c r="J61" s="10">
        <f t="shared" si="6"/>
        <v>26957581430.122139</v>
      </c>
      <c r="K61" s="11">
        <f t="shared" si="7"/>
        <v>2.7999999999999803E-2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11"/>
      <c r="H62" s="10"/>
      <c r="I62" s="10">
        <f t="shared" si="8"/>
        <v>7222</v>
      </c>
      <c r="J62" s="10">
        <f t="shared" si="6"/>
        <v>26223328239.418427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11"/>
      <c r="H63" s="10"/>
      <c r="I63" s="10">
        <f t="shared" si="8"/>
        <v>7222</v>
      </c>
      <c r="J63" s="10">
        <f t="shared" si="6"/>
        <v>25509074162.858391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11"/>
      <c r="H64" s="10"/>
      <c r="I64" s="10">
        <f t="shared" si="8"/>
        <v>7222</v>
      </c>
      <c r="J64" s="10">
        <f t="shared" si="6"/>
        <v>24814274477.488705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11"/>
      <c r="H65" s="10"/>
      <c r="I65" s="10">
        <f t="shared" si="8"/>
        <v>7222</v>
      </c>
      <c r="J65" s="10">
        <f t="shared" si="6"/>
        <v>24138399297.167999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6">
        <f>SUM(F2)</f>
        <v>6835852</v>
      </c>
      <c r="G66" s="11"/>
      <c r="H66" s="10"/>
      <c r="I66" s="10">
        <f t="shared" si="8"/>
        <v>7222</v>
      </c>
      <c r="J66" s="10">
        <f t="shared" ref="J66:J97" si="9">IF(I66="","",I66*C66)</f>
        <v>23503796784</v>
      </c>
      <c r="K66" s="11">
        <f t="shared" ref="K66:K97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11"/>
      <c r="H67" s="10"/>
      <c r="I67" s="10">
        <f t="shared" ref="I67:I98" si="11">IF(H67&lt;&gt;"",H67,I66/(1+IF(G66="",0,G66)))</f>
        <v>7222</v>
      </c>
      <c r="J67" s="10">
        <f t="shared" si="9"/>
        <v>22908184000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5">
        <v>3307617</v>
      </c>
      <c r="G2" s="11"/>
      <c r="H2" s="10"/>
      <c r="I2" s="10">
        <f>IF(H2&lt;&gt;"",H2,1702)</f>
        <v>1702</v>
      </c>
      <c r="J2" s="10">
        <f t="shared" ref="J2:J33" si="3">IF(I2="","",I2*C2)</f>
        <v>5628985163.0601444</v>
      </c>
      <c r="K2" s="11">
        <f t="shared" ref="K2:K33" si="4">IFERROR(J2/J3-1,"")</f>
        <v>1.3000000000000789E-3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11"/>
      <c r="H3" s="10"/>
      <c r="I3" s="10">
        <f t="shared" ref="I3:I34" si="5">IF(H3&lt;&gt;"",H3,I2/(1+IF(G2="",0,G2)))</f>
        <v>1702</v>
      </c>
      <c r="J3" s="10">
        <f t="shared" si="3"/>
        <v>5621676982.9822674</v>
      </c>
      <c r="K3" s="11">
        <f t="shared" si="4"/>
        <v>-4.1999999999999815E-3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11"/>
      <c r="H4" s="10"/>
      <c r="I4" s="10">
        <f t="shared" si="5"/>
        <v>1702</v>
      </c>
      <c r="J4" s="10">
        <f t="shared" si="3"/>
        <v>5645387610.9482498</v>
      </c>
      <c r="K4" s="11">
        <f t="shared" si="4"/>
        <v>6.7999999999999172E-3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11"/>
      <c r="H5" s="10"/>
      <c r="I5" s="10">
        <f t="shared" si="5"/>
        <v>1702</v>
      </c>
      <c r="J5" s="10">
        <f t="shared" si="3"/>
        <v>5607258254.815505</v>
      </c>
      <c r="K5" s="11">
        <f t="shared" si="4"/>
        <v>1.0000000000000009E-2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11"/>
      <c r="H6" s="10"/>
      <c r="I6" s="10">
        <f t="shared" si="5"/>
        <v>1702</v>
      </c>
      <c r="J6" s="10">
        <f t="shared" si="3"/>
        <v>5551740846.351985</v>
      </c>
      <c r="K6" s="11">
        <f t="shared" si="4"/>
        <v>1.5900000000000025E-2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11"/>
      <c r="H7" s="10"/>
      <c r="I7" s="10">
        <f t="shared" si="5"/>
        <v>1702</v>
      </c>
      <c r="J7" s="10">
        <f t="shared" si="3"/>
        <v>5464849735.5566339</v>
      </c>
      <c r="K7" s="11">
        <f t="shared" si="4"/>
        <v>-8.0000000000001181E-3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11"/>
      <c r="H8" s="10"/>
      <c r="I8" s="10">
        <f t="shared" si="5"/>
        <v>1702</v>
      </c>
      <c r="J8" s="10">
        <f t="shared" si="3"/>
        <v>5508921104.3917685</v>
      </c>
      <c r="K8" s="11">
        <f t="shared" si="4"/>
        <v>-6.5999999999998282E-3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11"/>
      <c r="H9" s="10"/>
      <c r="I9" s="10">
        <f t="shared" si="5"/>
        <v>1702</v>
      </c>
      <c r="J9" s="10">
        <f t="shared" si="3"/>
        <v>5545521546.5993233</v>
      </c>
      <c r="K9" s="11">
        <f t="shared" si="4"/>
        <v>2.1300000000000097E-2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11"/>
      <c r="H10" s="10"/>
      <c r="I10" s="10">
        <f t="shared" si="5"/>
        <v>1702</v>
      </c>
      <c r="J10" s="10">
        <f t="shared" si="3"/>
        <v>5429865413.2961159</v>
      </c>
      <c r="K10" s="11">
        <f t="shared" si="4"/>
        <v>1.9300000000000095E-2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11"/>
      <c r="H11" s="10"/>
      <c r="I11" s="10">
        <f t="shared" si="5"/>
        <v>1702</v>
      </c>
      <c r="J11" s="10">
        <f t="shared" si="3"/>
        <v>5327053284.8975916</v>
      </c>
      <c r="K11" s="11">
        <f t="shared" si="4"/>
        <v>2.0499999999999963E-2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11"/>
      <c r="H12" s="10"/>
      <c r="I12" s="10">
        <f t="shared" si="5"/>
        <v>1702</v>
      </c>
      <c r="J12" s="10">
        <f t="shared" si="3"/>
        <v>5220042415.3822556</v>
      </c>
      <c r="K12" s="11">
        <f t="shared" si="4"/>
        <v>2.2599999999999953E-2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11"/>
      <c r="H13" s="10"/>
      <c r="I13" s="10">
        <f t="shared" si="5"/>
        <v>1702</v>
      </c>
      <c r="J13" s="10">
        <f t="shared" si="3"/>
        <v>5104676721.4768782</v>
      </c>
      <c r="K13" s="11">
        <f t="shared" si="4"/>
        <v>2.1600000000000064E-2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11"/>
      <c r="H14" s="10"/>
      <c r="I14" s="10">
        <f t="shared" si="5"/>
        <v>1702</v>
      </c>
      <c r="J14" s="10">
        <f t="shared" si="3"/>
        <v>4996746986.56703</v>
      </c>
      <c r="K14" s="11">
        <f t="shared" si="4"/>
        <v>2.3900000000000032E-2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11"/>
      <c r="H15" s="10"/>
      <c r="I15" s="10">
        <f t="shared" si="5"/>
        <v>1702</v>
      </c>
      <c r="J15" s="10">
        <f t="shared" si="3"/>
        <v>4880112302.5364094</v>
      </c>
      <c r="K15" s="11">
        <f t="shared" si="4"/>
        <v>2.1900000000000031E-2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11"/>
      <c r="H16" s="10"/>
      <c r="I16" s="10">
        <f t="shared" si="5"/>
        <v>1702</v>
      </c>
      <c r="J16" s="10">
        <f t="shared" si="3"/>
        <v>4775528234.2072697</v>
      </c>
      <c r="K16" s="11">
        <f t="shared" si="4"/>
        <v>2.2199999999999775E-2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11"/>
      <c r="H17" s="10"/>
      <c r="I17" s="10">
        <f t="shared" si="5"/>
        <v>1702</v>
      </c>
      <c r="J17" s="10">
        <f t="shared" si="3"/>
        <v>4671813964.2019863</v>
      </c>
      <c r="K17" s="11">
        <f t="shared" si="4"/>
        <v>2.7500000000000302E-2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11"/>
      <c r="H18" s="10"/>
      <c r="I18" s="10">
        <f t="shared" si="5"/>
        <v>1702</v>
      </c>
      <c r="J18" s="10">
        <f t="shared" si="3"/>
        <v>4546777580.7318592</v>
      </c>
      <c r="K18" s="11">
        <f t="shared" si="4"/>
        <v>2.7399999999999869E-2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11"/>
      <c r="H19" s="10"/>
      <c r="I19" s="10">
        <f t="shared" si="5"/>
        <v>1702</v>
      </c>
      <c r="J19" s="10">
        <f t="shared" si="3"/>
        <v>4425518377.1966705</v>
      </c>
      <c r="K19" s="11">
        <f t="shared" si="4"/>
        <v>2.7099999999999902E-2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11"/>
      <c r="H20" s="10"/>
      <c r="I20" s="10">
        <f t="shared" si="5"/>
        <v>1702</v>
      </c>
      <c r="J20" s="10">
        <f t="shared" si="3"/>
        <v>4308751219.1575022</v>
      </c>
      <c r="K20" s="11">
        <f t="shared" si="4"/>
        <v>2.750000000000008E-2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11"/>
      <c r="H21" s="10"/>
      <c r="I21" s="10">
        <f t="shared" si="5"/>
        <v>1702</v>
      </c>
      <c r="J21" s="10">
        <f t="shared" si="3"/>
        <v>4193431843.4622893</v>
      </c>
      <c r="K21" s="11">
        <f t="shared" si="4"/>
        <v>2.5900000000000034E-2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11"/>
      <c r="H22" s="10"/>
      <c r="I22" s="10">
        <f t="shared" si="5"/>
        <v>1702</v>
      </c>
      <c r="J22" s="10">
        <f t="shared" si="3"/>
        <v>4087563937.4815183</v>
      </c>
      <c r="K22" s="11">
        <f t="shared" si="4"/>
        <v>2.7300000000000102E-2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11"/>
      <c r="H23" s="10"/>
      <c r="I23" s="10">
        <f t="shared" si="5"/>
        <v>1702</v>
      </c>
      <c r="J23" s="10">
        <f t="shared" si="3"/>
        <v>3978938905.3650517</v>
      </c>
      <c r="K23" s="11">
        <f t="shared" si="4"/>
        <v>3.1199999999999894E-2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11"/>
      <c r="H24" s="10"/>
      <c r="I24" s="10">
        <f t="shared" si="5"/>
        <v>1702</v>
      </c>
      <c r="J24" s="10">
        <f t="shared" si="3"/>
        <v>3858552080.4548607</v>
      </c>
      <c r="K24" s="11">
        <f t="shared" si="4"/>
        <v>3.1900000000000039E-2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11"/>
      <c r="H25" s="10"/>
      <c r="I25" s="10">
        <f t="shared" si="5"/>
        <v>1702</v>
      </c>
      <c r="J25" s="10">
        <f t="shared" si="3"/>
        <v>3739269387.0092649</v>
      </c>
      <c r="K25" s="11">
        <f t="shared" si="4"/>
        <v>3.180000000000005E-2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11"/>
      <c r="H26" s="10"/>
      <c r="I26" s="10">
        <f t="shared" si="5"/>
        <v>1702</v>
      </c>
      <c r="J26" s="10">
        <f t="shared" si="3"/>
        <v>3624025379.927568</v>
      </c>
      <c r="K26" s="11">
        <f t="shared" si="4"/>
        <v>3.1300000000000106E-2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11"/>
      <c r="H27" s="10"/>
      <c r="I27" s="10">
        <f t="shared" si="5"/>
        <v>1702</v>
      </c>
      <c r="J27" s="10">
        <f t="shared" si="3"/>
        <v>3514036051.5151434</v>
      </c>
      <c r="K27" s="11">
        <f t="shared" si="4"/>
        <v>3.1099999999999905E-2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11"/>
      <c r="H28" s="10"/>
      <c r="I28" s="10">
        <f t="shared" si="5"/>
        <v>1702</v>
      </c>
      <c r="J28" s="10">
        <f t="shared" si="3"/>
        <v>3408045826.3166943</v>
      </c>
      <c r="K28" s="11">
        <f t="shared" si="4"/>
        <v>2.5499999999999856E-2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11"/>
      <c r="H29" s="10"/>
      <c r="I29" s="10">
        <f t="shared" si="5"/>
        <v>1702</v>
      </c>
      <c r="J29" s="10">
        <f t="shared" si="3"/>
        <v>3323301634.6335392</v>
      </c>
      <c r="K29" s="11">
        <f t="shared" si="4"/>
        <v>1.6599999999999948E-2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11"/>
      <c r="H30" s="10"/>
      <c r="I30" s="10">
        <f t="shared" si="5"/>
        <v>1702</v>
      </c>
      <c r="J30" s="10">
        <f t="shared" si="3"/>
        <v>3269035642.9603968</v>
      </c>
      <c r="K30" s="11">
        <f t="shared" si="4"/>
        <v>1.3200000000000101E-2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11"/>
      <c r="H31" s="10"/>
      <c r="I31" s="10">
        <f t="shared" si="5"/>
        <v>1702</v>
      </c>
      <c r="J31" s="10">
        <f t="shared" si="3"/>
        <v>3226446548.5199332</v>
      </c>
      <c r="K31" s="11">
        <f t="shared" si="4"/>
        <v>1.2699999999999934E-2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11"/>
      <c r="H32" s="10"/>
      <c r="I32" s="10">
        <f t="shared" si="5"/>
        <v>1702</v>
      </c>
      <c r="J32" s="10">
        <f t="shared" si="3"/>
        <v>3185984544.800961</v>
      </c>
      <c r="K32" s="11">
        <f t="shared" si="4"/>
        <v>1.2499999999999956E-2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11"/>
      <c r="H33" s="10"/>
      <c r="I33" s="10">
        <f t="shared" si="5"/>
        <v>1702</v>
      </c>
      <c r="J33" s="10">
        <f t="shared" si="3"/>
        <v>3146651402.2725544</v>
      </c>
      <c r="K33" s="11">
        <f t="shared" si="4"/>
        <v>1.2199999999999989E-2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11"/>
      <c r="H34" s="10"/>
      <c r="I34" s="10">
        <f t="shared" si="5"/>
        <v>1702</v>
      </c>
      <c r="J34" s="10">
        <f t="shared" ref="J34:J65" si="6">IF(I34="","",I34*C34)</f>
        <v>3108724957.7875462</v>
      </c>
      <c r="K34" s="11">
        <f t="shared" ref="K34:K65" si="7">IFERROR(J34/J35-1,"")</f>
        <v>1.1900000000000022E-2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11"/>
      <c r="H35" s="10"/>
      <c r="I35" s="10">
        <f t="shared" ref="I35:I66" si="8">IF(H35&lt;&gt;"",H35,I34/(1+IF(G34="",0,G34)))</f>
        <v>1702</v>
      </c>
      <c r="J35" s="10">
        <f t="shared" si="6"/>
        <v>3072166180.2426586</v>
      </c>
      <c r="K35" s="11">
        <f t="shared" si="7"/>
        <v>1.1599999999999833E-2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11"/>
      <c r="H36" s="10"/>
      <c r="I36" s="10">
        <f t="shared" si="8"/>
        <v>1702</v>
      </c>
      <c r="J36" s="10">
        <f t="shared" si="6"/>
        <v>3036937702.8891449</v>
      </c>
      <c r="K36" s="11">
        <f t="shared" si="7"/>
        <v>1.1300000000000088E-2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11"/>
      <c r="H37" s="10"/>
      <c r="I37" s="10">
        <f t="shared" si="8"/>
        <v>1702</v>
      </c>
      <c r="J37" s="10">
        <f t="shared" si="6"/>
        <v>3003003760.3966622</v>
      </c>
      <c r="K37" s="11">
        <f t="shared" si="7"/>
        <v>1.0999999999999899E-2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11"/>
      <c r="H38" s="10"/>
      <c r="I38" s="10">
        <f t="shared" si="8"/>
        <v>1702</v>
      </c>
      <c r="J38" s="10">
        <f t="shared" si="6"/>
        <v>2970330128.9779053</v>
      </c>
      <c r="K38" s="11">
        <f t="shared" si="7"/>
        <v>1.0699999999999932E-2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11"/>
      <c r="H39" s="10"/>
      <c r="I39" s="10">
        <f t="shared" si="8"/>
        <v>1702</v>
      </c>
      <c r="J39" s="10">
        <f t="shared" si="6"/>
        <v>2938884069.4349518</v>
      </c>
      <c r="K39" s="11">
        <f t="shared" si="7"/>
        <v>1.0499999999999954E-2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11"/>
      <c r="H40" s="10"/>
      <c r="I40" s="10">
        <f t="shared" si="8"/>
        <v>1702</v>
      </c>
      <c r="J40" s="10">
        <f t="shared" si="6"/>
        <v>2908346431.900002</v>
      </c>
      <c r="K40" s="11">
        <f t="shared" si="7"/>
        <v>1.0300000000000198E-2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11"/>
      <c r="H41" s="10"/>
      <c r="I41" s="10">
        <f t="shared" si="8"/>
        <v>1702</v>
      </c>
      <c r="J41" s="10">
        <f t="shared" si="6"/>
        <v>2878695864.4956961</v>
      </c>
      <c r="K41" s="11">
        <f t="shared" si="7"/>
        <v>1.4899999999999913E-2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11"/>
      <c r="H42" s="10"/>
      <c r="I42" s="10">
        <f t="shared" si="8"/>
        <v>1702</v>
      </c>
      <c r="J42" s="10">
        <f t="shared" si="6"/>
        <v>2836433012.6078396</v>
      </c>
      <c r="K42" s="11">
        <f t="shared" si="7"/>
        <v>1.9500000000000073E-2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11"/>
      <c r="H43" s="10"/>
      <c r="I43" s="10">
        <f t="shared" si="8"/>
        <v>1702</v>
      </c>
      <c r="J43" s="10">
        <f t="shared" si="6"/>
        <v>2782180492.9944477</v>
      </c>
      <c r="K43" s="11">
        <f t="shared" si="7"/>
        <v>1.9300000000000095E-2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11"/>
      <c r="H44" s="10"/>
      <c r="I44" s="10">
        <f t="shared" si="8"/>
        <v>1702</v>
      </c>
      <c r="J44" s="10">
        <f t="shared" si="6"/>
        <v>2729501121.3523469</v>
      </c>
      <c r="K44" s="11">
        <f t="shared" si="7"/>
        <v>1.9200000000000106E-2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11"/>
      <c r="H45" s="10"/>
      <c r="I45" s="10">
        <f t="shared" si="8"/>
        <v>1702</v>
      </c>
      <c r="J45" s="10">
        <f t="shared" si="6"/>
        <v>2678081947.9516745</v>
      </c>
      <c r="K45" s="11">
        <f t="shared" si="7"/>
        <v>1.9600000000000062E-2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11"/>
      <c r="H46" s="10"/>
      <c r="I46" s="10">
        <f t="shared" si="8"/>
        <v>1702</v>
      </c>
      <c r="J46" s="10">
        <f t="shared" si="6"/>
        <v>2626600576.6493468</v>
      </c>
      <c r="K46" s="11">
        <f t="shared" si="7"/>
        <v>2.0699999999999719E-2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11"/>
      <c r="H47" s="10"/>
      <c r="I47" s="10">
        <f t="shared" si="8"/>
        <v>1702</v>
      </c>
      <c r="J47" s="10">
        <f t="shared" si="6"/>
        <v>2573332591.99505</v>
      </c>
      <c r="K47" s="11">
        <f t="shared" si="7"/>
        <v>2.220000000000022E-2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11"/>
      <c r="H48" s="10"/>
      <c r="I48" s="10">
        <f t="shared" si="8"/>
        <v>1702</v>
      </c>
      <c r="J48" s="10">
        <f t="shared" si="6"/>
        <v>2517445306.1974659</v>
      </c>
      <c r="K48" s="11">
        <f t="shared" si="7"/>
        <v>2.2899999999999698E-2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11"/>
      <c r="H49" s="10"/>
      <c r="I49" s="10">
        <f t="shared" si="8"/>
        <v>1702</v>
      </c>
      <c r="J49" s="10">
        <f t="shared" si="6"/>
        <v>2461086427.0187373</v>
      </c>
      <c r="K49" s="11">
        <f t="shared" si="7"/>
        <v>2.2500000000000187E-2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11"/>
      <c r="H50" s="10"/>
      <c r="I50" s="10">
        <f t="shared" si="8"/>
        <v>1702</v>
      </c>
      <c r="J50" s="10">
        <f t="shared" si="6"/>
        <v>2406930490.9718699</v>
      </c>
      <c r="K50" s="11">
        <f t="shared" si="7"/>
        <v>2.1800000000000042E-2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11"/>
      <c r="H51" s="10"/>
      <c r="I51" s="10">
        <f t="shared" si="8"/>
        <v>1702</v>
      </c>
      <c r="J51" s="10">
        <f t="shared" si="6"/>
        <v>2355578871.571609</v>
      </c>
      <c r="K51" s="11">
        <f t="shared" si="7"/>
        <v>2.1200000000000108E-2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11"/>
      <c r="H52" s="10"/>
      <c r="I52" s="10">
        <f t="shared" si="8"/>
        <v>1702</v>
      </c>
      <c r="J52" s="10">
        <f t="shared" si="6"/>
        <v>2306677312.5456414</v>
      </c>
      <c r="K52" s="11">
        <f t="shared" si="7"/>
        <v>2.0600000000000174E-2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11"/>
      <c r="H53" s="10"/>
      <c r="I53" s="10">
        <f t="shared" si="8"/>
        <v>1702</v>
      </c>
      <c r="J53" s="10">
        <f t="shared" si="6"/>
        <v>2260118863.9483061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11"/>
      <c r="H54" s="10"/>
      <c r="I54" s="10">
        <f t="shared" si="8"/>
        <v>1702</v>
      </c>
      <c r="J54" s="10">
        <f t="shared" si="6"/>
        <v>2215585593.5185823</v>
      </c>
      <c r="K54" s="11">
        <f t="shared" si="7"/>
        <v>1.959999999999984E-2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11"/>
      <c r="H55" s="10"/>
      <c r="I55" s="10">
        <f t="shared" si="8"/>
        <v>1702</v>
      </c>
      <c r="J55" s="10">
        <f t="shared" si="6"/>
        <v>2172994893.6039453</v>
      </c>
      <c r="K55" s="11">
        <f t="shared" si="7"/>
        <v>1.9099999999999895E-2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11"/>
      <c r="H56" s="10"/>
      <c r="I56" s="10">
        <f t="shared" si="8"/>
        <v>1702</v>
      </c>
      <c r="J56" s="10">
        <f t="shared" si="6"/>
        <v>2132268564.0309541</v>
      </c>
      <c r="K56" s="11">
        <f t="shared" si="7"/>
        <v>1.8799999999999928E-2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11"/>
      <c r="H57" s="10"/>
      <c r="I57" s="10">
        <f t="shared" si="8"/>
        <v>1702</v>
      </c>
      <c r="J57" s="10">
        <f t="shared" si="6"/>
        <v>2092921637.2506421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11"/>
      <c r="H58" s="10"/>
      <c r="I58" s="10">
        <f t="shared" si="8"/>
        <v>1702</v>
      </c>
      <c r="J58" s="10">
        <f t="shared" si="6"/>
        <v>2055915164.2933617</v>
      </c>
      <c r="K58" s="11">
        <f t="shared" si="7"/>
        <v>1.8000000000000238E-2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11"/>
      <c r="H59" s="10"/>
      <c r="I59" s="10">
        <f t="shared" si="8"/>
        <v>1702</v>
      </c>
      <c r="J59" s="10">
        <f t="shared" si="6"/>
        <v>2019563029.7577224</v>
      </c>
      <c r="K59" s="11">
        <f t="shared" si="7"/>
        <v>1.8000000000000016E-2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11"/>
      <c r="H60" s="10"/>
      <c r="I60" s="10">
        <f t="shared" si="8"/>
        <v>1702</v>
      </c>
      <c r="J60" s="10">
        <f t="shared" si="6"/>
        <v>1983853663.8091576</v>
      </c>
      <c r="K60" s="11">
        <f t="shared" si="7"/>
        <v>1.6999999999999682E-2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11"/>
      <c r="H61" s="10"/>
      <c r="I61" s="10">
        <f t="shared" si="8"/>
        <v>1702</v>
      </c>
      <c r="J61" s="10">
        <f t="shared" si="6"/>
        <v>1950691901.4839313</v>
      </c>
      <c r="K61" s="11">
        <f t="shared" si="7"/>
        <v>1.6999999999999904E-2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11"/>
      <c r="H62" s="10"/>
      <c r="I62" s="10">
        <f t="shared" si="8"/>
        <v>1702</v>
      </c>
      <c r="J62" s="10">
        <f t="shared" si="6"/>
        <v>1918084465.5692542</v>
      </c>
      <c r="K62" s="11">
        <f t="shared" si="7"/>
        <v>1.6999999999999904E-2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11"/>
      <c r="H63" s="10"/>
      <c r="I63" s="10">
        <f t="shared" si="8"/>
        <v>1702</v>
      </c>
      <c r="J63" s="10">
        <f t="shared" si="6"/>
        <v>1886022090.0385983</v>
      </c>
      <c r="K63" s="11">
        <f t="shared" si="7"/>
        <v>1.6000000000000014E-2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11"/>
      <c r="H64" s="10"/>
      <c r="I64" s="10">
        <f t="shared" si="8"/>
        <v>1702</v>
      </c>
      <c r="J64" s="10">
        <f t="shared" si="6"/>
        <v>1856320954.7623999</v>
      </c>
      <c r="K64" s="11">
        <f t="shared" si="7"/>
        <v>1.6000000000000014E-2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11"/>
      <c r="H65" s="10"/>
      <c r="I65" s="10">
        <f t="shared" si="8"/>
        <v>1702</v>
      </c>
      <c r="J65" s="10">
        <f t="shared" si="6"/>
        <v>1827087553.8999999</v>
      </c>
      <c r="K65" s="11">
        <f t="shared" si="7"/>
        <v>1.4999999999999902E-2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6">
        <f>SUM(F2)</f>
        <v>3307617</v>
      </c>
      <c r="G66" s="11"/>
      <c r="H66" s="10"/>
      <c r="I66" s="10">
        <f t="shared" si="8"/>
        <v>1702</v>
      </c>
      <c r="J66" s="10">
        <f t="shared" ref="J66:J97" si="9">IF(I66="","",I66*C66)</f>
        <v>1800086260</v>
      </c>
      <c r="K66" s="11">
        <f t="shared" ref="K66:K97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11"/>
      <c r="H67" s="10"/>
      <c r="I67" s="10">
        <f t="shared" ref="I67:I98" si="11">IF(H67&lt;&gt;"",H67,I66/(1+IF(G66="",0,G66)))</f>
        <v>1702</v>
      </c>
      <c r="J67" s="10">
        <f t="shared" si="9"/>
        <v>1773484000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5">
        <v>1640804</v>
      </c>
      <c r="G2" s="11"/>
      <c r="H2" s="10"/>
      <c r="I2" s="10">
        <f>IF(H2&lt;&gt;"",H2,30992)</f>
        <v>30992</v>
      </c>
      <c r="J2" s="10">
        <f t="shared" ref="J2:J33" si="3">IF(I2="","",I2*C2)</f>
        <v>50827533078.387222</v>
      </c>
      <c r="K2" s="11">
        <f t="shared" ref="K2:K33" si="4">IFERROR(J2/J3-1,"")</f>
        <v>8.499999999999952E-3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11"/>
      <c r="H3" s="10"/>
      <c r="I3" s="10">
        <f t="shared" ref="I3:I34" si="5">IF(H3&lt;&gt;"",H3,I2/(1+IF(G2="",0,G2)))</f>
        <v>30992</v>
      </c>
      <c r="J3" s="10">
        <f t="shared" si="3"/>
        <v>50399140385.113754</v>
      </c>
      <c r="K3" s="11">
        <f t="shared" si="4"/>
        <v>6.9999999999996732E-3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11"/>
      <c r="H4" s="10"/>
      <c r="I4" s="10">
        <f t="shared" si="5"/>
        <v>30992</v>
      </c>
      <c r="J4" s="10">
        <f t="shared" si="3"/>
        <v>50048798793.558853</v>
      </c>
      <c r="K4" s="11">
        <f t="shared" si="4"/>
        <v>4.0000000000000036E-3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11"/>
      <c r="H5" s="10"/>
      <c r="I5" s="10">
        <f t="shared" si="5"/>
        <v>30992</v>
      </c>
      <c r="J5" s="10">
        <f t="shared" si="3"/>
        <v>49849401188.803635</v>
      </c>
      <c r="K5" s="11">
        <f t="shared" si="4"/>
        <v>1.0999999999999899E-2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11"/>
      <c r="H6" s="10"/>
      <c r="I6" s="10">
        <f t="shared" si="5"/>
        <v>30992</v>
      </c>
      <c r="J6" s="10">
        <f t="shared" si="3"/>
        <v>49307023925.621796</v>
      </c>
      <c r="K6" s="11">
        <f t="shared" si="4"/>
        <v>6.6999999999999282E-3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11"/>
      <c r="H7" s="10"/>
      <c r="I7" s="10">
        <f t="shared" si="5"/>
        <v>30992</v>
      </c>
      <c r="J7" s="10">
        <f t="shared" si="3"/>
        <v>48978865526.59362</v>
      </c>
      <c r="K7" s="11">
        <f t="shared" si="4"/>
        <v>7.3000000000000842E-3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11"/>
      <c r="H8" s="10"/>
      <c r="I8" s="10">
        <f t="shared" si="5"/>
        <v>30992</v>
      </c>
      <c r="J8" s="10">
        <f t="shared" si="3"/>
        <v>48623910976.465424</v>
      </c>
      <c r="K8" s="11">
        <f t="shared" si="4"/>
        <v>2.1999999999999797E-3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11"/>
      <c r="H9" s="10"/>
      <c r="I9" s="10">
        <f t="shared" si="5"/>
        <v>30992</v>
      </c>
      <c r="J9" s="10">
        <f t="shared" si="3"/>
        <v>48517173195.435463</v>
      </c>
      <c r="K9" s="11">
        <f t="shared" si="4"/>
        <v>6.0000000000000053E-3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11"/>
      <c r="H10" s="10"/>
      <c r="I10" s="10">
        <f t="shared" si="5"/>
        <v>30992</v>
      </c>
      <c r="J10" s="10">
        <f t="shared" si="3"/>
        <v>48227806357.291718</v>
      </c>
      <c r="K10" s="11">
        <f t="shared" si="4"/>
        <v>8.599999999999941E-3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11"/>
      <c r="H11" s="10"/>
      <c r="I11" s="10">
        <f t="shared" si="5"/>
        <v>30992</v>
      </c>
      <c r="J11" s="10">
        <f t="shared" si="3"/>
        <v>47816583737.152214</v>
      </c>
      <c r="K11" s="11">
        <f t="shared" si="4"/>
        <v>6.4000000000001833E-3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11"/>
      <c r="H12" s="10"/>
      <c r="I12" s="10">
        <f t="shared" si="5"/>
        <v>30992</v>
      </c>
      <c r="J12" s="10">
        <f t="shared" si="3"/>
        <v>47512503713.386536</v>
      </c>
      <c r="K12" s="11">
        <f t="shared" si="4"/>
        <v>4.3999999999999595E-3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11"/>
      <c r="H13" s="10"/>
      <c r="I13" s="10">
        <f t="shared" si="5"/>
        <v>30992</v>
      </c>
      <c r="J13" s="10">
        <f t="shared" si="3"/>
        <v>47304364509.54454</v>
      </c>
      <c r="K13" s="11">
        <f t="shared" si="4"/>
        <v>7.8000000000000291E-3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11"/>
      <c r="H14" s="10"/>
      <c r="I14" s="10">
        <f t="shared" si="5"/>
        <v>30992</v>
      </c>
      <c r="J14" s="10">
        <f t="shared" si="3"/>
        <v>46938246189.26825</v>
      </c>
      <c r="K14" s="11">
        <f t="shared" si="4"/>
        <v>-2.0000000000000018E-3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11"/>
      <c r="H15" s="10"/>
      <c r="I15" s="10">
        <f t="shared" si="5"/>
        <v>30992</v>
      </c>
      <c r="J15" s="10">
        <f t="shared" si="3"/>
        <v>47032310810.89003</v>
      </c>
      <c r="K15" s="11">
        <f t="shared" si="4"/>
        <v>4.3999999999999595E-3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11"/>
      <c r="H16" s="10"/>
      <c r="I16" s="10">
        <f t="shared" si="5"/>
        <v>30992</v>
      </c>
      <c r="J16" s="10">
        <f t="shared" si="3"/>
        <v>46826275200.009987</v>
      </c>
      <c r="K16" s="11">
        <f t="shared" si="4"/>
        <v>7.4000000000000732E-3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11"/>
      <c r="H17" s="10"/>
      <c r="I17" s="10">
        <f t="shared" si="5"/>
        <v>30992</v>
      </c>
      <c r="J17" s="10">
        <f t="shared" si="3"/>
        <v>46482306134.613838</v>
      </c>
      <c r="K17" s="11">
        <f t="shared" si="4"/>
        <v>8.799999999999919E-3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11"/>
      <c r="H18" s="10"/>
      <c r="I18" s="10">
        <f t="shared" si="5"/>
        <v>30992</v>
      </c>
      <c r="J18" s="10">
        <f t="shared" si="3"/>
        <v>46076830030.346794</v>
      </c>
      <c r="K18" s="11">
        <f t="shared" si="4"/>
        <v>9.6000000000000529E-3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11"/>
      <c r="H19" s="10"/>
      <c r="I19" s="10">
        <f t="shared" si="5"/>
        <v>30992</v>
      </c>
      <c r="J19" s="10">
        <f t="shared" si="3"/>
        <v>45638698524.511482</v>
      </c>
      <c r="K19" s="11">
        <f t="shared" si="4"/>
        <v>8.2999999999999741E-3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11"/>
      <c r="H20" s="10"/>
      <c r="I20" s="10">
        <f t="shared" si="5"/>
        <v>30992</v>
      </c>
      <c r="J20" s="10">
        <f t="shared" si="3"/>
        <v>45263015495.895546</v>
      </c>
      <c r="K20" s="11">
        <f t="shared" si="4"/>
        <v>8.2999999999999741E-3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11"/>
      <c r="H21" s="10"/>
      <c r="I21" s="10">
        <f t="shared" si="5"/>
        <v>30992</v>
      </c>
      <c r="J21" s="10">
        <f t="shared" si="3"/>
        <v>44890424968.655708</v>
      </c>
      <c r="K21" s="11">
        <f t="shared" si="4"/>
        <v>4.4399999999999995E-2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11"/>
      <c r="H22" s="10"/>
      <c r="I22" s="10">
        <f t="shared" si="5"/>
        <v>30992</v>
      </c>
      <c r="J22" s="10">
        <f t="shared" si="3"/>
        <v>42982023141.187004</v>
      </c>
      <c r="K22" s="11">
        <f t="shared" si="4"/>
        <v>1.9799999999999818E-2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11"/>
      <c r="H23" s="10"/>
      <c r="I23" s="10">
        <f t="shared" si="5"/>
        <v>30992</v>
      </c>
      <c r="J23" s="10">
        <f t="shared" si="3"/>
        <v>42147502589.906853</v>
      </c>
      <c r="K23" s="11">
        <f t="shared" si="4"/>
        <v>2.2499999999999742E-2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11"/>
      <c r="H24" s="10"/>
      <c r="I24" s="10">
        <f t="shared" si="5"/>
        <v>30992</v>
      </c>
      <c r="J24" s="10">
        <f t="shared" si="3"/>
        <v>41220051432.671745</v>
      </c>
      <c r="K24" s="11">
        <f t="shared" si="4"/>
        <v>1.7200000000000104E-2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11"/>
      <c r="H25" s="10"/>
      <c r="I25" s="10">
        <f t="shared" si="5"/>
        <v>30992</v>
      </c>
      <c r="J25" s="10">
        <f t="shared" si="3"/>
        <v>40523054888.588028</v>
      </c>
      <c r="K25" s="11">
        <f t="shared" si="4"/>
        <v>8.3999999999999631E-3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11"/>
      <c r="H26" s="10"/>
      <c r="I26" s="10">
        <f t="shared" si="5"/>
        <v>30992</v>
      </c>
      <c r="J26" s="10">
        <f t="shared" si="3"/>
        <v>40185496716.17218</v>
      </c>
      <c r="K26" s="11">
        <f t="shared" si="4"/>
        <v>8.299999999999752E-3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11"/>
      <c r="H27" s="10"/>
      <c r="I27" s="10">
        <f t="shared" si="5"/>
        <v>30992</v>
      </c>
      <c r="J27" s="10">
        <f t="shared" si="3"/>
        <v>39854702683.895851</v>
      </c>
      <c r="K27" s="11">
        <f t="shared" si="4"/>
        <v>3.2000000000000917E-3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11"/>
      <c r="H28" s="10"/>
      <c r="I28" s="10">
        <f t="shared" si="5"/>
        <v>30992</v>
      </c>
      <c r="J28" s="10">
        <f t="shared" si="3"/>
        <v>39727574445.669701</v>
      </c>
      <c r="K28" s="11">
        <f t="shared" si="4"/>
        <v>1.0399999999999965E-2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11"/>
      <c r="H29" s="10"/>
      <c r="I29" s="10">
        <f t="shared" si="5"/>
        <v>30992</v>
      </c>
      <c r="J29" s="10">
        <f t="shared" si="3"/>
        <v>39318660377.741196</v>
      </c>
      <c r="K29" s="11">
        <f t="shared" si="4"/>
        <v>8.4000000000001851E-3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11"/>
      <c r="H30" s="10"/>
      <c r="I30" s="10">
        <f t="shared" si="5"/>
        <v>30992</v>
      </c>
      <c r="J30" s="10">
        <f t="shared" si="3"/>
        <v>38991134845.042831</v>
      </c>
      <c r="K30" s="11">
        <f t="shared" si="4"/>
        <v>1.0099999999999998E-2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11"/>
      <c r="H31" s="10"/>
      <c r="I31" s="10">
        <f t="shared" si="5"/>
        <v>30992</v>
      </c>
      <c r="J31" s="10">
        <f t="shared" si="3"/>
        <v>38601262097.8545</v>
      </c>
      <c r="K31" s="11">
        <f t="shared" si="4"/>
        <v>1.2499999999999734E-2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11"/>
      <c r="H32" s="10"/>
      <c r="I32" s="10">
        <f t="shared" si="5"/>
        <v>30992</v>
      </c>
      <c r="J32" s="10">
        <f t="shared" si="3"/>
        <v>38124703306.522972</v>
      </c>
      <c r="K32" s="11">
        <f t="shared" si="4"/>
        <v>1.0700000000000154E-2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11"/>
      <c r="H33" s="10"/>
      <c r="I33" s="10">
        <f t="shared" si="5"/>
        <v>30992</v>
      </c>
      <c r="J33" s="10">
        <f t="shared" si="3"/>
        <v>37721087668.470337</v>
      </c>
      <c r="K33" s="11">
        <f t="shared" si="4"/>
        <v>9.7999999999998089E-3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11"/>
      <c r="H34" s="10"/>
      <c r="I34" s="10">
        <f t="shared" si="5"/>
        <v>30992</v>
      </c>
      <c r="J34" s="10">
        <f t="shared" ref="J34:J65" si="6">IF(I34="","",I34*C34)</f>
        <v>37355008584.343773</v>
      </c>
      <c r="K34" s="11">
        <f t="shared" ref="K34:K65" si="7">IFERROR(J34/J35-1,"")</f>
        <v>1.5200000000000102E-2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11"/>
      <c r="H35" s="10"/>
      <c r="I35" s="10">
        <f t="shared" ref="I35:I66" si="8">IF(H35&lt;&gt;"",H35,I34/(1+IF(G34="",0,G34)))</f>
        <v>30992</v>
      </c>
      <c r="J35" s="10">
        <f t="shared" si="6"/>
        <v>36795713735.56321</v>
      </c>
      <c r="K35" s="11">
        <f t="shared" si="7"/>
        <v>1.5500000000000069E-2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11"/>
      <c r="H36" s="10"/>
      <c r="I36" s="10">
        <f t="shared" si="8"/>
        <v>30992</v>
      </c>
      <c r="J36" s="10">
        <f t="shared" si="6"/>
        <v>36234085411.682137</v>
      </c>
      <c r="K36" s="11">
        <f t="shared" si="7"/>
        <v>2.3499999999999854E-2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11"/>
      <c r="H37" s="10"/>
      <c r="I37" s="10">
        <f t="shared" si="8"/>
        <v>30992</v>
      </c>
      <c r="J37" s="10">
        <f t="shared" si="6"/>
        <v>35402135233.690414</v>
      </c>
      <c r="K37" s="11">
        <f t="shared" si="7"/>
        <v>2.6699999999999946E-2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11"/>
      <c r="H38" s="10"/>
      <c r="I38" s="10">
        <f t="shared" si="8"/>
        <v>30992</v>
      </c>
      <c r="J38" s="10">
        <f t="shared" si="6"/>
        <v>34481479725.032059</v>
      </c>
      <c r="K38" s="11">
        <f t="shared" si="7"/>
        <v>5.4699999999999971E-2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11"/>
      <c r="H39" s="10"/>
      <c r="I39" s="10">
        <f t="shared" si="8"/>
        <v>30992</v>
      </c>
      <c r="J39" s="10">
        <f t="shared" si="6"/>
        <v>32693163672.164654</v>
      </c>
      <c r="K39" s="11">
        <f t="shared" si="7"/>
        <v>1.8099999999999783E-2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11"/>
      <c r="H40" s="10"/>
      <c r="I40" s="10">
        <f t="shared" si="8"/>
        <v>30992</v>
      </c>
      <c r="J40" s="10">
        <f t="shared" si="6"/>
        <v>32111937601.57613</v>
      </c>
      <c r="K40" s="11">
        <f t="shared" si="7"/>
        <v>1.4399999999999968E-2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11"/>
      <c r="H41" s="10"/>
      <c r="I41" s="10">
        <f t="shared" si="8"/>
        <v>30992</v>
      </c>
      <c r="J41" s="10">
        <f t="shared" si="6"/>
        <v>31656089906.916531</v>
      </c>
      <c r="K41" s="11">
        <f t="shared" si="7"/>
        <v>1.2599999999999945E-2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11"/>
      <c r="H42" s="10"/>
      <c r="I42" s="10">
        <f t="shared" si="8"/>
        <v>30992</v>
      </c>
      <c r="J42" s="10">
        <f t="shared" si="6"/>
        <v>31262186358.795704</v>
      </c>
      <c r="K42" s="11">
        <f t="shared" si="7"/>
        <v>1.8999999999999906E-2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11"/>
      <c r="H43" s="10"/>
      <c r="I43" s="10">
        <f t="shared" si="8"/>
        <v>30992</v>
      </c>
      <c r="J43" s="10">
        <f t="shared" si="6"/>
        <v>30679280038.072334</v>
      </c>
      <c r="K43" s="11">
        <f t="shared" si="7"/>
        <v>3.1600000000000072E-2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11"/>
      <c r="H44" s="10"/>
      <c r="I44" s="10">
        <f t="shared" si="8"/>
        <v>30992</v>
      </c>
      <c r="J44" s="10">
        <f t="shared" si="6"/>
        <v>29739511475.44817</v>
      </c>
      <c r="K44" s="11">
        <f t="shared" si="7"/>
        <v>2.8200000000000003E-2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11"/>
      <c r="H45" s="10"/>
      <c r="I45" s="10">
        <f t="shared" si="8"/>
        <v>30992</v>
      </c>
      <c r="J45" s="10">
        <f t="shared" si="6"/>
        <v>28923858661.202263</v>
      </c>
      <c r="K45" s="11">
        <f t="shared" si="7"/>
        <v>1.9199999999999884E-2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11"/>
      <c r="H46" s="10"/>
      <c r="I46" s="10">
        <f t="shared" si="8"/>
        <v>30992</v>
      </c>
      <c r="J46" s="10">
        <f t="shared" si="6"/>
        <v>28378982202.90646</v>
      </c>
      <c r="K46" s="11">
        <f t="shared" si="7"/>
        <v>2.1600000000000286E-2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11"/>
      <c r="H47" s="10"/>
      <c r="I47" s="10">
        <f t="shared" si="8"/>
        <v>30992</v>
      </c>
      <c r="J47" s="10">
        <f t="shared" si="6"/>
        <v>27778956737.379066</v>
      </c>
      <c r="K47" s="11">
        <f t="shared" si="7"/>
        <v>2.4299999999999988E-2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11"/>
      <c r="H48" s="10"/>
      <c r="I48" s="10">
        <f t="shared" si="8"/>
        <v>30992</v>
      </c>
      <c r="J48" s="10">
        <f t="shared" si="6"/>
        <v>27119942143.296951</v>
      </c>
      <c r="K48" s="11">
        <f t="shared" si="7"/>
        <v>1.6000000000000014E-2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11"/>
      <c r="H49" s="10"/>
      <c r="I49" s="10">
        <f t="shared" si="8"/>
        <v>30992</v>
      </c>
      <c r="J49" s="10">
        <f t="shared" si="6"/>
        <v>26692856440.252903</v>
      </c>
      <c r="K49" s="11">
        <f t="shared" si="7"/>
        <v>2.1200000000000108E-2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11"/>
      <c r="H50" s="10"/>
      <c r="I50" s="10">
        <f t="shared" si="8"/>
        <v>30992</v>
      </c>
      <c r="J50" s="10">
        <f t="shared" si="6"/>
        <v>26138715668.089405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11"/>
      <c r="H51" s="10"/>
      <c r="I51" s="10">
        <f t="shared" si="8"/>
        <v>30992</v>
      </c>
      <c r="J51" s="10">
        <f t="shared" si="6"/>
        <v>25493724439.76339</v>
      </c>
      <c r="K51" s="11">
        <f t="shared" si="7"/>
        <v>8.899999999999908E-3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11"/>
      <c r="H52" s="10"/>
      <c r="I52" s="10">
        <f t="shared" si="8"/>
        <v>30992</v>
      </c>
      <c r="J52" s="10">
        <f t="shared" si="6"/>
        <v>25268831836.419258</v>
      </c>
      <c r="K52" s="11">
        <f t="shared" si="7"/>
        <v>2.629999999999999E-2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11"/>
      <c r="H53" s="10"/>
      <c r="I53" s="10">
        <f t="shared" si="8"/>
        <v>30992</v>
      </c>
      <c r="J53" s="10">
        <f t="shared" si="6"/>
        <v>24621291860.488411</v>
      </c>
      <c r="K53" s="11">
        <f t="shared" si="7"/>
        <v>2.4199999999999777E-2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11"/>
      <c r="H54" s="10"/>
      <c r="I54" s="10">
        <f t="shared" si="8"/>
        <v>30992</v>
      </c>
      <c r="J54" s="10">
        <f t="shared" si="6"/>
        <v>24039535110.806889</v>
      </c>
      <c r="K54" s="11">
        <f t="shared" si="7"/>
        <v>3.4399999999999986E-2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11"/>
      <c r="H55" s="10"/>
      <c r="I55" s="10">
        <f t="shared" si="8"/>
        <v>30992</v>
      </c>
      <c r="J55" s="10">
        <f t="shared" si="6"/>
        <v>23240076479.898384</v>
      </c>
      <c r="K55" s="11">
        <f t="shared" si="7"/>
        <v>4.2399999999999993E-2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11"/>
      <c r="H56" s="10"/>
      <c r="I56" s="10">
        <f t="shared" si="8"/>
        <v>30992</v>
      </c>
      <c r="J56" s="10">
        <f t="shared" si="6"/>
        <v>22294777897.062916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11"/>
      <c r="H57" s="10"/>
      <c r="I57" s="10">
        <f t="shared" si="8"/>
        <v>30992</v>
      </c>
      <c r="J57" s="10">
        <f t="shared" si="6"/>
        <v>21785008693.631927</v>
      </c>
      <c r="K57" s="11">
        <f t="shared" si="7"/>
        <v>2.4000000000000021E-2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11"/>
      <c r="H58" s="10"/>
      <c r="I58" s="10">
        <f t="shared" si="8"/>
        <v>30992</v>
      </c>
      <c r="J58" s="10">
        <f t="shared" si="6"/>
        <v>21274422552.374928</v>
      </c>
      <c r="K58" s="11">
        <f t="shared" si="7"/>
        <v>2.4999999999999911E-2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11"/>
      <c r="H59" s="10"/>
      <c r="I59" s="10">
        <f t="shared" si="8"/>
        <v>30992</v>
      </c>
      <c r="J59" s="10">
        <f t="shared" si="6"/>
        <v>20755534197.438953</v>
      </c>
      <c r="K59" s="11">
        <f t="shared" si="7"/>
        <v>2.4999999999999911E-2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11"/>
      <c r="H60" s="10"/>
      <c r="I60" s="10">
        <f t="shared" si="8"/>
        <v>30992</v>
      </c>
      <c r="J60" s="10">
        <f t="shared" si="6"/>
        <v>20249301656.038006</v>
      </c>
      <c r="K60" s="11">
        <f t="shared" si="7"/>
        <v>2.4999999999999911E-2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11"/>
      <c r="H61" s="10"/>
      <c r="I61" s="10">
        <f t="shared" si="8"/>
        <v>30992</v>
      </c>
      <c r="J61" s="10">
        <f t="shared" si="6"/>
        <v>19755416249.793179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11"/>
      <c r="H62" s="10"/>
      <c r="I62" s="10">
        <f t="shared" si="8"/>
        <v>30992</v>
      </c>
      <c r="J62" s="10">
        <f t="shared" si="6"/>
        <v>19273576829.066517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11"/>
      <c r="H63" s="10"/>
      <c r="I63" s="10">
        <f t="shared" si="8"/>
        <v>30992</v>
      </c>
      <c r="J63" s="10">
        <f t="shared" si="6"/>
        <v>18766871303.86224</v>
      </c>
      <c r="K63" s="11">
        <f t="shared" si="7"/>
        <v>2.8000000000000025E-2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11"/>
      <c r="H64" s="10"/>
      <c r="I64" s="10">
        <f t="shared" si="8"/>
        <v>30992</v>
      </c>
      <c r="J64" s="10">
        <f t="shared" si="6"/>
        <v>18255711385.079998</v>
      </c>
      <c r="K64" s="11">
        <f t="shared" si="7"/>
        <v>2.7999999999999803E-2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11"/>
      <c r="H65" s="10"/>
      <c r="I65" s="10">
        <f t="shared" si="8"/>
        <v>30992</v>
      </c>
      <c r="J65" s="10">
        <f t="shared" si="6"/>
        <v>17758474110</v>
      </c>
      <c r="K65" s="11">
        <f t="shared" si="7"/>
        <v>3.0000000000000027E-2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6">
        <f>SUM(F2)</f>
        <v>1640804</v>
      </c>
      <c r="G66" s="11"/>
      <c r="H66" s="10"/>
      <c r="I66" s="10">
        <f t="shared" si="8"/>
        <v>30992</v>
      </c>
      <c r="J66" s="10">
        <f t="shared" ref="J66:J97" si="9">IF(I66="","",I66*C66)</f>
        <v>17241237000</v>
      </c>
      <c r="K66" s="11">
        <f t="shared" ref="K66:K97" si="10">IFERROR(J66/J67-1,"")</f>
        <v>3.499999999999992E-2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11"/>
      <c r="H67" s="10"/>
      <c r="I67" s="10">
        <f t="shared" ref="I67:I98" si="11">IF(H67&lt;&gt;"",H67,I66/(1+IF(G66="",0,G66)))</f>
        <v>30992</v>
      </c>
      <c r="J67" s="10">
        <f t="shared" si="9"/>
        <v>16658200000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5">
        <v>143972723</v>
      </c>
      <c r="G2" s="11"/>
      <c r="H2" s="10"/>
      <c r="I2" s="10">
        <f>IF(H2&lt;&gt;"",H2,5000)</f>
        <v>5000</v>
      </c>
      <c r="J2" s="10">
        <f t="shared" ref="J2:J33" si="3">IF(I2="","",I2*C2)</f>
        <v>719870641338.69751</v>
      </c>
      <c r="K2" s="11">
        <f t="shared" ref="K2:K33" si="4">IFERROR(J2/J3-1,"")</f>
        <v>8.8999999999996859E-3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11"/>
      <c r="H3" s="10"/>
      <c r="I3" s="10">
        <f t="shared" ref="I3:I34" si="5">IF(H3&lt;&gt;"",H3,I2/(1+IF(G2="",0,G2)))</f>
        <v>5000</v>
      </c>
      <c r="J3" s="10">
        <f t="shared" si="3"/>
        <v>713520310574.58386</v>
      </c>
      <c r="K3" s="11">
        <f t="shared" si="4"/>
        <v>9.100000000000108E-3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11"/>
      <c r="H4" s="10"/>
      <c r="I4" s="10">
        <f t="shared" si="5"/>
        <v>5000</v>
      </c>
      <c r="J4" s="10">
        <f t="shared" si="3"/>
        <v>707085829525.89807</v>
      </c>
      <c r="K4" s="11">
        <f t="shared" si="4"/>
        <v>9.400000000000075E-3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11"/>
      <c r="H5" s="10"/>
      <c r="I5" s="10">
        <f t="shared" si="5"/>
        <v>5000</v>
      </c>
      <c r="J5" s="10">
        <f t="shared" si="3"/>
        <v>700501119007.2301</v>
      </c>
      <c r="K5" s="11">
        <f t="shared" si="4"/>
        <v>9.6000000000000529E-3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11"/>
      <c r="H6" s="10"/>
      <c r="I6" s="10">
        <f t="shared" si="5"/>
        <v>5000</v>
      </c>
      <c r="J6" s="10">
        <f t="shared" si="3"/>
        <v>693840252582.4386</v>
      </c>
      <c r="K6" s="11">
        <f t="shared" si="4"/>
        <v>9.100000000000108E-3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11"/>
      <c r="H7" s="10"/>
      <c r="I7" s="10">
        <f t="shared" si="5"/>
        <v>5000</v>
      </c>
      <c r="J7" s="10">
        <f t="shared" si="3"/>
        <v>687583245052.46118</v>
      </c>
      <c r="K7" s="11">
        <f t="shared" si="4"/>
        <v>8.799999999999919E-3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11"/>
      <c r="H8" s="10"/>
      <c r="I8" s="10">
        <f t="shared" si="5"/>
        <v>5000</v>
      </c>
      <c r="J8" s="10">
        <f t="shared" si="3"/>
        <v>681585294461.20264</v>
      </c>
      <c r="K8" s="11">
        <f t="shared" si="4"/>
        <v>9.300000000000086E-3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11"/>
      <c r="H9" s="10"/>
      <c r="I9" s="10">
        <f t="shared" si="5"/>
        <v>5000</v>
      </c>
      <c r="J9" s="10">
        <f t="shared" si="3"/>
        <v>675304958348.56091</v>
      </c>
      <c r="K9" s="11">
        <f t="shared" si="4"/>
        <v>1.0000000000000231E-2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11"/>
      <c r="H10" s="10"/>
      <c r="I10" s="10">
        <f t="shared" si="5"/>
        <v>5000</v>
      </c>
      <c r="J10" s="10">
        <f t="shared" si="3"/>
        <v>668618770642.1394</v>
      </c>
      <c r="K10" s="11">
        <f t="shared" si="4"/>
        <v>1.0799999999999699E-2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11"/>
      <c r="H11" s="10"/>
      <c r="I11" s="10">
        <f t="shared" si="5"/>
        <v>5000</v>
      </c>
      <c r="J11" s="10">
        <f t="shared" si="3"/>
        <v>661474842344.81555</v>
      </c>
      <c r="K11" s="11">
        <f t="shared" si="4"/>
        <v>1.1600000000000055E-2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11"/>
      <c r="H12" s="10"/>
      <c r="I12" s="10">
        <f t="shared" si="5"/>
        <v>5000</v>
      </c>
      <c r="J12" s="10">
        <f t="shared" si="3"/>
        <v>653889721574.55066</v>
      </c>
      <c r="K12" s="11">
        <f t="shared" si="4"/>
        <v>1.2599999999999723E-2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11"/>
      <c r="H13" s="10"/>
      <c r="I13" s="10">
        <f t="shared" si="5"/>
        <v>5000</v>
      </c>
      <c r="J13" s="10">
        <f t="shared" si="3"/>
        <v>645753230865.64368</v>
      </c>
      <c r="K13" s="11">
        <f t="shared" si="4"/>
        <v>1.3600000000000279E-2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11"/>
      <c r="H14" s="10"/>
      <c r="I14" s="10">
        <f t="shared" si="5"/>
        <v>5000</v>
      </c>
      <c r="J14" s="10">
        <f t="shared" si="3"/>
        <v>637088822874.54968</v>
      </c>
      <c r="K14" s="11">
        <f t="shared" si="4"/>
        <v>1.4599999999999946E-2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11"/>
      <c r="H15" s="10"/>
      <c r="I15" s="10">
        <f t="shared" si="5"/>
        <v>5000</v>
      </c>
      <c r="J15" s="10">
        <f t="shared" si="3"/>
        <v>627921173737.97534</v>
      </c>
      <c r="K15" s="11">
        <f t="shared" si="4"/>
        <v>1.5400000000000302E-2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11"/>
      <c r="H16" s="10"/>
      <c r="I16" s="10">
        <f t="shared" si="5"/>
        <v>5000</v>
      </c>
      <c r="J16" s="10">
        <f t="shared" si="3"/>
        <v>618397846895.78015</v>
      </c>
      <c r="K16" s="11">
        <f t="shared" si="4"/>
        <v>1.6699999999999937E-2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11"/>
      <c r="H17" s="10"/>
      <c r="I17" s="10">
        <f t="shared" si="5"/>
        <v>5000</v>
      </c>
      <c r="J17" s="10">
        <f t="shared" si="3"/>
        <v>608240234971.75195</v>
      </c>
      <c r="K17" s="11">
        <f t="shared" si="4"/>
        <v>1.8299999999999983E-2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11"/>
      <c r="H18" s="10"/>
      <c r="I18" s="10">
        <f t="shared" si="5"/>
        <v>5000</v>
      </c>
      <c r="J18" s="10">
        <f t="shared" si="3"/>
        <v>597309471640.72668</v>
      </c>
      <c r="K18" s="11">
        <f t="shared" si="4"/>
        <v>1.9000000000000128E-2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11"/>
      <c r="H19" s="10"/>
      <c r="I19" s="10">
        <f t="shared" si="5"/>
        <v>5000</v>
      </c>
      <c r="J19" s="10">
        <f t="shared" si="3"/>
        <v>586172199843.69641</v>
      </c>
      <c r="K19" s="11">
        <f t="shared" si="4"/>
        <v>1.8899999999999695E-2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11"/>
      <c r="H20" s="10"/>
      <c r="I20" s="10">
        <f t="shared" si="5"/>
        <v>5000</v>
      </c>
      <c r="J20" s="10">
        <f t="shared" si="3"/>
        <v>575299047839.52942</v>
      </c>
      <c r="K20" s="11">
        <f t="shared" si="4"/>
        <v>1.8499999999999961E-2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11"/>
      <c r="H21" s="10"/>
      <c r="I21" s="10">
        <f t="shared" si="5"/>
        <v>5000</v>
      </c>
      <c r="J21" s="10">
        <f t="shared" si="3"/>
        <v>564849335139.44958</v>
      </c>
      <c r="K21" s="11">
        <f t="shared" si="4"/>
        <v>1.8299999999999983E-2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11"/>
      <c r="H22" s="10"/>
      <c r="I22" s="10">
        <f t="shared" si="5"/>
        <v>5000</v>
      </c>
      <c r="J22" s="10">
        <f t="shared" si="3"/>
        <v>554698355238.5835</v>
      </c>
      <c r="K22" s="11">
        <f t="shared" si="4"/>
        <v>1.859999999999995E-2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11"/>
      <c r="H23" s="10"/>
      <c r="I23" s="10">
        <f t="shared" si="5"/>
        <v>5000</v>
      </c>
      <c r="J23" s="10">
        <f t="shared" si="3"/>
        <v>544569365048.6781</v>
      </c>
      <c r="K23" s="11">
        <f t="shared" si="4"/>
        <v>1.8500000000000183E-2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11"/>
      <c r="H24" s="10"/>
      <c r="I24" s="10">
        <f t="shared" si="5"/>
        <v>5000</v>
      </c>
      <c r="J24" s="10">
        <f t="shared" si="3"/>
        <v>534677825280.97992</v>
      </c>
      <c r="K24" s="11">
        <f t="shared" si="4"/>
        <v>1.859999999999995E-2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11"/>
      <c r="H25" s="10"/>
      <c r="I25" s="10">
        <f t="shared" si="5"/>
        <v>5000</v>
      </c>
      <c r="J25" s="10">
        <f t="shared" si="3"/>
        <v>524914417122.5014</v>
      </c>
      <c r="K25" s="11">
        <f t="shared" si="4"/>
        <v>1.8799999999999928E-2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11"/>
      <c r="H26" s="10"/>
      <c r="I26" s="10">
        <f t="shared" si="5"/>
        <v>5000</v>
      </c>
      <c r="J26" s="10">
        <f t="shared" si="3"/>
        <v>515228128310.26843</v>
      </c>
      <c r="K26" s="11">
        <f t="shared" si="4"/>
        <v>1.9099999999999895E-2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11"/>
      <c r="H27" s="10"/>
      <c r="I27" s="10">
        <f t="shared" si="5"/>
        <v>5000</v>
      </c>
      <c r="J27" s="10">
        <f t="shared" si="3"/>
        <v>505571708674.58398</v>
      </c>
      <c r="K27" s="11">
        <f t="shared" si="4"/>
        <v>1.9900000000000029E-2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11"/>
      <c r="H28" s="10"/>
      <c r="I28" s="10">
        <f t="shared" si="5"/>
        <v>5000</v>
      </c>
      <c r="J28" s="10">
        <f t="shared" si="3"/>
        <v>495707136655.14655</v>
      </c>
      <c r="K28" s="11">
        <f t="shared" si="4"/>
        <v>2.0499999999999963E-2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11"/>
      <c r="H29" s="10"/>
      <c r="I29" s="10">
        <f t="shared" si="5"/>
        <v>5000</v>
      </c>
      <c r="J29" s="10">
        <f t="shared" si="3"/>
        <v>485749276487.15979</v>
      </c>
      <c r="K29" s="11">
        <f t="shared" si="4"/>
        <v>2.1300000000000097E-2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11"/>
      <c r="H30" s="10"/>
      <c r="I30" s="10">
        <f t="shared" si="5"/>
        <v>5000</v>
      </c>
      <c r="J30" s="10">
        <f t="shared" si="3"/>
        <v>475618600300.75372</v>
      </c>
      <c r="K30" s="11">
        <f t="shared" si="4"/>
        <v>2.2399999999999975E-2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11"/>
      <c r="H31" s="10"/>
      <c r="I31" s="10">
        <f t="shared" si="5"/>
        <v>5000</v>
      </c>
      <c r="J31" s="10">
        <f t="shared" si="3"/>
        <v>465198161483.52283</v>
      </c>
      <c r="K31" s="11">
        <f t="shared" si="4"/>
        <v>2.3500000000000076E-2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11"/>
      <c r="H32" s="10"/>
      <c r="I32" s="10">
        <f t="shared" si="5"/>
        <v>5000</v>
      </c>
      <c r="J32" s="10">
        <f t="shared" si="3"/>
        <v>454517011708.37598</v>
      </c>
      <c r="K32" s="11">
        <f t="shared" si="4"/>
        <v>2.4599999999999955E-2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11"/>
      <c r="H33" s="10"/>
      <c r="I33" s="10">
        <f t="shared" si="5"/>
        <v>5000</v>
      </c>
      <c r="J33" s="10">
        <f t="shared" si="3"/>
        <v>443604344825.66461</v>
      </c>
      <c r="K33" s="11">
        <f t="shared" si="4"/>
        <v>2.5700000000000056E-2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11"/>
      <c r="H34" s="10"/>
      <c r="I34" s="10">
        <f t="shared" si="5"/>
        <v>5000</v>
      </c>
      <c r="J34" s="10">
        <f t="shared" ref="J34:J65" si="6">IF(I34="","",I34*C34)</f>
        <v>432489368066.35919</v>
      </c>
      <c r="K34" s="11">
        <f t="shared" ref="K34:K65" si="7">IFERROR(J34/J35-1,"")</f>
        <v>2.6799999999999935E-2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11"/>
      <c r="H35" s="10"/>
      <c r="I35" s="10">
        <f t="shared" ref="I35:I66" si="8">IF(H35&lt;&gt;"",H35,I34/(1+IF(G34="",0,G34)))</f>
        <v>5000</v>
      </c>
      <c r="J35" s="10">
        <f t="shared" si="6"/>
        <v>421201176535.21545</v>
      </c>
      <c r="K35" s="11">
        <f t="shared" si="7"/>
        <v>2.7400000000000091E-2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11"/>
      <c r="H36" s="10"/>
      <c r="I36" s="10">
        <f t="shared" si="8"/>
        <v>5000</v>
      </c>
      <c r="J36" s="10">
        <f t="shared" si="6"/>
        <v>409968051912.80457</v>
      </c>
      <c r="K36" s="11">
        <f t="shared" si="7"/>
        <v>2.5600000000000067E-2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11"/>
      <c r="H37" s="10"/>
      <c r="I37" s="10">
        <f t="shared" si="8"/>
        <v>5000</v>
      </c>
      <c r="J37" s="10">
        <f t="shared" si="6"/>
        <v>399734840008.58478</v>
      </c>
      <c r="K37" s="11">
        <f t="shared" si="7"/>
        <v>2.3900000000000254E-2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11"/>
      <c r="H38" s="10"/>
      <c r="I38" s="10">
        <f t="shared" si="8"/>
        <v>5000</v>
      </c>
      <c r="J38" s="10">
        <f t="shared" si="6"/>
        <v>390404180104.0968</v>
      </c>
      <c r="K38" s="11">
        <f t="shared" si="7"/>
        <v>2.410000000000001E-2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11"/>
      <c r="H39" s="10"/>
      <c r="I39" s="10">
        <f t="shared" si="8"/>
        <v>5000</v>
      </c>
      <c r="J39" s="10">
        <f t="shared" si="6"/>
        <v>381216853924.51599</v>
      </c>
      <c r="K39" s="11">
        <f t="shared" si="7"/>
        <v>2.4399999999999977E-2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11"/>
      <c r="H40" s="10"/>
      <c r="I40" s="10">
        <f t="shared" si="8"/>
        <v>5000</v>
      </c>
      <c r="J40" s="10">
        <f t="shared" si="6"/>
        <v>372136718005.18939</v>
      </c>
      <c r="K40" s="11">
        <f t="shared" si="7"/>
        <v>2.4899999999999922E-2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11"/>
      <c r="H41" s="10"/>
      <c r="I41" s="10">
        <f t="shared" si="8"/>
        <v>5000</v>
      </c>
      <c r="J41" s="10">
        <f t="shared" si="6"/>
        <v>363095636652.54114</v>
      </c>
      <c r="K41" s="11">
        <f t="shared" si="7"/>
        <v>2.5400000000000089E-2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11"/>
      <c r="H42" s="10"/>
      <c r="I42" s="10">
        <f t="shared" si="8"/>
        <v>5000</v>
      </c>
      <c r="J42" s="10">
        <f t="shared" si="6"/>
        <v>354101459579.2287</v>
      </c>
      <c r="K42" s="11">
        <f t="shared" si="7"/>
        <v>2.6200000000000001E-2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11"/>
      <c r="H43" s="10"/>
      <c r="I43" s="10">
        <f t="shared" si="8"/>
        <v>5000</v>
      </c>
      <c r="J43" s="10">
        <f t="shared" si="6"/>
        <v>345060864918.36749</v>
      </c>
      <c r="K43" s="11">
        <f t="shared" si="7"/>
        <v>2.8299999999999992E-2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11"/>
      <c r="H44" s="10"/>
      <c r="I44" s="10">
        <f t="shared" si="8"/>
        <v>5000</v>
      </c>
      <c r="J44" s="10">
        <f t="shared" si="6"/>
        <v>335564392607.57318</v>
      </c>
      <c r="K44" s="11">
        <f t="shared" si="7"/>
        <v>2.8599999999999959E-2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11"/>
      <c r="H45" s="10"/>
      <c r="I45" s="10">
        <f t="shared" si="8"/>
        <v>5000</v>
      </c>
      <c r="J45" s="10">
        <f t="shared" si="6"/>
        <v>326234097421.32336</v>
      </c>
      <c r="K45" s="11">
        <f t="shared" si="7"/>
        <v>1.9200000000000106E-2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11"/>
      <c r="H46" s="10"/>
      <c r="I46" s="10">
        <f t="shared" si="8"/>
        <v>5000</v>
      </c>
      <c r="J46" s="10">
        <f t="shared" si="6"/>
        <v>320088400138.66107</v>
      </c>
      <c r="K46" s="11">
        <f t="shared" si="7"/>
        <v>1.7500000000000293E-2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11"/>
      <c r="H47" s="10"/>
      <c r="I47" s="10">
        <f t="shared" si="8"/>
        <v>5000</v>
      </c>
      <c r="J47" s="10">
        <f t="shared" si="6"/>
        <v>314583194239.47028</v>
      </c>
      <c r="K47" s="11">
        <f t="shared" si="7"/>
        <v>2.5900000000000034E-2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11"/>
      <c r="H48" s="10"/>
      <c r="I48" s="10">
        <f t="shared" si="8"/>
        <v>5000</v>
      </c>
      <c r="J48" s="10">
        <f t="shared" si="6"/>
        <v>306641187483.64386</v>
      </c>
      <c r="K48" s="11">
        <f t="shared" si="7"/>
        <v>2.8399999999999981E-2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11"/>
      <c r="H49" s="10"/>
      <c r="I49" s="10">
        <f t="shared" si="8"/>
        <v>5000</v>
      </c>
      <c r="J49" s="10">
        <f t="shared" si="6"/>
        <v>298173072232.24805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11"/>
      <c r="H50" s="10"/>
      <c r="I50" s="10">
        <f t="shared" si="8"/>
        <v>5000</v>
      </c>
      <c r="J50" s="10">
        <f t="shared" si="6"/>
        <v>289657151964.49194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11"/>
      <c r="H51" s="10"/>
      <c r="I51" s="10">
        <f t="shared" si="8"/>
        <v>5000</v>
      </c>
      <c r="J51" s="10">
        <f t="shared" si="6"/>
        <v>281384449159.21112</v>
      </c>
      <c r="K51" s="11">
        <f t="shared" si="7"/>
        <v>2.9099999999999904E-2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11"/>
      <c r="H52" s="10"/>
      <c r="I52" s="10">
        <f t="shared" si="8"/>
        <v>5000</v>
      </c>
      <c r="J52" s="10">
        <f t="shared" si="6"/>
        <v>273427703001.85712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11"/>
      <c r="H53" s="10"/>
      <c r="I53" s="10">
        <f t="shared" si="8"/>
        <v>5000</v>
      </c>
      <c r="J53" s="10">
        <f t="shared" si="6"/>
        <v>265670135058.15891</v>
      </c>
      <c r="K53" s="11">
        <f t="shared" si="7"/>
        <v>2.9200000000000115E-2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11"/>
      <c r="H54" s="10"/>
      <c r="I54" s="10">
        <f t="shared" si="8"/>
        <v>5000</v>
      </c>
      <c r="J54" s="10">
        <f t="shared" si="6"/>
        <v>258132661346.83142</v>
      </c>
      <c r="K54" s="11">
        <f t="shared" si="7"/>
        <v>2.9099999999999904E-2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11"/>
      <c r="H55" s="10"/>
      <c r="I55" s="10">
        <f t="shared" si="8"/>
        <v>5000</v>
      </c>
      <c r="J55" s="10">
        <f t="shared" si="6"/>
        <v>250833409140.83322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11"/>
      <c r="H56" s="10"/>
      <c r="I56" s="10">
        <f t="shared" si="8"/>
        <v>5000</v>
      </c>
      <c r="J56" s="10">
        <f t="shared" si="6"/>
        <v>243764246006.64066</v>
      </c>
      <c r="K56" s="11">
        <f t="shared" si="7"/>
        <v>2.8200000000000225E-2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11"/>
      <c r="H57" s="10"/>
      <c r="I57" s="10">
        <f t="shared" si="8"/>
        <v>5000</v>
      </c>
      <c r="J57" s="10">
        <f t="shared" si="6"/>
        <v>237078628677.92319</v>
      </c>
      <c r="K57" s="11">
        <f t="shared" si="7"/>
        <v>2.8000000000000025E-2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11"/>
      <c r="H58" s="10"/>
      <c r="I58" s="10">
        <f t="shared" si="8"/>
        <v>5000</v>
      </c>
      <c r="J58" s="10">
        <f t="shared" si="6"/>
        <v>230621234122.49338</v>
      </c>
      <c r="K58" s="11">
        <f t="shared" si="7"/>
        <v>2.8000000000000025E-2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11"/>
      <c r="H59" s="10"/>
      <c r="I59" s="10">
        <f t="shared" si="8"/>
        <v>5000</v>
      </c>
      <c r="J59" s="10">
        <f t="shared" si="6"/>
        <v>224339721909.04025</v>
      </c>
      <c r="K59" s="11">
        <f t="shared" si="7"/>
        <v>2.6999999999999913E-2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11"/>
      <c r="H60" s="10"/>
      <c r="I60" s="10">
        <f t="shared" si="8"/>
        <v>5000</v>
      </c>
      <c r="J60" s="10">
        <f t="shared" si="6"/>
        <v>218441793484.94672</v>
      </c>
      <c r="K60" s="11">
        <f t="shared" si="7"/>
        <v>2.6999999999999913E-2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11"/>
      <c r="H61" s="10"/>
      <c r="I61" s="10">
        <f t="shared" si="8"/>
        <v>5000</v>
      </c>
      <c r="J61" s="10">
        <f t="shared" si="6"/>
        <v>212698922575.41064</v>
      </c>
      <c r="K61" s="11">
        <f t="shared" si="7"/>
        <v>2.6999999999999913E-2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11"/>
      <c r="H62" s="10"/>
      <c r="I62" s="10">
        <f t="shared" si="8"/>
        <v>5000</v>
      </c>
      <c r="J62" s="10">
        <f t="shared" si="6"/>
        <v>207107032692.70755</v>
      </c>
      <c r="K62" s="11">
        <f t="shared" si="7"/>
        <v>2.6999999999999913E-2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11"/>
      <c r="H63" s="10"/>
      <c r="I63" s="10">
        <f t="shared" si="8"/>
        <v>5000</v>
      </c>
      <c r="J63" s="10">
        <f t="shared" si="6"/>
        <v>201662154520.65002</v>
      </c>
      <c r="K63" s="11">
        <f t="shared" si="7"/>
        <v>2.6000000000000023E-2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11"/>
      <c r="H64" s="10"/>
      <c r="I64" s="10">
        <f t="shared" si="8"/>
        <v>5000</v>
      </c>
      <c r="J64" s="10">
        <f t="shared" si="6"/>
        <v>196551807525</v>
      </c>
      <c r="K64" s="11">
        <f t="shared" si="7"/>
        <v>2.6000000000000023E-2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11"/>
      <c r="H65" s="10"/>
      <c r="I65" s="10">
        <f t="shared" si="8"/>
        <v>5000</v>
      </c>
      <c r="J65" s="10">
        <f t="shared" si="6"/>
        <v>191570962500</v>
      </c>
      <c r="K65" s="11">
        <f t="shared" si="7"/>
        <v>2.4999999999999911E-2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6">
        <f>SUM(F2)</f>
        <v>143972723</v>
      </c>
      <c r="G66" s="11"/>
      <c r="H66" s="10"/>
      <c r="I66" s="10">
        <f t="shared" si="8"/>
        <v>5000</v>
      </c>
      <c r="J66" s="10">
        <f t="shared" ref="J66:J97" si="9">IF(I66="","",I66*C66)</f>
        <v>186898500000</v>
      </c>
      <c r="K66" s="11">
        <f t="shared" ref="K66:K97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11"/>
      <c r="H67" s="10"/>
      <c r="I67" s="10">
        <f t="shared" ref="I67:I98" si="11">IF(H67&lt;&gt;"",H67,I66/(1+IF(G66="",0,G66)))</f>
        <v>5000</v>
      </c>
      <c r="J67" s="10">
        <f t="shared" si="9"/>
        <v>182340000000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5">
        <v>301115278</v>
      </c>
      <c r="G2" s="11"/>
      <c r="H2" s="10"/>
      <c r="I2" s="10">
        <f>IF(H2&lt;&gt;"",H2,28492)</f>
        <v>28492</v>
      </c>
      <c r="J2" s="10">
        <f t="shared" ref="J2:J33" si="3">IF(I2="","",I2*C2)</f>
        <v>8579447154001.5049</v>
      </c>
      <c r="K2" s="11">
        <f t="shared" ref="K2:K33" si="4">IFERROR(J2/J3-1,"")</f>
        <v>1.4399999999999968E-2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11"/>
      <c r="H3" s="10"/>
      <c r="I3" s="10">
        <f t="shared" ref="I3:I34" si="5">IF(H3&lt;&gt;"",H3,I2/(1+IF(G2="",0,G2)))</f>
        <v>28492</v>
      </c>
      <c r="J3" s="10">
        <f t="shared" si="3"/>
        <v>8457656894717.5723</v>
      </c>
      <c r="K3" s="11">
        <f t="shared" si="4"/>
        <v>1.4899999999999913E-2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11"/>
      <c r="H4" s="10"/>
      <c r="I4" s="10">
        <f t="shared" si="5"/>
        <v>28492</v>
      </c>
      <c r="J4" s="10">
        <f t="shared" si="3"/>
        <v>8333487924640.4307</v>
      </c>
      <c r="K4" s="11">
        <f t="shared" si="4"/>
        <v>1.7200000000000104E-2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11"/>
      <c r="H5" s="10"/>
      <c r="I5" s="10">
        <f t="shared" si="5"/>
        <v>28492</v>
      </c>
      <c r="J5" s="10">
        <f t="shared" si="3"/>
        <v>8192575623909.1914</v>
      </c>
      <c r="K5" s="11">
        <f t="shared" si="4"/>
        <v>1.7500000000000071E-2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11"/>
      <c r="H6" s="10"/>
      <c r="I6" s="10">
        <f t="shared" si="5"/>
        <v>28492</v>
      </c>
      <c r="J6" s="10">
        <f t="shared" si="3"/>
        <v>8051671374849.3281</v>
      </c>
      <c r="K6" s="11">
        <f t="shared" si="4"/>
        <v>1.3900000000000023E-2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11"/>
      <c r="H7" s="10"/>
      <c r="I7" s="10">
        <f t="shared" si="5"/>
        <v>28492</v>
      </c>
      <c r="J7" s="10">
        <f t="shared" si="3"/>
        <v>7941287478892.7197</v>
      </c>
      <c r="K7" s="11">
        <f t="shared" si="4"/>
        <v>1.5600000000000058E-2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11"/>
      <c r="H8" s="10"/>
      <c r="I8" s="10">
        <f t="shared" si="5"/>
        <v>28492</v>
      </c>
      <c r="J8" s="10">
        <f t="shared" si="3"/>
        <v>7819306300603.3076</v>
      </c>
      <c r="K8" s="11">
        <f t="shared" si="4"/>
        <v>2.0599999999999952E-2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11"/>
      <c r="H9" s="10"/>
      <c r="I9" s="10">
        <f t="shared" si="5"/>
        <v>28492</v>
      </c>
      <c r="J9" s="10">
        <f t="shared" si="3"/>
        <v>7661479816385.7617</v>
      </c>
      <c r="K9" s="11">
        <f t="shared" si="4"/>
        <v>2.0000000000000018E-2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11"/>
      <c r="H10" s="10"/>
      <c r="I10" s="10">
        <f t="shared" si="5"/>
        <v>28492</v>
      </c>
      <c r="J10" s="10">
        <f t="shared" si="3"/>
        <v>7511254721946.8252</v>
      </c>
      <c r="K10" s="11">
        <f t="shared" si="4"/>
        <v>1.8199999999999994E-2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11"/>
      <c r="H11" s="10"/>
      <c r="I11" s="10">
        <f t="shared" si="5"/>
        <v>28492</v>
      </c>
      <c r="J11" s="10">
        <f t="shared" si="3"/>
        <v>7376993441314.8936</v>
      </c>
      <c r="K11" s="11">
        <f t="shared" si="4"/>
        <v>1.3500000000000068E-2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11"/>
      <c r="H12" s="10"/>
      <c r="I12" s="10">
        <f t="shared" si="5"/>
        <v>28492</v>
      </c>
      <c r="J12" s="10">
        <f t="shared" si="3"/>
        <v>7278730578505.0742</v>
      </c>
      <c r="K12" s="11">
        <f t="shared" si="4"/>
        <v>1.2199999999999989E-2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11"/>
      <c r="H13" s="10"/>
      <c r="I13" s="10">
        <f t="shared" si="5"/>
        <v>28492</v>
      </c>
      <c r="J13" s="10">
        <f t="shared" si="3"/>
        <v>7191000373942.9697</v>
      </c>
      <c r="K13" s="11">
        <f t="shared" si="4"/>
        <v>1.0699999999999932E-2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11"/>
      <c r="H14" s="10"/>
      <c r="I14" s="10">
        <f t="shared" si="5"/>
        <v>28492</v>
      </c>
      <c r="J14" s="10">
        <f t="shared" si="3"/>
        <v>7114871251551.3711</v>
      </c>
      <c r="K14" s="11">
        <f t="shared" si="4"/>
        <v>1.1500000000000066E-2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11"/>
      <c r="H15" s="10"/>
      <c r="I15" s="10">
        <f t="shared" si="5"/>
        <v>28492</v>
      </c>
      <c r="J15" s="10">
        <f t="shared" si="3"/>
        <v>7033980476076.4912</v>
      </c>
      <c r="K15" s="11">
        <f t="shared" si="4"/>
        <v>1.1400000000000077E-2</v>
      </c>
      <c r="L15" t="inlineStr">
        <is>
          <t xml:space="preserve">Rearmament Squeeze - Cold War military budgets crowd out civilian growth.</t>
        </is>
      </c>
      <c r="M15" t="inlineStr">
        <is>
          <t xml:space="preserve">Rearmament Squeeze (1751-53): the Cold War arms race that diverted spending from civilian growth, beginning Estijan's long stagnation.</t>
        </is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11"/>
      <c r="H16" s="10"/>
      <c r="I16" s="10">
        <f t="shared" si="5"/>
        <v>28492</v>
      </c>
      <c r="J16" s="10">
        <f t="shared" si="3"/>
        <v>6954696931062.3799</v>
      </c>
      <c r="K16" s="11">
        <f t="shared" si="4"/>
        <v>1.2799999999999923E-2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11"/>
      <c r="H17" s="10"/>
      <c r="I17" s="10">
        <f t="shared" si="5"/>
        <v>28492</v>
      </c>
      <c r="J17" s="10">
        <f t="shared" si="3"/>
        <v>6866801867162.6973</v>
      </c>
      <c r="K17" s="11">
        <f t="shared" si="4"/>
        <v>1.1400000000000077E-2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11"/>
      <c r="H18" s="10"/>
      <c r="I18" s="10">
        <f t="shared" si="5"/>
        <v>28492</v>
      </c>
      <c r="J18" s="10">
        <f t="shared" si="3"/>
        <v>6789402676648.8994</v>
      </c>
      <c r="K18" s="11">
        <f t="shared" si="4"/>
        <v>1.089999999999991E-2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11"/>
      <c r="H19" s="10"/>
      <c r="I19" s="10">
        <f t="shared" si="5"/>
        <v>28492</v>
      </c>
      <c r="J19" s="10">
        <f t="shared" si="3"/>
        <v>6716196138736.6699</v>
      </c>
      <c r="K19" s="11">
        <f t="shared" si="4"/>
        <v>1.0000000000000009E-2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11"/>
      <c r="H20" s="10"/>
      <c r="I20" s="10">
        <f t="shared" si="5"/>
        <v>28492</v>
      </c>
      <c r="J20" s="10">
        <f t="shared" si="3"/>
        <v>6649699147264.0303</v>
      </c>
      <c r="K20" s="11">
        <f t="shared" si="4"/>
        <v>1.0800000000000143E-2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11"/>
      <c r="H21" s="10"/>
      <c r="I21" s="10">
        <f t="shared" si="5"/>
        <v>28492</v>
      </c>
      <c r="J21" s="10">
        <f t="shared" si="3"/>
        <v>6578649730178.1064</v>
      </c>
      <c r="K21" s="11">
        <f t="shared" si="4"/>
        <v>1.21E-2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11"/>
      <c r="H22" s="10"/>
      <c r="I22" s="10">
        <f t="shared" si="5"/>
        <v>28492</v>
      </c>
      <c r="J22" s="10">
        <f t="shared" si="3"/>
        <v>6499999733403.9189</v>
      </c>
      <c r="K22" s="11">
        <f t="shared" si="4"/>
        <v>1.110000000000011E-2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11"/>
      <c r="H23" s="10"/>
      <c r="I23" s="10">
        <f t="shared" si="5"/>
        <v>28492</v>
      </c>
      <c r="J23" s="10">
        <f t="shared" si="3"/>
        <v>6428641809320.4609</v>
      </c>
      <c r="K23" s="11">
        <f t="shared" si="4"/>
        <v>9.6000000000000529E-3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11"/>
      <c r="H24" s="10"/>
      <c r="I24" s="10">
        <f t="shared" si="5"/>
        <v>28492</v>
      </c>
      <c r="J24" s="10">
        <f t="shared" si="3"/>
        <v>6367513678011.5498</v>
      </c>
      <c r="K24" s="11">
        <f t="shared" si="4"/>
        <v>8.899999999999908E-3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11"/>
      <c r="H25" s="10"/>
      <c r="I25" s="10">
        <f t="shared" si="5"/>
        <v>28492</v>
      </c>
      <c r="J25" s="10">
        <f t="shared" si="3"/>
        <v>6311342727734.7119</v>
      </c>
      <c r="K25" s="11">
        <f t="shared" si="4"/>
        <v>1.1200000000000099E-2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11"/>
      <c r="H26" s="10"/>
      <c r="I26" s="10">
        <f t="shared" si="5"/>
        <v>28492</v>
      </c>
      <c r="J26" s="10">
        <f t="shared" si="3"/>
        <v>6241438615243.9785</v>
      </c>
      <c r="K26" s="11">
        <f t="shared" si="4"/>
        <v>1.2699999999999934E-2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11"/>
      <c r="H27" s="10"/>
      <c r="I27" s="10">
        <f t="shared" si="5"/>
        <v>28492</v>
      </c>
      <c r="J27" s="10">
        <f t="shared" si="3"/>
        <v>6163166401939.3486</v>
      </c>
      <c r="K27" s="11">
        <f t="shared" si="4"/>
        <v>1.4799999999999924E-2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11"/>
      <c r="H28" s="10"/>
      <c r="I28" s="10">
        <f t="shared" si="5"/>
        <v>28492</v>
      </c>
      <c r="J28" s="10">
        <f t="shared" si="3"/>
        <v>6073281830842.874</v>
      </c>
      <c r="K28" s="11">
        <f t="shared" si="4"/>
        <v>1.6899999999999915E-2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11"/>
      <c r="H29" s="10"/>
      <c r="I29" s="10">
        <f t="shared" si="5"/>
        <v>28492</v>
      </c>
      <c r="J29" s="10">
        <f t="shared" si="3"/>
        <v>5972349130536.8027</v>
      </c>
      <c r="K29" s="11">
        <f t="shared" si="4"/>
        <v>1.639999999999997E-2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11"/>
      <c r="H30" s="10"/>
      <c r="I30" s="10">
        <f t="shared" si="5"/>
        <v>28492</v>
      </c>
      <c r="J30" s="10">
        <f t="shared" si="3"/>
        <v>5875983009186.1504</v>
      </c>
      <c r="K30" s="11">
        <f t="shared" si="4"/>
        <v>1.5200000000000102E-2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11"/>
      <c r="H31" s="10"/>
      <c r="I31" s="10">
        <f t="shared" si="5"/>
        <v>28492</v>
      </c>
      <c r="J31" s="10">
        <f t="shared" si="3"/>
        <v>5788005328197.5469</v>
      </c>
      <c r="K31" s="11">
        <f t="shared" si="4"/>
        <v>1.4499999999999957E-2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11"/>
      <c r="H32" s="10"/>
      <c r="I32" s="10">
        <f t="shared" si="5"/>
        <v>28492</v>
      </c>
      <c r="J32" s="10">
        <f t="shared" si="3"/>
        <v>5705278785803.3975</v>
      </c>
      <c r="K32" s="11">
        <f t="shared" si="4"/>
        <v>1.330000000000009E-2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11"/>
      <c r="H33" s="10"/>
      <c r="I33" s="10">
        <f t="shared" si="5"/>
        <v>28492</v>
      </c>
      <c r="J33" s="10">
        <f t="shared" si="3"/>
        <v>5630394538442.1172</v>
      </c>
      <c r="K33" s="11">
        <f t="shared" si="4"/>
        <v>1.2000000000000011E-2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11"/>
      <c r="H34" s="10"/>
      <c r="I34" s="10">
        <f t="shared" si="5"/>
        <v>28492</v>
      </c>
      <c r="J34" s="10">
        <f t="shared" ref="J34:J65" si="6">IF(I34="","",I34*C34)</f>
        <v>5563630966840.0361</v>
      </c>
      <c r="K34" s="11">
        <f t="shared" ref="K34:K65" si="7">IFERROR(J34/J35-1,"")</f>
        <v>1.3700000000000045E-2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11"/>
      <c r="H35" s="10"/>
      <c r="I35" s="10">
        <f t="shared" ref="I35:I66" si="8">IF(H35&lt;&gt;"",H35,I34/(1+IF(G34="",0,G34)))</f>
        <v>28492</v>
      </c>
      <c r="J35" s="10">
        <f t="shared" si="6"/>
        <v>5488439347775.5117</v>
      </c>
      <c r="K35" s="11">
        <f t="shared" si="7"/>
        <v>1.7300000000000093E-2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11"/>
      <c r="H36" s="10"/>
      <c r="I36" s="10">
        <f t="shared" si="8"/>
        <v>28492</v>
      </c>
      <c r="J36" s="10">
        <f t="shared" si="6"/>
        <v>5395104047749.4453</v>
      </c>
      <c r="K36" s="11">
        <f t="shared" si="7"/>
        <v>1.5600000000000058E-2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11"/>
      <c r="H37" s="10"/>
      <c r="I37" s="10">
        <f t="shared" si="8"/>
        <v>28492</v>
      </c>
      <c r="J37" s="10">
        <f t="shared" si="6"/>
        <v>5312233209678.4609</v>
      </c>
      <c r="K37" s="11">
        <f t="shared" si="7"/>
        <v>1.2200000000000211E-2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11"/>
      <c r="H38" s="10"/>
      <c r="I38" s="10">
        <f t="shared" si="8"/>
        <v>28492</v>
      </c>
      <c r="J38" s="10">
        <f t="shared" si="6"/>
        <v>5248205107368.5635</v>
      </c>
      <c r="K38" s="11">
        <f t="shared" si="7"/>
        <v>1.0799999999999699E-2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11"/>
      <c r="H39" s="10"/>
      <c r="I39" s="10">
        <f t="shared" si="8"/>
        <v>28492</v>
      </c>
      <c r="J39" s="10">
        <f t="shared" si="6"/>
        <v>5192130102264.1123</v>
      </c>
      <c r="K39" s="11">
        <f t="shared" si="7"/>
        <v>1.1600000000000055E-2</v>
      </c>
      <c r="L39" t="inlineStr">
        <is>
          <t xml:space="preserve">Shadow Oil Scandal - exposed as manipulating oil in neutral states.</t>
        </is>
      </c>
      <c r="M39" t="inlineStr">
        <is>
          <t xml:space="preserve">Shadow Oil Scandal (1728): exposure of covert Raledrian manipulation of oil prices in neutral states.</t>
        </is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11"/>
      <c r="H40" s="10"/>
      <c r="I40" s="10">
        <f t="shared" si="8"/>
        <v>28492</v>
      </c>
      <c r="J40" s="10">
        <f t="shared" si="6"/>
        <v>5132592034662.0322</v>
      </c>
      <c r="K40" s="11">
        <f t="shared" si="7"/>
        <v>1.1300000000000088E-2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11"/>
      <c r="H41" s="10"/>
      <c r="I41" s="10">
        <f t="shared" si="8"/>
        <v>28492</v>
      </c>
      <c r="J41" s="10">
        <f t="shared" si="6"/>
        <v>5075241802296.0859</v>
      </c>
      <c r="K41" s="11">
        <f t="shared" si="7"/>
        <v>1.0000000000000009E-2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11"/>
      <c r="H42" s="10"/>
      <c r="I42" s="10">
        <f t="shared" si="8"/>
        <v>28492</v>
      </c>
      <c r="J42" s="10">
        <f t="shared" si="6"/>
        <v>5024991883461.4717</v>
      </c>
      <c r="K42" s="11">
        <f t="shared" si="7"/>
        <v>1.2299999999999978E-2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11"/>
      <c r="H43" s="10"/>
      <c r="I43" s="10">
        <f t="shared" si="8"/>
        <v>28492</v>
      </c>
      <c r="J43" s="10">
        <f t="shared" si="6"/>
        <v>4963935477093.2246</v>
      </c>
      <c r="K43" s="11">
        <f t="shared" si="7"/>
        <v>2.5299999999999878E-2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11"/>
      <c r="H44" s="10"/>
      <c r="I44" s="10">
        <f t="shared" si="8"/>
        <v>28492</v>
      </c>
      <c r="J44" s="10">
        <f t="shared" si="6"/>
        <v>4841446871250.585</v>
      </c>
      <c r="K44" s="11">
        <f t="shared" si="7"/>
        <v>1.5300000000000313E-2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11"/>
      <c r="H45" s="10"/>
      <c r="I45" s="10">
        <f t="shared" si="8"/>
        <v>28492</v>
      </c>
      <c r="J45" s="10">
        <f t="shared" si="6"/>
        <v>4768488989708.0508</v>
      </c>
      <c r="K45" s="11">
        <f t="shared" si="7"/>
        <v>1.839999999999975E-2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11"/>
      <c r="H46" s="10"/>
      <c r="I46" s="10">
        <f t="shared" si="8"/>
        <v>28492</v>
      </c>
      <c r="J46" s="10">
        <f t="shared" si="6"/>
        <v>4682334043311.127</v>
      </c>
      <c r="K46" s="11">
        <f t="shared" si="7"/>
        <v>3.3800000000000052E-2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11"/>
      <c r="H47" s="10"/>
      <c r="I47" s="10">
        <f t="shared" si="8"/>
        <v>28492</v>
      </c>
      <c r="J47" s="10">
        <f t="shared" si="6"/>
        <v>4529245543926.4141</v>
      </c>
      <c r="K47" s="11">
        <f t="shared" si="7"/>
        <v>1.9700000000000051E-2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11"/>
      <c r="H48" s="10"/>
      <c r="I48" s="10">
        <f t="shared" si="8"/>
        <v>28492</v>
      </c>
      <c r="J48" s="10">
        <f t="shared" si="6"/>
        <v>4441743202830.6504</v>
      </c>
      <c r="K48" s="11">
        <f t="shared" si="7"/>
        <v>2.0899999999999919E-2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11"/>
      <c r="H49" s="10"/>
      <c r="I49" s="10">
        <f t="shared" si="8"/>
        <v>28492</v>
      </c>
      <c r="J49" s="10">
        <f t="shared" si="6"/>
        <v>4350811247752.6206</v>
      </c>
      <c r="K49" s="11">
        <f t="shared" si="7"/>
        <v>1.760000000000006E-2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11"/>
      <c r="H50" s="10"/>
      <c r="I50" s="10">
        <f t="shared" si="8"/>
        <v>28492</v>
      </c>
      <c r="J50" s="10">
        <f t="shared" si="6"/>
        <v>4275561367681.4272</v>
      </c>
      <c r="K50" s="11">
        <f t="shared" si="7"/>
        <v>1.2600000000000167E-2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11"/>
      <c r="H51" s="10"/>
      <c r="I51" s="10">
        <f t="shared" si="8"/>
        <v>28492</v>
      </c>
      <c r="J51" s="10">
        <f t="shared" si="6"/>
        <v>4222359636264.4941</v>
      </c>
      <c r="K51" s="11">
        <f t="shared" si="7"/>
        <v>2.2799999999999931E-2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11"/>
      <c r="H52" s="10"/>
      <c r="I52" s="10">
        <f t="shared" si="8"/>
        <v>28492</v>
      </c>
      <c r="J52" s="10">
        <f t="shared" si="6"/>
        <v>4128235858686.4434</v>
      </c>
      <c r="K52" s="11">
        <f t="shared" si="7"/>
        <v>1.959999999999984E-2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11"/>
      <c r="H53" s="10"/>
      <c r="I53" s="10">
        <f t="shared" si="8"/>
        <v>28492</v>
      </c>
      <c r="J53" s="10">
        <f t="shared" si="6"/>
        <v>4048877852772.1104</v>
      </c>
      <c r="K53" s="11">
        <f t="shared" si="7"/>
        <v>1.9600000000000062E-2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11"/>
      <c r="H54" s="10"/>
      <c r="I54" s="10">
        <f t="shared" si="8"/>
        <v>28492</v>
      </c>
      <c r="J54" s="10">
        <f t="shared" si="6"/>
        <v>3971045363644.6748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11"/>
      <c r="H55" s="10"/>
      <c r="I55" s="10">
        <f t="shared" si="8"/>
        <v>28492</v>
      </c>
      <c r="J55" s="10">
        <f t="shared" si="6"/>
        <v>3896237601692.1841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11"/>
      <c r="H56" s="10"/>
      <c r="I56" s="10">
        <f t="shared" si="8"/>
        <v>28492</v>
      </c>
      <c r="J56" s="10">
        <f t="shared" si="6"/>
        <v>3803433816567.9268</v>
      </c>
      <c r="K56" s="11">
        <f t="shared" si="7"/>
        <v>1.9900000000000029E-2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11"/>
      <c r="H57" s="10"/>
      <c r="I57" s="10">
        <f t="shared" si="8"/>
        <v>28492</v>
      </c>
      <c r="J57" s="10">
        <f t="shared" si="6"/>
        <v>3729222292938.4517</v>
      </c>
      <c r="K57" s="11">
        <f t="shared" si="7"/>
        <v>2.0000000000000018E-2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11"/>
      <c r="H58" s="10"/>
      <c r="I58" s="10">
        <f t="shared" si="8"/>
        <v>28492</v>
      </c>
      <c r="J58" s="10">
        <f t="shared" si="6"/>
        <v>3656100287194.5605</v>
      </c>
      <c r="K58" s="11">
        <f t="shared" si="7"/>
        <v>2.0999999999999908E-2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11"/>
      <c r="H59" s="10"/>
      <c r="I59" s="10">
        <f t="shared" si="8"/>
        <v>28492</v>
      </c>
      <c r="J59" s="10">
        <f t="shared" si="6"/>
        <v>3580901358662.645</v>
      </c>
      <c r="K59" s="11">
        <f t="shared" si="7"/>
        <v>2.0999999999999908E-2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11"/>
      <c r="H60" s="10"/>
      <c r="I60" s="10">
        <f t="shared" si="8"/>
        <v>28492</v>
      </c>
      <c r="J60" s="10">
        <f t="shared" si="6"/>
        <v>3507249126995.7349</v>
      </c>
      <c r="K60" s="11">
        <f t="shared" si="7"/>
        <v>2.0999999999999686E-2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11"/>
      <c r="H61" s="10"/>
      <c r="I61" s="10">
        <f t="shared" si="8"/>
        <v>28492</v>
      </c>
      <c r="J61" s="10">
        <f t="shared" si="6"/>
        <v>3435111779623.6392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11"/>
      <c r="H62" s="10"/>
      <c r="I62" s="10">
        <f t="shared" si="8"/>
        <v>28492</v>
      </c>
      <c r="J62" s="10">
        <f t="shared" si="6"/>
        <v>3364458158299.353</v>
      </c>
      <c r="K62" s="11">
        <f t="shared" si="7"/>
        <v>2.200000000000002E-2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11"/>
      <c r="H63" s="10"/>
      <c r="I63" s="10">
        <f t="shared" si="8"/>
        <v>28492</v>
      </c>
      <c r="J63" s="10">
        <f t="shared" si="6"/>
        <v>3292033422993.4961</v>
      </c>
      <c r="K63" s="11">
        <f t="shared" si="7"/>
        <v>2.200000000000002E-2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11"/>
      <c r="H64" s="10"/>
      <c r="I64" s="10">
        <f t="shared" si="8"/>
        <v>28492</v>
      </c>
      <c r="J64" s="10">
        <f t="shared" si="6"/>
        <v>3221167732870.3486</v>
      </c>
      <c r="K64" s="11">
        <f t="shared" si="7"/>
        <v>2.200000000000002E-2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11"/>
      <c r="H65" s="10"/>
      <c r="I65" s="10">
        <f t="shared" si="8"/>
        <v>28492</v>
      </c>
      <c r="J65" s="10">
        <f t="shared" si="6"/>
        <v>3151827527270.3999</v>
      </c>
      <c r="K65" s="11">
        <f t="shared" si="7"/>
        <v>2.2999999999999909E-2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6">
        <f>SUM(F2)</f>
        <v>301115278</v>
      </c>
      <c r="G66" s="11"/>
      <c r="H66" s="10"/>
      <c r="I66" s="10">
        <f t="shared" si="8"/>
        <v>28492</v>
      </c>
      <c r="J66" s="10">
        <f t="shared" ref="J66:J97" si="9">IF(I66="","",I66*C66)</f>
        <v>3080965324800</v>
      </c>
      <c r="K66" s="11">
        <f t="shared" ref="K66:K97" si="10">IFERROR(J66/J67-1,"")</f>
        <v>2.4000000000000021E-2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11"/>
      <c r="H67" s="10"/>
      <c r="I67" s="10">
        <f t="shared" ref="I67:I98" si="11">IF(H67&lt;&gt;"",H67,I66/(1+IF(G66="",0,G66)))</f>
        <v>28492</v>
      </c>
      <c r="J67" s="10">
        <f t="shared" si="9"/>
        <v>3008755200000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5">
        <v>8871251</v>
      </c>
      <c r="G2" s="11"/>
      <c r="H2" s="10"/>
      <c r="I2" s="10">
        <f>IF(H2&lt;&gt;"",H2,7619)</f>
        <v>7619</v>
      </c>
      <c r="J2" s="10">
        <f t="shared" ref="J2:J33" si="3">IF(I2="","",I2*C2)</f>
        <v>67595749062.553268</v>
      </c>
      <c r="K2" s="11">
        <f t="shared" ref="K2:K33" si="4">IFERROR(J2/J3-1,"")</f>
        <v>2.5199999999999889E-2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11"/>
      <c r="H3" s="10"/>
      <c r="I3" s="10">
        <f t="shared" ref="I3:I34" si="5">IF(H3&lt;&gt;"",H3,I2/(1+IF(G2="",0,G2)))</f>
        <v>7619</v>
      </c>
      <c r="J3" s="10">
        <f t="shared" si="3"/>
        <v>65934207045.018799</v>
      </c>
      <c r="K3" s="11">
        <f t="shared" si="4"/>
        <v>2.53000000000001E-2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11"/>
      <c r="H4" s="10"/>
      <c r="I4" s="10">
        <f t="shared" si="5"/>
        <v>7619</v>
      </c>
      <c r="J4" s="10">
        <f t="shared" si="3"/>
        <v>64307234024.206375</v>
      </c>
      <c r="K4" s="11">
        <f t="shared" si="4"/>
        <v>2.5700000000000056E-2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11"/>
      <c r="H5" s="10"/>
      <c r="I5" s="10">
        <f t="shared" si="5"/>
        <v>7619</v>
      </c>
      <c r="J5" s="10">
        <f t="shared" si="3"/>
        <v>62695948156.582207</v>
      </c>
      <c r="K5" s="11">
        <f t="shared" si="4"/>
        <v>2.629999999999999E-2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11"/>
      <c r="H6" s="10"/>
      <c r="I6" s="10">
        <f t="shared" si="5"/>
        <v>7619</v>
      </c>
      <c r="J6" s="10">
        <f t="shared" si="3"/>
        <v>61089299577.688988</v>
      </c>
      <c r="K6" s="11">
        <f t="shared" si="4"/>
        <v>2.6899999999999924E-2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11"/>
      <c r="H7" s="10"/>
      <c r="I7" s="10">
        <f t="shared" si="5"/>
        <v>7619</v>
      </c>
      <c r="J7" s="10">
        <f t="shared" si="3"/>
        <v>59489044286.385231</v>
      </c>
      <c r="K7" s="11">
        <f t="shared" si="4"/>
        <v>2.7199999999999891E-2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11"/>
      <c r="H8" s="10"/>
      <c r="I8" s="10">
        <f t="shared" si="5"/>
        <v>7619</v>
      </c>
      <c r="J8" s="10">
        <f t="shared" si="3"/>
        <v>57913789219.611794</v>
      </c>
      <c r="K8" s="11">
        <f t="shared" si="4"/>
        <v>2.8299999999999992E-2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11"/>
      <c r="H9" s="10"/>
      <c r="I9" s="10">
        <f t="shared" si="5"/>
        <v>7619</v>
      </c>
      <c r="J9" s="10">
        <f t="shared" si="3"/>
        <v>56319935057.48497</v>
      </c>
      <c r="K9" s="11">
        <f t="shared" si="4"/>
        <v>2.8699999999999948E-2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11"/>
      <c r="H10" s="10"/>
      <c r="I10" s="10">
        <f t="shared" si="5"/>
        <v>7619</v>
      </c>
      <c r="J10" s="10">
        <f t="shared" si="3"/>
        <v>54748648835.894791</v>
      </c>
      <c r="K10" s="11">
        <f t="shared" si="4"/>
        <v>2.9099999999999904E-2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11"/>
      <c r="H11" s="10"/>
      <c r="I11" s="10">
        <f t="shared" si="5"/>
        <v>7619</v>
      </c>
      <c r="J11" s="10">
        <f t="shared" si="3"/>
        <v>53200513881.930618</v>
      </c>
      <c r="K11" s="11">
        <f t="shared" si="4"/>
        <v>2.8000000000000025E-2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11"/>
      <c r="H12" s="10"/>
      <c r="I12" s="10">
        <f t="shared" si="5"/>
        <v>7619</v>
      </c>
      <c r="J12" s="10">
        <f t="shared" si="3"/>
        <v>51751472647.792427</v>
      </c>
      <c r="K12" s="11">
        <f t="shared" si="4"/>
        <v>2.5700000000000056E-2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11"/>
      <c r="H13" s="10"/>
      <c r="I13" s="10">
        <f t="shared" si="5"/>
        <v>7619</v>
      </c>
      <c r="J13" s="10">
        <f t="shared" si="3"/>
        <v>50454784681.478432</v>
      </c>
      <c r="K13" s="11">
        <f t="shared" si="4"/>
        <v>2.5700000000000056E-2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11"/>
      <c r="H14" s="10"/>
      <c r="I14" s="10">
        <f t="shared" si="5"/>
        <v>7619</v>
      </c>
      <c r="J14" s="10">
        <f t="shared" si="3"/>
        <v>49190586605.711639</v>
      </c>
      <c r="K14" s="11">
        <f t="shared" si="4"/>
        <v>2.53000000000001E-2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11"/>
      <c r="H15" s="10"/>
      <c r="I15" s="10">
        <f t="shared" si="5"/>
        <v>7619</v>
      </c>
      <c r="J15" s="10">
        <f t="shared" si="3"/>
        <v>47976774217.99633</v>
      </c>
      <c r="K15" s="11">
        <f t="shared" si="4"/>
        <v>2.5400000000000089E-2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11"/>
      <c r="H16" s="10"/>
      <c r="I16" s="10">
        <f t="shared" si="5"/>
        <v>7619</v>
      </c>
      <c r="J16" s="10">
        <f t="shared" si="3"/>
        <v>46788350124.825752</v>
      </c>
      <c r="K16" s="11">
        <f t="shared" si="4"/>
        <v>2.6399999999999979E-2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11"/>
      <c r="H17" s="10"/>
      <c r="I17" s="10">
        <f t="shared" si="5"/>
        <v>7619</v>
      </c>
      <c r="J17" s="10">
        <f t="shared" si="3"/>
        <v>45584908539.385963</v>
      </c>
      <c r="K17" s="11">
        <f t="shared" si="4"/>
        <v>2.7599999999999847E-2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11"/>
      <c r="H18" s="10"/>
      <c r="I18" s="10">
        <f t="shared" si="5"/>
        <v>7619</v>
      </c>
      <c r="J18" s="10">
        <f t="shared" si="3"/>
        <v>44360557161.722427</v>
      </c>
      <c r="K18" s="11">
        <f t="shared" si="4"/>
        <v>2.8300000000000214E-2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11"/>
      <c r="H19" s="10"/>
      <c r="I19" s="10">
        <f t="shared" si="5"/>
        <v>7619</v>
      </c>
      <c r="J19" s="10">
        <f t="shared" si="3"/>
        <v>43139703551.222816</v>
      </c>
      <c r="K19" s="11">
        <f t="shared" si="4"/>
        <v>2.8399999999999981E-2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11"/>
      <c r="H20" s="10"/>
      <c r="I20" s="10">
        <f t="shared" si="5"/>
        <v>7619</v>
      </c>
      <c r="J20" s="10">
        <f t="shared" si="3"/>
        <v>41948369847.55233</v>
      </c>
      <c r="K20" s="11">
        <f t="shared" si="4"/>
        <v>3.1600000000000072E-2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11"/>
      <c r="H21" s="10"/>
      <c r="I21" s="10">
        <f t="shared" si="5"/>
        <v>7619</v>
      </c>
      <c r="J21" s="10">
        <f t="shared" si="3"/>
        <v>40663406211.276009</v>
      </c>
      <c r="K21" s="11">
        <f t="shared" si="4"/>
        <v>3.7200000000000122E-2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11"/>
      <c r="H22" s="10"/>
      <c r="I22" s="10">
        <f t="shared" si="5"/>
        <v>7619</v>
      </c>
      <c r="J22" s="10">
        <f t="shared" si="3"/>
        <v>39204980921.014275</v>
      </c>
      <c r="K22" s="11">
        <f t="shared" si="4"/>
        <v>4.3500000000000094E-2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11"/>
      <c r="H23" s="10"/>
      <c r="I23" s="10">
        <f t="shared" si="5"/>
        <v>7619</v>
      </c>
      <c r="J23" s="10">
        <f t="shared" si="3"/>
        <v>37570657327.277695</v>
      </c>
      <c r="K23" s="11">
        <f t="shared" si="4"/>
        <v>3.7000000000000366E-3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11"/>
      <c r="H24" s="10"/>
      <c r="I24" s="10">
        <f t="shared" si="5"/>
        <v>7619</v>
      </c>
      <c r="J24" s="10">
        <f t="shared" si="3"/>
        <v>37432158341.414459</v>
      </c>
      <c r="K24" s="11">
        <f t="shared" si="4"/>
        <v>-6.1999999999999833E-3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11"/>
      <c r="H25" s="10"/>
      <c r="I25" s="10">
        <f t="shared" si="5"/>
        <v>7619</v>
      </c>
      <c r="J25" s="10">
        <f t="shared" si="3"/>
        <v>37665685592.085388</v>
      </c>
      <c r="K25" s="11">
        <f t="shared" si="4"/>
        <v>2.8299999999999992E-2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11"/>
      <c r="H26" s="10"/>
      <c r="I26" s="10">
        <f t="shared" si="5"/>
        <v>7619</v>
      </c>
      <c r="J26" s="10">
        <f t="shared" si="3"/>
        <v>36629082555.757454</v>
      </c>
      <c r="K26" s="11">
        <f t="shared" si="4"/>
        <v>2.8799999999999937E-2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11"/>
      <c r="H27" s="10"/>
      <c r="I27" s="10">
        <f t="shared" si="5"/>
        <v>7619</v>
      </c>
      <c r="J27" s="10">
        <f t="shared" si="3"/>
        <v>35603696107.851341</v>
      </c>
      <c r="K27" s="11">
        <f t="shared" si="4"/>
        <v>2.9300000000000104E-2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11"/>
      <c r="H28" s="10"/>
      <c r="I28" s="10">
        <f t="shared" si="5"/>
        <v>7619</v>
      </c>
      <c r="J28" s="10">
        <f t="shared" si="3"/>
        <v>34590203155.39817</v>
      </c>
      <c r="K28" s="11">
        <f t="shared" si="4"/>
        <v>2.970000000000006E-2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11"/>
      <c r="H29" s="10"/>
      <c r="I29" s="10">
        <f t="shared" si="5"/>
        <v>7619</v>
      </c>
      <c r="J29" s="10">
        <f t="shared" si="3"/>
        <v>33592505735.066685</v>
      </c>
      <c r="K29" s="11">
        <f t="shared" si="4"/>
        <v>3.0200000000000005E-2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11"/>
      <c r="H30" s="10"/>
      <c r="I30" s="10">
        <f t="shared" si="5"/>
        <v>7619</v>
      </c>
      <c r="J30" s="10">
        <f t="shared" si="3"/>
        <v>32607751635.669468</v>
      </c>
      <c r="K30" s="11">
        <f t="shared" si="4"/>
        <v>3.0399999999999761E-2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11"/>
      <c r="H31" s="10"/>
      <c r="I31" s="10">
        <f t="shared" si="5"/>
        <v>7619</v>
      </c>
      <c r="J31" s="10">
        <f t="shared" si="3"/>
        <v>31645721696.107796</v>
      </c>
      <c r="K31" s="11">
        <f t="shared" si="4"/>
        <v>3.0599999999999961E-2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11"/>
      <c r="H32" s="10"/>
      <c r="I32" s="10">
        <f t="shared" si="5"/>
        <v>7619</v>
      </c>
      <c r="J32" s="10">
        <f t="shared" si="3"/>
        <v>30706114589.664078</v>
      </c>
      <c r="K32" s="11">
        <f t="shared" si="4"/>
        <v>3.2000000000000028E-2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11"/>
      <c r="H33" s="10"/>
      <c r="I33" s="10">
        <f t="shared" si="5"/>
        <v>7619</v>
      </c>
      <c r="J33" s="10">
        <f t="shared" si="3"/>
        <v>29753987005.488445</v>
      </c>
      <c r="K33" s="11">
        <f t="shared" si="4"/>
        <v>3.3500000000000085E-2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11"/>
      <c r="H34" s="10"/>
      <c r="I34" s="10">
        <f t="shared" si="5"/>
        <v>7619</v>
      </c>
      <c r="J34" s="10">
        <f t="shared" ref="J34:J65" si="6">IF(I34="","",I34*C34)</f>
        <v>28789537499.26313</v>
      </c>
      <c r="K34" s="11">
        <f t="shared" ref="K34:K65" si="7">IFERROR(J34/J35-1,"")</f>
        <v>3.400000000000003E-2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11"/>
      <c r="H35" s="10"/>
      <c r="I35" s="10">
        <f t="shared" ref="I35:I66" si="8">IF(H35&lt;&gt;"",H35,I34/(1+IF(G34="",0,G34)))</f>
        <v>7619</v>
      </c>
      <c r="J35" s="10">
        <f t="shared" si="6"/>
        <v>27842879593.097801</v>
      </c>
      <c r="K35" s="11">
        <f t="shared" si="7"/>
        <v>3.3300000000000107E-2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11"/>
      <c r="H36" s="10"/>
      <c r="I36" s="10">
        <f t="shared" si="8"/>
        <v>7619</v>
      </c>
      <c r="J36" s="10">
        <f t="shared" si="6"/>
        <v>26945591399.494629</v>
      </c>
      <c r="K36" s="11">
        <f t="shared" si="7"/>
        <v>3.1100000000000128E-2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11"/>
      <c r="H37" s="10"/>
      <c r="I37" s="10">
        <f t="shared" si="8"/>
        <v>7619</v>
      </c>
      <c r="J37" s="10">
        <f t="shared" si="6"/>
        <v>26132859469.978302</v>
      </c>
      <c r="K37" s="11">
        <f t="shared" si="7"/>
        <v>2.8100000000000014E-2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11"/>
      <c r="H38" s="10"/>
      <c r="I38" s="10">
        <f t="shared" si="8"/>
        <v>7619</v>
      </c>
      <c r="J38" s="10">
        <f t="shared" si="6"/>
        <v>25418596897.167885</v>
      </c>
      <c r="K38" s="11">
        <f t="shared" si="7"/>
        <v>2.5600000000000067E-2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11"/>
      <c r="H39" s="10"/>
      <c r="I39" s="10">
        <f t="shared" si="8"/>
        <v>7619</v>
      </c>
      <c r="J39" s="10">
        <f t="shared" si="6"/>
        <v>24784123339.672272</v>
      </c>
      <c r="K39" s="11">
        <f t="shared" si="7"/>
        <v>2.4199999999999999E-2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11"/>
      <c r="H40" s="10"/>
      <c r="I40" s="10">
        <f t="shared" si="8"/>
        <v>7619</v>
      </c>
      <c r="J40" s="10">
        <f t="shared" si="6"/>
        <v>24198519175.622215</v>
      </c>
      <c r="K40" s="11">
        <f t="shared" si="7"/>
        <v>2.4000000000000021E-2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11"/>
      <c r="H41" s="10"/>
      <c r="I41" s="10">
        <f t="shared" si="8"/>
        <v>7619</v>
      </c>
      <c r="J41" s="10">
        <f t="shared" si="6"/>
        <v>23631366382.443569</v>
      </c>
      <c r="K41" s="11">
        <f t="shared" si="7"/>
        <v>2.4199999999999999E-2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11"/>
      <c r="H42" s="10"/>
      <c r="I42" s="10">
        <f t="shared" si="8"/>
        <v>7619</v>
      </c>
      <c r="J42" s="10">
        <f t="shared" si="6"/>
        <v>23072999787.584038</v>
      </c>
      <c r="K42" s="11">
        <f t="shared" si="7"/>
        <v>2.4699999999999944E-2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11"/>
      <c r="H43" s="10"/>
      <c r="I43" s="10">
        <f t="shared" si="8"/>
        <v>7619</v>
      </c>
      <c r="J43" s="10">
        <f t="shared" si="6"/>
        <v>22516833988.078499</v>
      </c>
      <c r="K43" s="11">
        <f t="shared" si="7"/>
        <v>2.5399999999999867E-2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11"/>
      <c r="H44" s="10"/>
      <c r="I44" s="10">
        <f t="shared" si="8"/>
        <v>7619</v>
      </c>
      <c r="J44" s="10">
        <f t="shared" si="6"/>
        <v>21959073520.653893</v>
      </c>
      <c r="K44" s="11">
        <f t="shared" si="7"/>
        <v>2.6399999999999979E-2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11"/>
      <c r="H45" s="10"/>
      <c r="I45" s="10">
        <f t="shared" si="8"/>
        <v>7619</v>
      </c>
      <c r="J45" s="10">
        <f t="shared" si="6"/>
        <v>21394264926.591866</v>
      </c>
      <c r="K45" s="11">
        <f t="shared" si="7"/>
        <v>2.849999999999997E-2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11"/>
      <c r="H46" s="10"/>
      <c r="I46" s="10">
        <f t="shared" si="8"/>
        <v>7619</v>
      </c>
      <c r="J46" s="10">
        <f t="shared" si="6"/>
        <v>20801424333.098557</v>
      </c>
      <c r="K46" s="11">
        <f t="shared" si="7"/>
        <v>3.2100000000000017E-2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11"/>
      <c r="H47" s="10"/>
      <c r="I47" s="10">
        <f t="shared" si="8"/>
        <v>7619</v>
      </c>
      <c r="J47" s="10">
        <f t="shared" si="6"/>
        <v>20154465975.291695</v>
      </c>
      <c r="K47" s="11">
        <f t="shared" si="7"/>
        <v>3.6299999999999999E-2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11"/>
      <c r="H48" s="10"/>
      <c r="I48" s="10">
        <f t="shared" si="8"/>
        <v>7619</v>
      </c>
      <c r="J48" s="10">
        <f t="shared" si="6"/>
        <v>19448485935.821381</v>
      </c>
      <c r="K48" s="11">
        <f t="shared" si="7"/>
        <v>3.9899999999999824E-2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11"/>
      <c r="H49" s="10"/>
      <c r="I49" s="10">
        <f t="shared" si="8"/>
        <v>7619</v>
      </c>
      <c r="J49" s="10">
        <f t="shared" si="6"/>
        <v>18702265540.745632</v>
      </c>
      <c r="K49" s="11">
        <f t="shared" si="7"/>
        <v>4.1400000000000325E-2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11"/>
      <c r="H50" s="10"/>
      <c r="I50" s="10">
        <f t="shared" si="8"/>
        <v>7619</v>
      </c>
      <c r="J50" s="10">
        <f t="shared" si="6"/>
        <v>17958772364.841202</v>
      </c>
      <c r="K50" s="11">
        <f t="shared" si="7"/>
        <v>3.9500000000000091E-2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11"/>
      <c r="H51" s="10"/>
      <c r="I51" s="10">
        <f t="shared" si="8"/>
        <v>7619</v>
      </c>
      <c r="J51" s="10">
        <f t="shared" si="6"/>
        <v>17276356291.333527</v>
      </c>
      <c r="K51" s="11">
        <f t="shared" si="7"/>
        <v>3.4299999999999997E-2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11"/>
      <c r="H52" s="10"/>
      <c r="I52" s="10">
        <f t="shared" si="8"/>
        <v>7619</v>
      </c>
      <c r="J52" s="10">
        <f t="shared" si="6"/>
        <v>16703428687.357176</v>
      </c>
      <c r="K52" s="11">
        <f t="shared" si="7"/>
        <v>2.7499999999999858E-2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11"/>
      <c r="H53" s="10"/>
      <c r="I53" s="10">
        <f t="shared" si="8"/>
        <v>7619</v>
      </c>
      <c r="J53" s="10">
        <f t="shared" si="6"/>
        <v>16256378284.532532</v>
      </c>
      <c r="K53" s="11">
        <f t="shared" si="7"/>
        <v>2.1500000000000075E-2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11"/>
      <c r="H54" s="10"/>
      <c r="I54" s="10">
        <f t="shared" si="8"/>
        <v>7619</v>
      </c>
      <c r="J54" s="10">
        <f t="shared" si="6"/>
        <v>15914222500.766062</v>
      </c>
      <c r="K54" s="11">
        <f t="shared" si="7"/>
        <v>1.8399999999999972E-2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11"/>
      <c r="H55" s="10"/>
      <c r="I55" s="10">
        <f t="shared" si="8"/>
        <v>7619</v>
      </c>
      <c r="J55" s="10">
        <f t="shared" si="6"/>
        <v>15626691379.385372</v>
      </c>
      <c r="K55" s="11">
        <f t="shared" si="7"/>
        <v>1.760000000000006E-2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11"/>
      <c r="H56" s="10"/>
      <c r="I56" s="10">
        <f t="shared" si="8"/>
        <v>7619</v>
      </c>
      <c r="J56" s="10">
        <f t="shared" si="6"/>
        <v>15356418415.276505</v>
      </c>
      <c r="K56" s="11">
        <f t="shared" si="7"/>
        <v>1.7499999999999849E-2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11"/>
      <c r="H57" s="10"/>
      <c r="I57" s="10">
        <f t="shared" si="8"/>
        <v>7619</v>
      </c>
      <c r="J57" s="10">
        <f t="shared" si="6"/>
        <v>15092303110.836861</v>
      </c>
      <c r="K57" s="11">
        <f t="shared" si="7"/>
        <v>1.8000000000000238E-2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11"/>
      <c r="H58" s="10"/>
      <c r="I58" s="10">
        <f t="shared" si="8"/>
        <v>7619</v>
      </c>
      <c r="J58" s="10">
        <f t="shared" si="6"/>
        <v>14825445099.053888</v>
      </c>
      <c r="K58" s="11">
        <f t="shared" si="7"/>
        <v>1.8999999999999906E-2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11"/>
      <c r="H59" s="10"/>
      <c r="I59" s="10">
        <f t="shared" si="8"/>
        <v>7619</v>
      </c>
      <c r="J59" s="10">
        <f t="shared" si="6"/>
        <v>14549013836.166723</v>
      </c>
      <c r="K59" s="11">
        <f t="shared" si="7"/>
        <v>1.9999999999999796E-2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11"/>
      <c r="H60" s="10"/>
      <c r="I60" s="10">
        <f t="shared" si="8"/>
        <v>7619</v>
      </c>
      <c r="J60" s="10">
        <f t="shared" si="6"/>
        <v>14263739055.065416</v>
      </c>
      <c r="K60" s="11">
        <f t="shared" si="7"/>
        <v>2.000000000000024E-2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11"/>
      <c r="H61" s="10"/>
      <c r="I61" s="10">
        <f t="shared" si="8"/>
        <v>7619</v>
      </c>
      <c r="J61" s="10">
        <f t="shared" si="6"/>
        <v>13984057897.122955</v>
      </c>
      <c r="K61" s="11">
        <f t="shared" si="7"/>
        <v>2.0000000000000018E-2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11"/>
      <c r="H62" s="10"/>
      <c r="I62" s="10">
        <f t="shared" si="8"/>
        <v>7619</v>
      </c>
      <c r="J62" s="10">
        <f t="shared" si="6"/>
        <v>13709860683.453878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11"/>
      <c r="H63" s="10"/>
      <c r="I63" s="10">
        <f t="shared" si="8"/>
        <v>7619</v>
      </c>
      <c r="J63" s="10">
        <f t="shared" si="6"/>
        <v>13441039885.739096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11"/>
      <c r="H64" s="10"/>
      <c r="I64" s="10">
        <f t="shared" si="8"/>
        <v>7619</v>
      </c>
      <c r="J64" s="10">
        <f t="shared" si="6"/>
        <v>13177490084.057938</v>
      </c>
      <c r="K64" s="11">
        <f t="shared" si="7"/>
        <v>2.0000000000000018E-2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11"/>
      <c r="H65" s="10"/>
      <c r="I65" s="10">
        <f t="shared" si="8"/>
        <v>7619</v>
      </c>
      <c r="J65" s="10">
        <f t="shared" si="6"/>
        <v>12919107925.546997</v>
      </c>
      <c r="K65" s="11">
        <f t="shared" si="7"/>
        <v>1.8999999999999906E-2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6">
        <f>SUM(F2)</f>
        <v>8871251</v>
      </c>
      <c r="G66" s="11"/>
      <c r="H66" s="10"/>
      <c r="I66" s="10">
        <f t="shared" si="8"/>
        <v>7619</v>
      </c>
      <c r="J66" s="10">
        <f t="shared" ref="J66:J97" si="9">IF(I66="","",I66*C66)</f>
        <v>12678221712.999998</v>
      </c>
      <c r="K66" s="11">
        <f t="shared" ref="K66:K97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11"/>
      <c r="H67" s="10"/>
      <c r="I67" s="10">
        <f t="shared" ref="I67:I98" si="11">IF(H67&lt;&gt;"",H67,I66/(1+IF(G66="",0,G66)))</f>
        <v>7619</v>
      </c>
      <c r="J67" s="10">
        <f t="shared" si="9"/>
        <v>12441827000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5">
        <v>82798</v>
      </c>
      <c r="G2" s="11"/>
      <c r="H2" s="10"/>
      <c r="I2" s="10">
        <f>IF(H2&lt;&gt;"",H2,5040)</f>
        <v>5040</v>
      </c>
      <c r="J2" s="10">
        <f t="shared" ref="J2:J33" si="3">IF(I2="","",I2*C2)</f>
        <v>416945796.79874253</v>
      </c>
      <c r="K2" s="11">
        <f t="shared" ref="K2:K33" si="4">IFERROR(J2/J3-1,"")</f>
        <v>4.5999999999999375E-3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11"/>
      <c r="H3" s="10"/>
      <c r="I3" s="10">
        <f t="shared" ref="I3:I34" si="5">IF(H3&lt;&gt;"",H3,I2/(1+IF(G2="",0,G2)))</f>
        <v>5040</v>
      </c>
      <c r="J3" s="10">
        <f t="shared" si="3"/>
        <v>415036628.30852336</v>
      </c>
      <c r="K3" s="11">
        <f t="shared" si="4"/>
        <v>4.4000000000001815E-3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11"/>
      <c r="H4" s="10"/>
      <c r="I4" s="10">
        <f t="shared" si="5"/>
        <v>5040</v>
      </c>
      <c r="J4" s="10">
        <f t="shared" si="3"/>
        <v>413218467.05348796</v>
      </c>
      <c r="K4" s="11">
        <f t="shared" si="4"/>
        <v>3.9000000000000146E-3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11"/>
      <c r="H5" s="10"/>
      <c r="I5" s="10">
        <f t="shared" si="5"/>
        <v>5040</v>
      </c>
      <c r="J5" s="10">
        <f t="shared" si="3"/>
        <v>411613175.66838127</v>
      </c>
      <c r="K5" s="11">
        <f t="shared" si="4"/>
        <v>3.3000000000000806E-3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11"/>
      <c r="H6" s="10"/>
      <c r="I6" s="10">
        <f t="shared" si="5"/>
        <v>5040</v>
      </c>
      <c r="J6" s="10">
        <f t="shared" si="3"/>
        <v>410259319.91266942</v>
      </c>
      <c r="K6" s="11">
        <f t="shared" si="4"/>
        <v>2.8999999999999027E-3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11"/>
      <c r="H7" s="10"/>
      <c r="I7" s="10">
        <f t="shared" si="5"/>
        <v>5040</v>
      </c>
      <c r="J7" s="10">
        <f t="shared" si="3"/>
        <v>409073008.18892163</v>
      </c>
      <c r="K7" s="11">
        <f t="shared" si="4"/>
        <v>1.9000000000000128E-3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11"/>
      <c r="H8" s="10"/>
      <c r="I8" s="10">
        <f t="shared" si="5"/>
        <v>5040</v>
      </c>
      <c r="J8" s="10">
        <f t="shared" si="3"/>
        <v>408297243.42641145</v>
      </c>
      <c r="K8" s="11">
        <f t="shared" si="4"/>
        <v>1.6000000000000458E-3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11"/>
      <c r="H9" s="10"/>
      <c r="I9" s="10">
        <f t="shared" si="5"/>
        <v>5040</v>
      </c>
      <c r="J9" s="10">
        <f t="shared" si="3"/>
        <v>407645011.40815836</v>
      </c>
      <c r="K9" s="11">
        <f t="shared" si="4"/>
        <v>2.0999999999999908E-3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11"/>
      <c r="H10" s="10"/>
      <c r="I10" s="10">
        <f t="shared" si="5"/>
        <v>5040</v>
      </c>
      <c r="J10" s="10">
        <f t="shared" si="3"/>
        <v>406790750.83141243</v>
      </c>
      <c r="K10" s="11">
        <f t="shared" si="4"/>
        <v>4.9999999999998934E-3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11"/>
      <c r="H11" s="10"/>
      <c r="I11" s="10">
        <f t="shared" si="5"/>
        <v>5040</v>
      </c>
      <c r="J11" s="10">
        <f t="shared" si="3"/>
        <v>404766916.25016171</v>
      </c>
      <c r="K11" s="11">
        <f t="shared" si="4"/>
        <v>9.1999999999998749E-3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11"/>
      <c r="H12" s="10"/>
      <c r="I12" s="10">
        <f t="shared" si="5"/>
        <v>5040</v>
      </c>
      <c r="J12" s="10">
        <f t="shared" si="3"/>
        <v>401077007.77859861</v>
      </c>
      <c r="K12" s="11">
        <f t="shared" si="4"/>
        <v>1.419999999999999E-2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11"/>
      <c r="H13" s="10"/>
      <c r="I13" s="10">
        <f t="shared" si="5"/>
        <v>5040</v>
      </c>
      <c r="J13" s="10">
        <f t="shared" si="3"/>
        <v>395461455.11595207</v>
      </c>
      <c r="K13" s="11">
        <f t="shared" si="4"/>
        <v>1.8699999999999939E-2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11"/>
      <c r="H14" s="10"/>
      <c r="I14" s="10">
        <f t="shared" si="5"/>
        <v>5040</v>
      </c>
      <c r="J14" s="10">
        <f t="shared" si="3"/>
        <v>388202076.28934139</v>
      </c>
      <c r="K14" s="11">
        <f t="shared" si="4"/>
        <v>2.0699999999999941E-2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11"/>
      <c r="H15" s="10"/>
      <c r="I15" s="10">
        <f t="shared" si="5"/>
        <v>5040</v>
      </c>
      <c r="J15" s="10">
        <f t="shared" si="3"/>
        <v>380329260.59502441</v>
      </c>
      <c r="K15" s="11">
        <f t="shared" si="4"/>
        <v>1.8399999999999972E-2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11"/>
      <c r="H16" s="10"/>
      <c r="I16" s="10">
        <f t="shared" si="5"/>
        <v>5040</v>
      </c>
      <c r="J16" s="10">
        <f t="shared" si="3"/>
        <v>373457640.01868069</v>
      </c>
      <c r="K16" s="11">
        <f t="shared" si="4"/>
        <v>1.2899999999999912E-2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11"/>
      <c r="H17" s="10"/>
      <c r="I17" s="10">
        <f t="shared" si="5"/>
        <v>5040</v>
      </c>
      <c r="J17" s="10">
        <f t="shared" si="3"/>
        <v>368701392.06109262</v>
      </c>
      <c r="K17" s="11">
        <f t="shared" si="4"/>
        <v>6.5999999999999392E-3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11"/>
      <c r="H18" s="10"/>
      <c r="I18" s="10">
        <f t="shared" si="5"/>
        <v>5040</v>
      </c>
      <c r="J18" s="10">
        <f t="shared" si="3"/>
        <v>366283918.20096624</v>
      </c>
      <c r="K18" s="11">
        <f t="shared" si="4"/>
        <v>1.1999999999998678E-3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11"/>
      <c r="H19" s="10"/>
      <c r="I19" s="10">
        <f t="shared" si="5"/>
        <v>5040</v>
      </c>
      <c r="J19" s="10">
        <f t="shared" si="3"/>
        <v>365844904.31578732</v>
      </c>
      <c r="K19" s="11">
        <f t="shared" si="4"/>
        <v>-1.9000000000000128E-3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11"/>
      <c r="H20" s="10"/>
      <c r="I20" s="10">
        <f t="shared" si="5"/>
        <v>5040</v>
      </c>
      <c r="J20" s="10">
        <f t="shared" si="3"/>
        <v>366541332.84819889</v>
      </c>
      <c r="K20" s="11">
        <f t="shared" si="4"/>
        <v>-1.3999999999998458E-3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11"/>
      <c r="H21" s="10"/>
      <c r="I21" s="10">
        <f t="shared" si="5"/>
        <v>5040</v>
      </c>
      <c r="J21" s="10">
        <f t="shared" si="3"/>
        <v>367055210.14239818</v>
      </c>
      <c r="K21" s="11">
        <f t="shared" si="4"/>
        <v>1.3999999999998458E-3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11"/>
      <c r="H22" s="10"/>
      <c r="I22" s="10">
        <f t="shared" si="5"/>
        <v>5040</v>
      </c>
      <c r="J22" s="10">
        <f t="shared" si="3"/>
        <v>366542051.27061933</v>
      </c>
      <c r="K22" s="11">
        <f t="shared" si="4"/>
        <v>4.7999999999999154E-3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11"/>
      <c r="H23" s="10"/>
      <c r="I23" s="10">
        <f t="shared" si="5"/>
        <v>5040</v>
      </c>
      <c r="J23" s="10">
        <f t="shared" si="3"/>
        <v>364791054.2104094</v>
      </c>
      <c r="K23" s="11">
        <f t="shared" si="4"/>
        <v>7.7000000000000401E-3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11"/>
      <c r="H24" s="10"/>
      <c r="I24" s="10">
        <f t="shared" si="5"/>
        <v>5040</v>
      </c>
      <c r="J24" s="10">
        <f t="shared" si="3"/>
        <v>362003626.28799182</v>
      </c>
      <c r="K24" s="11">
        <f t="shared" si="4"/>
        <v>1.1800000000000033E-2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11"/>
      <c r="H25" s="10"/>
      <c r="I25" s="10">
        <f t="shared" si="5"/>
        <v>5040</v>
      </c>
      <c r="J25" s="10">
        <f t="shared" si="3"/>
        <v>357781801.0357697</v>
      </c>
      <c r="K25" s="11">
        <f t="shared" si="4"/>
        <v>1.7200000000000104E-2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11"/>
      <c r="H26" s="10"/>
      <c r="I26" s="10">
        <f t="shared" si="5"/>
        <v>5040</v>
      </c>
      <c r="J26" s="10">
        <f t="shared" si="3"/>
        <v>351732010.45592773</v>
      </c>
      <c r="K26" s="11">
        <f t="shared" si="4"/>
        <v>2.3800000000000043E-2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11"/>
      <c r="H27" s="10"/>
      <c r="I27" s="10">
        <f t="shared" si="5"/>
        <v>5040</v>
      </c>
      <c r="J27" s="10">
        <f t="shared" si="3"/>
        <v>343555392.12339097</v>
      </c>
      <c r="K27" s="11">
        <f t="shared" si="4"/>
        <v>3.0899999999999928E-2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11"/>
      <c r="H28" s="10"/>
      <c r="I28" s="10">
        <f t="shared" si="5"/>
        <v>5040</v>
      </c>
      <c r="J28" s="10">
        <f t="shared" si="3"/>
        <v>333257728.31835383</v>
      </c>
      <c r="K28" s="11">
        <f t="shared" si="4"/>
        <v>3.8599999999999746E-2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11"/>
      <c r="H29" s="10"/>
      <c r="I29" s="10">
        <f t="shared" si="5"/>
        <v>5040</v>
      </c>
      <c r="J29" s="10">
        <f t="shared" si="3"/>
        <v>320872066.54954159</v>
      </c>
      <c r="K29" s="11">
        <f t="shared" si="4"/>
        <v>4.4599999999999973E-2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11"/>
      <c r="H30" s="10"/>
      <c r="I30" s="10">
        <f t="shared" si="5"/>
        <v>5040</v>
      </c>
      <c r="J30" s="10">
        <f t="shared" si="3"/>
        <v>307172187.00894272</v>
      </c>
      <c r="K30" s="11">
        <f t="shared" si="4"/>
        <v>4.7500000000000098E-2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11"/>
      <c r="H31" s="10"/>
      <c r="I31" s="10">
        <f t="shared" si="5"/>
        <v>5040</v>
      </c>
      <c r="J31" s="10">
        <f t="shared" si="3"/>
        <v>293243137.9560312</v>
      </c>
      <c r="K31" s="11">
        <f t="shared" si="4"/>
        <v>4.7900000000000054E-2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11"/>
      <c r="H32" s="10"/>
      <c r="I32" s="10">
        <f t="shared" si="5"/>
        <v>5040</v>
      </c>
      <c r="J32" s="10">
        <f t="shared" si="3"/>
        <v>279838856.71918237</v>
      </c>
      <c r="K32" s="11">
        <f t="shared" si="4"/>
        <v>4.7199999999999909E-2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11"/>
      <c r="H33" s="10"/>
      <c r="I33" s="10">
        <f t="shared" si="5"/>
        <v>5040</v>
      </c>
      <c r="J33" s="10">
        <f t="shared" si="3"/>
        <v>267225799.00609472</v>
      </c>
      <c r="K33" s="11">
        <f t="shared" si="4"/>
        <v>4.7100000000000142E-2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11"/>
      <c r="H34" s="10"/>
      <c r="I34" s="10">
        <f t="shared" si="5"/>
        <v>5040</v>
      </c>
      <c r="J34" s="10">
        <f t="shared" ref="J34:J65" si="6">IF(I34="","",I34*C34)</f>
        <v>255205614.56030437</v>
      </c>
      <c r="K34" s="11">
        <f t="shared" ref="K34:K65" si="7">IFERROR(J34/J35-1,"")</f>
        <v>4.5500000000000096E-2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11"/>
      <c r="H35" s="10"/>
      <c r="I35" s="10">
        <f t="shared" ref="I35:I66" si="8">IF(H35&lt;&gt;"",H35,I34/(1+IF(G34="",0,G34)))</f>
        <v>5040</v>
      </c>
      <c r="J35" s="10">
        <f t="shared" si="6"/>
        <v>244099105.27049676</v>
      </c>
      <c r="K35" s="11">
        <f t="shared" si="7"/>
        <v>4.4399999999999995E-2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11"/>
      <c r="H36" s="10"/>
      <c r="I36" s="10">
        <f t="shared" si="8"/>
        <v>5040</v>
      </c>
      <c r="J36" s="10">
        <f t="shared" si="6"/>
        <v>233721854.91238678</v>
      </c>
      <c r="K36" s="11">
        <f t="shared" si="7"/>
        <v>4.1900000000000048E-2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11"/>
      <c r="H37" s="10"/>
      <c r="I37" s="10">
        <f t="shared" si="8"/>
        <v>5040</v>
      </c>
      <c r="J37" s="10">
        <f t="shared" si="6"/>
        <v>224322732.42382836</v>
      </c>
      <c r="K37" s="11">
        <f t="shared" si="7"/>
        <v>3.8599999999999968E-2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11"/>
      <c r="H38" s="10"/>
      <c r="I38" s="10">
        <f t="shared" si="8"/>
        <v>5040</v>
      </c>
      <c r="J38" s="10">
        <f t="shared" si="6"/>
        <v>215985684.98346657</v>
      </c>
      <c r="K38" s="11">
        <f t="shared" si="7"/>
        <v>3.5199999999999898E-2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11"/>
      <c r="H39" s="10"/>
      <c r="I39" s="10">
        <f t="shared" si="8"/>
        <v>5040</v>
      </c>
      <c r="J39" s="10">
        <f t="shared" si="6"/>
        <v>208641504.04121581</v>
      </c>
      <c r="K39" s="11">
        <f t="shared" si="7"/>
        <v>3.2999999999999918E-2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11"/>
      <c r="H40" s="10"/>
      <c r="I40" s="10">
        <f t="shared" si="8"/>
        <v>5040</v>
      </c>
      <c r="J40" s="10">
        <f t="shared" si="6"/>
        <v>201976286.5839456</v>
      </c>
      <c r="K40" s="11">
        <f t="shared" si="7"/>
        <v>3.4499999999999753E-2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11"/>
      <c r="H41" s="10"/>
      <c r="I41" s="10">
        <f t="shared" si="8"/>
        <v>5040</v>
      </c>
      <c r="J41" s="10">
        <f t="shared" si="6"/>
        <v>195240489.68965262</v>
      </c>
      <c r="K41" s="11">
        <f t="shared" si="7"/>
        <v>3.7200000000000122E-2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11"/>
      <c r="H42" s="10"/>
      <c r="I42" s="10">
        <f t="shared" si="8"/>
        <v>5040</v>
      </c>
      <c r="J42" s="10">
        <f t="shared" si="6"/>
        <v>188238034.79526863</v>
      </c>
      <c r="K42" s="11">
        <f t="shared" si="7"/>
        <v>4.1900000000000048E-2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11"/>
      <c r="H43" s="10"/>
      <c r="I43" s="10">
        <f t="shared" si="8"/>
        <v>5040</v>
      </c>
      <c r="J43" s="10">
        <f t="shared" si="6"/>
        <v>180668043.76165527</v>
      </c>
      <c r="K43" s="11">
        <f t="shared" si="7"/>
        <v>4.5499999999999874E-2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11"/>
      <c r="H44" s="10"/>
      <c r="I44" s="10">
        <f t="shared" si="8"/>
        <v>5040</v>
      </c>
      <c r="J44" s="10">
        <f t="shared" si="6"/>
        <v>172805398.14601174</v>
      </c>
      <c r="K44" s="11">
        <f t="shared" si="7"/>
        <v>4.830000000000001E-2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11"/>
      <c r="H45" s="10"/>
      <c r="I45" s="10">
        <f t="shared" si="8"/>
        <v>5040</v>
      </c>
      <c r="J45" s="10">
        <f t="shared" si="6"/>
        <v>164843459.07279569</v>
      </c>
      <c r="K45" s="11">
        <f t="shared" si="7"/>
        <v>4.7199999999999909E-2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11"/>
      <c r="H46" s="10"/>
      <c r="I46" s="10">
        <f t="shared" si="8"/>
        <v>5040</v>
      </c>
      <c r="J46" s="10">
        <f t="shared" si="6"/>
        <v>157413539.98548099</v>
      </c>
      <c r="K46" s="11">
        <f t="shared" si="7"/>
        <v>4.369999999999985E-2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11"/>
      <c r="H47" s="10"/>
      <c r="I47" s="10">
        <f t="shared" si="8"/>
        <v>5040</v>
      </c>
      <c r="J47" s="10">
        <f t="shared" si="6"/>
        <v>150822592.68514037</v>
      </c>
      <c r="K47" s="11">
        <f t="shared" si="7"/>
        <v>3.8799999999999946E-2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11"/>
      <c r="H48" s="10"/>
      <c r="I48" s="10">
        <f t="shared" si="8"/>
        <v>5040</v>
      </c>
      <c r="J48" s="10">
        <f t="shared" si="6"/>
        <v>145189249.79316556</v>
      </c>
      <c r="K48" s="11">
        <f t="shared" si="7"/>
        <v>3.3700000000000063E-2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11"/>
      <c r="H49" s="10"/>
      <c r="I49" s="10">
        <f t="shared" si="8"/>
        <v>5040</v>
      </c>
      <c r="J49" s="10">
        <f t="shared" si="6"/>
        <v>140455886.4207851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11"/>
      <c r="H50" s="10"/>
      <c r="I50" s="10">
        <f t="shared" si="8"/>
        <v>5040</v>
      </c>
      <c r="J50" s="10">
        <f t="shared" si="6"/>
        <v>136206251.37779781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11"/>
      <c r="H51" s="10"/>
      <c r="I51" s="10">
        <f t="shared" si="8"/>
        <v>5040</v>
      </c>
      <c r="J51" s="10">
        <f t="shared" si="6"/>
        <v>132200573.98602137</v>
      </c>
      <c r="K51" s="11">
        <f t="shared" si="7"/>
        <v>3.1400000000000095E-2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11"/>
      <c r="H52" s="10"/>
      <c r="I52" s="10">
        <f t="shared" si="8"/>
        <v>5040</v>
      </c>
      <c r="J52" s="10">
        <f t="shared" si="6"/>
        <v>128175852.22612116</v>
      </c>
      <c r="K52" s="11">
        <f t="shared" si="7"/>
        <v>3.3700000000000063E-2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11"/>
      <c r="H53" s="10"/>
      <c r="I53" s="10">
        <f t="shared" si="8"/>
        <v>5040</v>
      </c>
      <c r="J53" s="10">
        <f t="shared" si="6"/>
        <v>123997148.32748491</v>
      </c>
      <c r="K53" s="11">
        <f t="shared" si="7"/>
        <v>3.6499999999999977E-2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11"/>
      <c r="H54" s="10"/>
      <c r="I54" s="10">
        <f t="shared" si="8"/>
        <v>5040</v>
      </c>
      <c r="J54" s="10">
        <f t="shared" si="6"/>
        <v>119630630.32077657</v>
      </c>
      <c r="K54" s="11">
        <f t="shared" si="7"/>
        <v>3.5600000000000298E-2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11"/>
      <c r="H55" s="10"/>
      <c r="I55" s="10">
        <f t="shared" si="8"/>
        <v>5040</v>
      </c>
      <c r="J55" s="10">
        <f t="shared" si="6"/>
        <v>115518183.00577109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11"/>
      <c r="H56" s="10"/>
      <c r="I56" s="10">
        <f t="shared" si="8"/>
        <v>5040</v>
      </c>
      <c r="J56" s="10">
        <f t="shared" si="6"/>
        <v>111925378.36040218</v>
      </c>
      <c r="K56" s="11">
        <f t="shared" si="7"/>
        <v>2.5700000000000056E-2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11"/>
      <c r="H57" s="10"/>
      <c r="I57" s="10">
        <f t="shared" si="8"/>
        <v>5040</v>
      </c>
      <c r="J57" s="10">
        <f t="shared" si="6"/>
        <v>109120969.445649</v>
      </c>
      <c r="K57" s="11">
        <f t="shared" si="7"/>
        <v>1.8000000000000016E-2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11"/>
      <c r="H58" s="10"/>
      <c r="I58" s="10">
        <f t="shared" si="8"/>
        <v>5040</v>
      </c>
      <c r="J58" s="10">
        <f t="shared" si="6"/>
        <v>107191522.04877111</v>
      </c>
      <c r="K58" s="11">
        <f t="shared" si="7"/>
        <v>1.4999999999999902E-2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11"/>
      <c r="H59" s="10"/>
      <c r="I59" s="10">
        <f t="shared" si="8"/>
        <v>5040</v>
      </c>
      <c r="J59" s="10">
        <f t="shared" si="6"/>
        <v>105607410.88548879</v>
      </c>
      <c r="K59" s="11">
        <f t="shared" si="7"/>
        <v>1.2000000000000011E-2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11"/>
      <c r="H60" s="10"/>
      <c r="I60" s="10">
        <f t="shared" si="8"/>
        <v>5040</v>
      </c>
      <c r="J60" s="10">
        <f t="shared" si="6"/>
        <v>104355149.0963328</v>
      </c>
      <c r="K60" s="11">
        <f t="shared" si="7"/>
        <v>1.0000000000000009E-2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11"/>
      <c r="H61" s="10"/>
      <c r="I61" s="10">
        <f t="shared" si="8"/>
        <v>5040</v>
      </c>
      <c r="J61" s="10">
        <f t="shared" si="6"/>
        <v>103321929.79834931</v>
      </c>
      <c r="K61" s="11">
        <f t="shared" si="7"/>
        <v>8.999999999999897E-3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11"/>
      <c r="H62" s="10"/>
      <c r="I62" s="10">
        <f t="shared" si="8"/>
        <v>5040</v>
      </c>
      <c r="J62" s="10">
        <f t="shared" si="6"/>
        <v>102400326.85663956</v>
      </c>
      <c r="K62" s="11">
        <f t="shared" si="7"/>
        <v>8.0000000000000071E-3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11"/>
      <c r="H63" s="10"/>
      <c r="I63" s="10">
        <f t="shared" si="8"/>
        <v>5040</v>
      </c>
      <c r="J63" s="10">
        <f t="shared" si="6"/>
        <v>101587625.84984083</v>
      </c>
      <c r="K63" s="11">
        <f t="shared" si="7"/>
        <v>6.9999999999998952E-3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11"/>
      <c r="H64" s="10"/>
      <c r="I64" s="10">
        <f t="shared" si="8"/>
        <v>5040</v>
      </c>
      <c r="J64" s="10">
        <f t="shared" si="6"/>
        <v>100881455.66021931</v>
      </c>
      <c r="K64" s="11">
        <f t="shared" si="7"/>
        <v>5.8000000000000274E-3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11"/>
      <c r="H65" s="10"/>
      <c r="I65" s="10">
        <f t="shared" si="8"/>
        <v>5040</v>
      </c>
      <c r="J65" s="10">
        <f t="shared" si="6"/>
        <v>100299717.29988001</v>
      </c>
      <c r="K65" s="11">
        <f t="shared" si="7"/>
        <v>8.5000000000001741E-3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6">
        <f>SUM(F2)</f>
        <v>82798</v>
      </c>
      <c r="G66" s="11"/>
      <c r="H66" s="10"/>
      <c r="I66" s="10">
        <f t="shared" si="8"/>
        <v>5040</v>
      </c>
      <c r="J66" s="10">
        <f t="shared" ref="J66:J97" si="9">IF(I66="","",I66*C66)</f>
        <v>99454355.280000001</v>
      </c>
      <c r="K66" s="11">
        <f t="shared" ref="K66:K97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11"/>
      <c r="H67" s="10"/>
      <c r="I67" s="10">
        <f t="shared" ref="I67:I98" si="11">IF(H67&lt;&gt;"",H67,I66/(1+IF(G66="",0,G66)))</f>
        <v>5040</v>
      </c>
      <c r="J67" s="10">
        <f t="shared" si="9"/>
        <v>98733600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5">
        <v>3626297</v>
      </c>
      <c r="G2" s="11"/>
      <c r="H2" s="10"/>
      <c r="I2" s="10">
        <f>IF(H2&lt;&gt;"",H2,12937)</f>
        <v>12937</v>
      </c>
      <c r="J2" s="10">
        <f t="shared" ref="J2:J33" si="3">IF(I2="","",I2*C2)</f>
        <v>46903295028.615898</v>
      </c>
      <c r="K2" s="11">
        <f t="shared" ref="K2:K33" si="4">IFERROR(J2/J3-1,"")</f>
        <v>2.8899999999999926E-2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11"/>
      <c r="H3" s="10"/>
      <c r="I3" s="10">
        <f t="shared" ref="I3:I34" si="5">IF(H3&lt;&gt;"",H3,I2/(1+IF(G2="",0,G2)))</f>
        <v>12937</v>
      </c>
      <c r="J3" s="10">
        <f t="shared" si="3"/>
        <v>45585863571.402374</v>
      </c>
      <c r="K3" s="11">
        <f t="shared" si="4"/>
        <v>2.4200000000000221E-2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11"/>
      <c r="H4" s="10"/>
      <c r="I4" s="10">
        <f t="shared" si="5"/>
        <v>12937</v>
      </c>
      <c r="J4" s="10">
        <f t="shared" si="3"/>
        <v>44508751778.365913</v>
      </c>
      <c r="K4" s="11">
        <f t="shared" si="4"/>
        <v>1.9900000000000029E-2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11"/>
      <c r="H5" s="10"/>
      <c r="I5" s="10">
        <f t="shared" si="5"/>
        <v>12937</v>
      </c>
      <c r="J5" s="10">
        <f t="shared" si="3"/>
        <v>43640309616.987854</v>
      </c>
      <c r="K5" s="11">
        <f t="shared" si="4"/>
        <v>2.0899999999999919E-2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11"/>
      <c r="H6" s="10"/>
      <c r="I6" s="10">
        <f t="shared" si="5"/>
        <v>12937</v>
      </c>
      <c r="J6" s="10">
        <f t="shared" si="3"/>
        <v>42746899419.128082</v>
      </c>
      <c r="K6" s="11">
        <f t="shared" si="4"/>
        <v>2.1700000000000053E-2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11"/>
      <c r="H7" s="10"/>
      <c r="I7" s="10">
        <f t="shared" si="5"/>
        <v>12937</v>
      </c>
      <c r="J7" s="10">
        <f t="shared" si="3"/>
        <v>41838993265.271683</v>
      </c>
      <c r="K7" s="11">
        <f t="shared" si="4"/>
        <v>2.200000000000002E-2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11"/>
      <c r="H8" s="10"/>
      <c r="I8" s="10">
        <f t="shared" si="5"/>
        <v>12937</v>
      </c>
      <c r="J8" s="10">
        <f t="shared" si="3"/>
        <v>40938349574.629829</v>
      </c>
      <c r="K8" s="11">
        <f t="shared" si="4"/>
        <v>2.2199999999999998E-2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11"/>
      <c r="H9" s="10"/>
      <c r="I9" s="10">
        <f t="shared" si="5"/>
        <v>12937</v>
      </c>
      <c r="J9" s="10">
        <f t="shared" si="3"/>
        <v>40049256089.444168</v>
      </c>
      <c r="K9" s="11">
        <f t="shared" si="4"/>
        <v>2.2699999999999942E-2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11"/>
      <c r="H10" s="10"/>
      <c r="I10" s="10">
        <f t="shared" si="5"/>
        <v>12937</v>
      </c>
      <c r="J10" s="10">
        <f t="shared" si="3"/>
        <v>39160316895.907082</v>
      </c>
      <c r="K10" s="11">
        <f t="shared" si="4"/>
        <v>2.3300000000000098E-2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11"/>
      <c r="H11" s="10"/>
      <c r="I11" s="10">
        <f t="shared" si="5"/>
        <v>12937</v>
      </c>
      <c r="J11" s="10">
        <f t="shared" si="3"/>
        <v>38268657183.530807</v>
      </c>
      <c r="K11" s="11">
        <f t="shared" si="4"/>
        <v>2.3600000000000065E-2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11"/>
      <c r="H12" s="10"/>
      <c r="I12" s="10">
        <f t="shared" si="5"/>
        <v>12937</v>
      </c>
      <c r="J12" s="10">
        <f t="shared" si="3"/>
        <v>37386339569.686211</v>
      </c>
      <c r="K12" s="11">
        <f t="shared" si="4"/>
        <v>2.3900000000000254E-2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11"/>
      <c r="H13" s="10"/>
      <c r="I13" s="10">
        <f t="shared" si="5"/>
        <v>12937</v>
      </c>
      <c r="J13" s="10">
        <f t="shared" si="3"/>
        <v>36513663023.426315</v>
      </c>
      <c r="K13" s="11">
        <f t="shared" si="4"/>
        <v>2.4199999999999999E-2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11"/>
      <c r="H14" s="10"/>
      <c r="I14" s="10">
        <f t="shared" si="5"/>
        <v>12937</v>
      </c>
      <c r="J14" s="10">
        <f t="shared" si="3"/>
        <v>35650910977.76442</v>
      </c>
      <c r="K14" s="11">
        <f t="shared" si="4"/>
        <v>2.4899999999999922E-2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11"/>
      <c r="H15" s="10"/>
      <c r="I15" s="10">
        <f t="shared" si="5"/>
        <v>12937</v>
      </c>
      <c r="J15" s="10">
        <f t="shared" si="3"/>
        <v>34784770199.789658</v>
      </c>
      <c r="K15" s="11">
        <f t="shared" si="4"/>
        <v>2.5800000000000045E-2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11"/>
      <c r="H16" s="10"/>
      <c r="I16" s="10">
        <f t="shared" si="5"/>
        <v>12937</v>
      </c>
      <c r="J16" s="10">
        <f t="shared" si="3"/>
        <v>33909894911.083698</v>
      </c>
      <c r="K16" s="11">
        <f t="shared" si="4"/>
        <v>2.6799999999999935E-2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11"/>
      <c r="H17" s="10"/>
      <c r="I17" s="10">
        <f t="shared" si="5"/>
        <v>12937</v>
      </c>
      <c r="J17" s="10">
        <f t="shared" si="3"/>
        <v>33024829480.993088</v>
      </c>
      <c r="K17" s="11">
        <f t="shared" si="4"/>
        <v>2.7700000000000058E-2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11"/>
      <c r="H18" s="10"/>
      <c r="I18" s="10">
        <f t="shared" si="5"/>
        <v>12937</v>
      </c>
      <c r="J18" s="10">
        <f t="shared" si="3"/>
        <v>32134698337.056618</v>
      </c>
      <c r="K18" s="11">
        <f t="shared" si="4"/>
        <v>3.2599999999999962E-2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11"/>
      <c r="H19" s="10"/>
      <c r="I19" s="10">
        <f t="shared" si="5"/>
        <v>12937</v>
      </c>
      <c r="J19" s="10">
        <f t="shared" si="3"/>
        <v>31120180454.248127</v>
      </c>
      <c r="K19" s="11">
        <f t="shared" si="4"/>
        <v>3.7700000000000067E-2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11"/>
      <c r="H20" s="10"/>
      <c r="I20" s="10">
        <f t="shared" si="5"/>
        <v>12937</v>
      </c>
      <c r="J20" s="10">
        <f t="shared" si="3"/>
        <v>29989573532.088394</v>
      </c>
      <c r="K20" s="11">
        <f t="shared" si="4"/>
        <v>3.8400000000000212E-2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11"/>
      <c r="H21" s="10"/>
      <c r="I21" s="10">
        <f t="shared" si="5"/>
        <v>12937</v>
      </c>
      <c r="J21" s="10">
        <f t="shared" si="3"/>
        <v>28880560027.049683</v>
      </c>
      <c r="K21" s="11">
        <f t="shared" si="4"/>
        <v>3.8699999999999957E-2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11"/>
      <c r="H22" s="10"/>
      <c r="I22" s="10">
        <f t="shared" si="5"/>
        <v>12937</v>
      </c>
      <c r="J22" s="10">
        <f t="shared" si="3"/>
        <v>27804524912.919693</v>
      </c>
      <c r="K22" s="11">
        <f t="shared" si="4"/>
        <v>3.8999999999999924E-2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11"/>
      <c r="H23" s="10"/>
      <c r="I23" s="10">
        <f t="shared" si="5"/>
        <v>12937</v>
      </c>
      <c r="J23" s="10">
        <f t="shared" si="3"/>
        <v>26760851696.746578</v>
      </c>
      <c r="K23" s="11">
        <f t="shared" si="4"/>
        <v>3.9299999999999891E-2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11"/>
      <c r="H24" s="10"/>
      <c r="I24" s="10">
        <f t="shared" si="5"/>
        <v>12937</v>
      </c>
      <c r="J24" s="10">
        <f t="shared" si="3"/>
        <v>25748919173.238316</v>
      </c>
      <c r="K24" s="11">
        <f t="shared" si="4"/>
        <v>3.9800000000000058E-2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11"/>
      <c r="H25" s="10"/>
      <c r="I25" s="10">
        <f t="shared" si="5"/>
        <v>12937</v>
      </c>
      <c r="J25" s="10">
        <f t="shared" si="3"/>
        <v>24763338308.557716</v>
      </c>
      <c r="K25" s="11">
        <f t="shared" si="4"/>
        <v>3.9900000000000047E-2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11"/>
      <c r="H26" s="10"/>
      <c r="I26" s="10">
        <f t="shared" si="5"/>
        <v>12937</v>
      </c>
      <c r="J26" s="10">
        <f t="shared" si="3"/>
        <v>23813191949.762203</v>
      </c>
      <c r="K26" s="11">
        <f t="shared" si="4"/>
        <v>3.9700000000000069E-2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11"/>
      <c r="H27" s="10"/>
      <c r="I27" s="10">
        <f t="shared" si="5"/>
        <v>12937</v>
      </c>
      <c r="J27" s="10">
        <f t="shared" si="3"/>
        <v>22903906847.900551</v>
      </c>
      <c r="K27" s="11">
        <f t="shared" si="4"/>
        <v>3.9299999999999891E-2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11"/>
      <c r="H28" s="10"/>
      <c r="I28" s="10">
        <f t="shared" si="5"/>
        <v>12937</v>
      </c>
      <c r="J28" s="10">
        <f t="shared" si="3"/>
        <v>22037820502.165451</v>
      </c>
      <c r="K28" s="11">
        <f t="shared" si="4"/>
        <v>3.8699999999999735E-2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11"/>
      <c r="H29" s="10"/>
      <c r="I29" s="10">
        <f t="shared" si="5"/>
        <v>12937</v>
      </c>
      <c r="J29" s="10">
        <f t="shared" si="3"/>
        <v>21216732937.484795</v>
      </c>
      <c r="K29" s="11">
        <f t="shared" si="4"/>
        <v>3.8300000000000001E-2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11"/>
      <c r="H30" s="10"/>
      <c r="I30" s="10">
        <f t="shared" si="5"/>
        <v>12937</v>
      </c>
      <c r="J30" s="10">
        <f t="shared" si="3"/>
        <v>20434106652.686886</v>
      </c>
      <c r="K30" s="11">
        <f t="shared" si="4"/>
        <v>3.8599999999999968E-2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11"/>
      <c r="H31" s="10"/>
      <c r="I31" s="10">
        <f t="shared" si="5"/>
        <v>12937</v>
      </c>
      <c r="J31" s="10">
        <f t="shared" si="3"/>
        <v>19674664599.159336</v>
      </c>
      <c r="K31" s="11">
        <f t="shared" si="4"/>
        <v>3.9100000000000135E-2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11"/>
      <c r="H32" s="10"/>
      <c r="I32" s="10">
        <f t="shared" si="5"/>
        <v>12937</v>
      </c>
      <c r="J32" s="10">
        <f t="shared" si="3"/>
        <v>18934332209.757805</v>
      </c>
      <c r="K32" s="11">
        <f t="shared" si="4"/>
        <v>3.960000000000008E-2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11"/>
      <c r="H33" s="10"/>
      <c r="I33" s="10">
        <f t="shared" si="5"/>
        <v>12937</v>
      </c>
      <c r="J33" s="10">
        <f t="shared" si="3"/>
        <v>18213093699.266838</v>
      </c>
      <c r="K33" s="11">
        <f t="shared" si="4"/>
        <v>3.9900000000000047E-2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11"/>
      <c r="H34" s="10"/>
      <c r="I34" s="10">
        <f t="shared" si="5"/>
        <v>12937</v>
      </c>
      <c r="J34" s="10">
        <f t="shared" ref="J34:J65" si="6">IF(I34="","",I34*C34)</f>
        <v>17514274160.271984</v>
      </c>
      <c r="K34" s="11">
        <f t="shared" ref="K34:K65" si="7">IFERROR(J34/J35-1,"")</f>
        <v>4.0100000000000025E-2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11"/>
      <c r="H35" s="10"/>
      <c r="I35" s="10">
        <f t="shared" ref="I35:I66" si="8">IF(H35&lt;&gt;"",H35,I34/(1+IF(G34="",0,G34)))</f>
        <v>12937</v>
      </c>
      <c r="J35" s="10">
        <f t="shared" si="6"/>
        <v>16839029093.617905</v>
      </c>
      <c r="K35" s="11">
        <f t="shared" si="7"/>
        <v>4.0199999999999791E-2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11"/>
      <c r="H36" s="10"/>
      <c r="I36" s="10">
        <f t="shared" si="8"/>
        <v>12937</v>
      </c>
      <c r="J36" s="10">
        <f t="shared" si="6"/>
        <v>16188261001.36311</v>
      </c>
      <c r="K36" s="11">
        <f t="shared" si="7"/>
        <v>4.0000000000000258E-2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11"/>
      <c r="H37" s="10"/>
      <c r="I37" s="10">
        <f t="shared" si="8"/>
        <v>12937</v>
      </c>
      <c r="J37" s="10">
        <f t="shared" si="6"/>
        <v>15565635578.233757</v>
      </c>
      <c r="K37" s="11">
        <f t="shared" si="7"/>
        <v>3.9500000000000091E-2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11"/>
      <c r="H38" s="10"/>
      <c r="I38" s="10">
        <f t="shared" si="8"/>
        <v>12937</v>
      </c>
      <c r="J38" s="10">
        <f t="shared" si="6"/>
        <v>14974156400.417273</v>
      </c>
      <c r="K38" s="11">
        <f t="shared" si="7"/>
        <v>3.8599999999999968E-2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11"/>
      <c r="H39" s="10"/>
      <c r="I39" s="10">
        <f t="shared" si="8"/>
        <v>12937</v>
      </c>
      <c r="J39" s="10">
        <f t="shared" si="6"/>
        <v>14417635663.794794</v>
      </c>
      <c r="K39" s="11">
        <f t="shared" si="7"/>
        <v>3.7700000000000067E-2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11"/>
      <c r="H40" s="10"/>
      <c r="I40" s="10">
        <f t="shared" si="8"/>
        <v>12937</v>
      </c>
      <c r="J40" s="10">
        <f t="shared" si="6"/>
        <v>13893837972.241297</v>
      </c>
      <c r="K40" s="11">
        <f t="shared" si="7"/>
        <v>3.6699999999999955E-2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11"/>
      <c r="H41" s="10"/>
      <c r="I41" s="10">
        <f t="shared" si="8"/>
        <v>12937</v>
      </c>
      <c r="J41" s="10">
        <f t="shared" si="6"/>
        <v>13401985118.396158</v>
      </c>
      <c r="K41" s="11">
        <f t="shared" si="7"/>
        <v>4.0699999999999958E-2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11"/>
      <c r="H42" s="10"/>
      <c r="I42" s="10">
        <f t="shared" si="8"/>
        <v>12937</v>
      </c>
      <c r="J42" s="10">
        <f t="shared" si="6"/>
        <v>12877856364.366444</v>
      </c>
      <c r="K42" s="11">
        <f t="shared" si="7"/>
        <v>4.5600000000000085E-2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11"/>
      <c r="H43" s="10"/>
      <c r="I43" s="10">
        <f t="shared" si="8"/>
        <v>12937</v>
      </c>
      <c r="J43" s="10">
        <f t="shared" si="6"/>
        <v>12316236002.645794</v>
      </c>
      <c r="K43" s="11">
        <f t="shared" si="7"/>
        <v>4.5700000000000074E-2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11"/>
      <c r="H44" s="10"/>
      <c r="I44" s="10">
        <f t="shared" si="8"/>
        <v>12937</v>
      </c>
      <c r="J44" s="10">
        <f t="shared" si="6"/>
        <v>11777982215.401926</v>
      </c>
      <c r="K44" s="11">
        <f t="shared" si="7"/>
        <v>4.5500000000000318E-2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11"/>
      <c r="H45" s="10"/>
      <c r="I45" s="10">
        <f t="shared" si="8"/>
        <v>12937</v>
      </c>
      <c r="J45" s="10">
        <f t="shared" si="6"/>
        <v>11265406231.852629</v>
      </c>
      <c r="K45" s="11">
        <f t="shared" si="7"/>
        <v>4.4799999999999951E-2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11"/>
      <c r="H46" s="10"/>
      <c r="I46" s="10">
        <f t="shared" si="8"/>
        <v>12937</v>
      </c>
      <c r="J46" s="10">
        <f t="shared" si="6"/>
        <v>10782356653.764002</v>
      </c>
      <c r="K46" s="11">
        <f t="shared" si="7"/>
        <v>4.3299999999999894E-2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11"/>
      <c r="H47" s="10"/>
      <c r="I47" s="10">
        <f t="shared" si="8"/>
        <v>12937</v>
      </c>
      <c r="J47" s="10">
        <f t="shared" si="6"/>
        <v>10334857331.317936</v>
      </c>
      <c r="K47" s="11">
        <f t="shared" si="7"/>
        <v>4.1400000000000103E-2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11"/>
      <c r="H48" s="10"/>
      <c r="I48" s="10">
        <f t="shared" si="8"/>
        <v>12937</v>
      </c>
      <c r="J48" s="10">
        <f t="shared" si="6"/>
        <v>9924003582.9824619</v>
      </c>
      <c r="K48" s="11">
        <f t="shared" si="7"/>
        <v>3.9700000000000069E-2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11"/>
      <c r="H49" s="10"/>
      <c r="I49" s="10">
        <f t="shared" si="8"/>
        <v>12937</v>
      </c>
      <c r="J49" s="10">
        <f t="shared" si="6"/>
        <v>9545064521.4797173</v>
      </c>
      <c r="K49" s="11">
        <f t="shared" si="7"/>
        <v>3.8899999999999935E-2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11"/>
      <c r="H50" s="10"/>
      <c r="I50" s="10">
        <f t="shared" si="8"/>
        <v>12937</v>
      </c>
      <c r="J50" s="10">
        <f t="shared" si="6"/>
        <v>9187664377.2063885</v>
      </c>
      <c r="K50" s="11">
        <f t="shared" si="7"/>
        <v>3.8699999999999957E-2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11"/>
      <c r="H51" s="10"/>
      <c r="I51" s="10">
        <f t="shared" si="8"/>
        <v>12937</v>
      </c>
      <c r="J51" s="10">
        <f t="shared" si="6"/>
        <v>8845349357.0871181</v>
      </c>
      <c r="K51" s="11">
        <f t="shared" si="7"/>
        <v>3.8700000000000179E-2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11"/>
      <c r="H52" s="10"/>
      <c r="I52" s="10">
        <f t="shared" si="8"/>
        <v>12937</v>
      </c>
      <c r="J52" s="10">
        <f t="shared" si="6"/>
        <v>8515788348.0187902</v>
      </c>
      <c r="K52" s="11">
        <f t="shared" si="7"/>
        <v>3.8699999999999957E-2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11"/>
      <c r="H53" s="10"/>
      <c r="I53" s="10">
        <f t="shared" si="8"/>
        <v>12937</v>
      </c>
      <c r="J53" s="10">
        <f t="shared" si="6"/>
        <v>8198506159.6406956</v>
      </c>
      <c r="K53" s="11">
        <f t="shared" si="7"/>
        <v>3.8599999999999968E-2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11"/>
      <c r="H54" s="10"/>
      <c r="I54" s="10">
        <f t="shared" si="8"/>
        <v>12937</v>
      </c>
      <c r="J54" s="10">
        <f t="shared" si="6"/>
        <v>7893805275.9875755</v>
      </c>
      <c r="K54" s="11">
        <f t="shared" si="7"/>
        <v>3.8499999999999757E-2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11"/>
      <c r="H55" s="10"/>
      <c r="I55" s="10">
        <f t="shared" si="8"/>
        <v>12937</v>
      </c>
      <c r="J55" s="10">
        <f t="shared" si="6"/>
        <v>7601160593.1512537</v>
      </c>
      <c r="K55" s="11">
        <f t="shared" si="7"/>
        <v>3.7800000000000056E-2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11"/>
      <c r="H56" s="10"/>
      <c r="I56" s="10">
        <f t="shared" si="8"/>
        <v>12937</v>
      </c>
      <c r="J56" s="10">
        <f t="shared" si="6"/>
        <v>7324301978.3689079</v>
      </c>
      <c r="K56" s="11">
        <f t="shared" si="7"/>
        <v>3.6499999999999977E-2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11"/>
      <c r="H57" s="10"/>
      <c r="I57" s="10">
        <f t="shared" si="8"/>
        <v>12937</v>
      </c>
      <c r="J57" s="10">
        <f t="shared" si="6"/>
        <v>7066379139.7673979</v>
      </c>
      <c r="K57" s="11">
        <f t="shared" si="7"/>
        <v>3.6000000000000032E-2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11"/>
      <c r="H58" s="10"/>
      <c r="I58" s="10">
        <f t="shared" si="8"/>
        <v>12937</v>
      </c>
      <c r="J58" s="10">
        <f t="shared" si="6"/>
        <v>6820829285.4897661</v>
      </c>
      <c r="K58" s="11">
        <f t="shared" si="7"/>
        <v>3.5000000000000142E-2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11"/>
      <c r="H59" s="10"/>
      <c r="I59" s="10">
        <f t="shared" si="8"/>
        <v>12937</v>
      </c>
      <c r="J59" s="10">
        <f t="shared" si="6"/>
        <v>6590173222.695426</v>
      </c>
      <c r="K59" s="11">
        <f t="shared" si="7"/>
        <v>3.400000000000003E-2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11"/>
      <c r="H60" s="10"/>
      <c r="I60" s="10">
        <f t="shared" si="8"/>
        <v>12937</v>
      </c>
      <c r="J60" s="10">
        <f t="shared" si="6"/>
        <v>6373475070.3050537</v>
      </c>
      <c r="K60" s="11">
        <f t="shared" si="7"/>
        <v>3.2999999999999918E-2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11"/>
      <c r="H61" s="10"/>
      <c r="I61" s="10">
        <f t="shared" si="8"/>
        <v>12937</v>
      </c>
      <c r="J61" s="10">
        <f t="shared" si="6"/>
        <v>6169869380.7406139</v>
      </c>
      <c r="K61" s="11">
        <f t="shared" si="7"/>
        <v>3.2000000000000028E-2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11"/>
      <c r="H62" s="10"/>
      <c r="I62" s="10">
        <f t="shared" si="8"/>
        <v>12937</v>
      </c>
      <c r="J62" s="10">
        <f t="shared" si="6"/>
        <v>5978555601.4928427</v>
      </c>
      <c r="K62" s="11">
        <f t="shared" si="7"/>
        <v>3.0999999999999917E-2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11"/>
      <c r="H63" s="10"/>
      <c r="I63" s="10">
        <f t="shared" si="8"/>
        <v>12937</v>
      </c>
      <c r="J63" s="10">
        <f t="shared" si="6"/>
        <v>5798793017.9368029</v>
      </c>
      <c r="K63" s="11">
        <f t="shared" si="7"/>
        <v>3.0000000000000027E-2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11"/>
      <c r="H64" s="10"/>
      <c r="I64" s="10">
        <f t="shared" si="8"/>
        <v>12937</v>
      </c>
      <c r="J64" s="10">
        <f t="shared" si="6"/>
        <v>5629896133.9192257</v>
      </c>
      <c r="K64" s="11">
        <f t="shared" si="7"/>
        <v>2.8000000000000025E-2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11"/>
      <c r="H65" s="10"/>
      <c r="I65" s="10">
        <f t="shared" si="8"/>
        <v>12937</v>
      </c>
      <c r="J65" s="10">
        <f t="shared" si="6"/>
        <v>5476552659.4544992</v>
      </c>
      <c r="K65" s="11">
        <f t="shared" si="7"/>
        <v>2.6999999999999913E-2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6">
        <f>SUM(F2)</f>
        <v>3626297</v>
      </c>
      <c r="G66" s="11"/>
      <c r="H66" s="10"/>
      <c r="I66" s="10">
        <f t="shared" si="8"/>
        <v>12937</v>
      </c>
      <c r="J66" s="10">
        <f t="shared" ref="J66:J97" si="9">IF(I66="","",I66*C66)</f>
        <v>5332573183.5</v>
      </c>
      <c r="K66" s="11">
        <f t="shared" ref="K66:K97" si="10">IFERROR(J66/J67-1,"")</f>
        <v>2.6000000000000023E-2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11"/>
      <c r="H67" s="10"/>
      <c r="I67" s="10">
        <f t="shared" ref="I67:I98" si="11">IF(H67&lt;&gt;"",H67,I66/(1+IF(G66="",0,G66)))</f>
        <v>12937</v>
      </c>
      <c r="J67" s="10">
        <f t="shared" si="9"/>
        <v>5197439750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5">
        <v>233966</v>
      </c>
      <c r="G2" s="11"/>
      <c r="H2" s="10"/>
      <c r="I2" s="10">
        <f>IF(H2&lt;&gt;"",H2,6151)</f>
        <v>6151</v>
      </c>
      <c r="J2" s="10">
        <f t="shared" ref="J2:J33" si="3">IF(I2="","",I2*C2)</f>
        <v>1437600045.7903204</v>
      </c>
      <c r="K2" s="11">
        <f t="shared" ref="K2:K33" si="4">IFERROR(J2/J3-1,"")</f>
        <v>1.9500000000000073E-2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11"/>
      <c r="H3" s="10"/>
      <c r="I3" s="10">
        <f t="shared" ref="I3:I34" si="5">IF(H3&lt;&gt;"",H3,I2/(1+IF(G2="",0,G2)))</f>
        <v>6151</v>
      </c>
      <c r="J3" s="10">
        <f t="shared" si="3"/>
        <v>1410103036.5770674</v>
      </c>
      <c r="K3" s="11">
        <f t="shared" si="4"/>
        <v>2.1200000000000108E-2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11"/>
      <c r="H4" s="10"/>
      <c r="I4" s="10">
        <f t="shared" si="5"/>
        <v>6151</v>
      </c>
      <c r="J4" s="10">
        <f t="shared" si="3"/>
        <v>1380829452.1906259</v>
      </c>
      <c r="K4" s="11">
        <f t="shared" si="4"/>
        <v>2.410000000000001E-2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11"/>
      <c r="H5" s="10"/>
      <c r="I5" s="10">
        <f t="shared" si="5"/>
        <v>6151</v>
      </c>
      <c r="J5" s="10">
        <f t="shared" si="3"/>
        <v>1348334588.6052396</v>
      </c>
      <c r="K5" s="11">
        <f t="shared" si="4"/>
        <v>1.6599999999999948E-2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11"/>
      <c r="H6" s="10"/>
      <c r="I6" s="10">
        <f t="shared" si="5"/>
        <v>6151</v>
      </c>
      <c r="J6" s="10">
        <f t="shared" si="3"/>
        <v>1326317714.5438125</v>
      </c>
      <c r="K6" s="11">
        <f t="shared" si="4"/>
        <v>5.5000000000000604E-3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11"/>
      <c r="H7" s="10"/>
      <c r="I7" s="10">
        <f t="shared" si="5"/>
        <v>6151</v>
      </c>
      <c r="J7" s="10">
        <f t="shared" si="3"/>
        <v>1319062868.7656016</v>
      </c>
      <c r="K7" s="11">
        <f t="shared" si="4"/>
        <v>2.6999999999999247E-3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11"/>
      <c r="H8" s="10"/>
      <c r="I8" s="10">
        <f t="shared" si="5"/>
        <v>6151</v>
      </c>
      <c r="J8" s="10">
        <f t="shared" si="3"/>
        <v>1315510989.0950451</v>
      </c>
      <c r="K8" s="11">
        <f t="shared" si="4"/>
        <v>6.9999999999992291E-4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11"/>
      <c r="H9" s="10"/>
      <c r="I9" s="10">
        <f t="shared" si="5"/>
        <v>6151</v>
      </c>
      <c r="J9" s="10">
        <f t="shared" si="3"/>
        <v>1314590775.5521586</v>
      </c>
      <c r="K9" s="11">
        <f t="shared" si="4"/>
        <v>-1.1000000000001009E-3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11"/>
      <c r="H10" s="10"/>
      <c r="I10" s="10">
        <f t="shared" si="5"/>
        <v>6151</v>
      </c>
      <c r="J10" s="10">
        <f t="shared" si="3"/>
        <v>1316038417.8117516</v>
      </c>
      <c r="K10" s="11">
        <f t="shared" si="4"/>
        <v>-1.3999999999999568E-3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11"/>
      <c r="H11" s="10"/>
      <c r="I11" s="10">
        <f t="shared" si="5"/>
        <v>6151</v>
      </c>
      <c r="J11" s="10">
        <f t="shared" si="3"/>
        <v>1317883454.6482592</v>
      </c>
      <c r="K11" s="11">
        <f t="shared" si="4"/>
        <v>-1.4999999999999458E-3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11"/>
      <c r="H12" s="10"/>
      <c r="I12" s="10">
        <f t="shared" si="5"/>
        <v>6151</v>
      </c>
      <c r="J12" s="10">
        <f t="shared" si="3"/>
        <v>1319863249.522543</v>
      </c>
      <c r="K12" s="11">
        <f t="shared" si="4"/>
        <v>-1.0999999999998789E-3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11"/>
      <c r="H13" s="10"/>
      <c r="I13" s="10">
        <f t="shared" si="5"/>
        <v>6151</v>
      </c>
      <c r="J13" s="10">
        <f t="shared" si="3"/>
        <v>1321316697.8902221</v>
      </c>
      <c r="K13" s="11">
        <f t="shared" si="4"/>
        <v>9.9999999999988987E-5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11"/>
      <c r="H14" s="10"/>
      <c r="I14" s="10">
        <f t="shared" si="5"/>
        <v>6151</v>
      </c>
      <c r="J14" s="10">
        <f t="shared" si="3"/>
        <v>1321184579.4322789</v>
      </c>
      <c r="K14" s="11">
        <f t="shared" si="4"/>
        <v>-2.3000000000000798E-3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11"/>
      <c r="H15" s="10"/>
      <c r="I15" s="10">
        <f t="shared" si="5"/>
        <v>6151</v>
      </c>
      <c r="J15" s="10">
        <f t="shared" si="3"/>
        <v>1324230309.1433086</v>
      </c>
      <c r="K15" s="11">
        <f t="shared" si="4"/>
        <v>-4.7000000000000375E-3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11"/>
      <c r="H16" s="10"/>
      <c r="I16" s="10">
        <f t="shared" si="5"/>
        <v>6151</v>
      </c>
      <c r="J16" s="10">
        <f t="shared" si="3"/>
        <v>1330483581.9786081</v>
      </c>
      <c r="K16" s="11">
        <f t="shared" si="4"/>
        <v>-3.7000000000000366E-3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11"/>
      <c r="H17" s="10"/>
      <c r="I17" s="10">
        <f t="shared" si="5"/>
        <v>6151</v>
      </c>
      <c r="J17" s="10">
        <f t="shared" si="3"/>
        <v>1335424653.1954312</v>
      </c>
      <c r="K17" s="11">
        <f t="shared" si="4"/>
        <v>-1.8999999999999018E-3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11"/>
      <c r="H18" s="10"/>
      <c r="I18" s="10">
        <f t="shared" si="5"/>
        <v>6151</v>
      </c>
      <c r="J18" s="10">
        <f t="shared" si="3"/>
        <v>1337966790.0966146</v>
      </c>
      <c r="K18" s="11">
        <f t="shared" si="4"/>
        <v>-1.1000000000002119E-3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11"/>
      <c r="H19" s="10"/>
      <c r="I19" s="10">
        <f t="shared" si="5"/>
        <v>6151</v>
      </c>
      <c r="J19" s="10">
        <f t="shared" si="3"/>
        <v>1339440174.288332</v>
      </c>
      <c r="K19" s="11">
        <f t="shared" si="4"/>
        <v>9.9999999999988987E-5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11"/>
      <c r="H20" s="10"/>
      <c r="I20" s="10">
        <f t="shared" si="5"/>
        <v>6151</v>
      </c>
      <c r="J20" s="10">
        <f t="shared" si="3"/>
        <v>1339306243.6639655</v>
      </c>
      <c r="K20" s="11">
        <f t="shared" si="4"/>
        <v>1.4000000000000679E-3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11"/>
      <c r="H21" s="10"/>
      <c r="I21" s="10">
        <f t="shared" si="5"/>
        <v>6151</v>
      </c>
      <c r="J21" s="10">
        <f t="shared" si="3"/>
        <v>1337433836.293155</v>
      </c>
      <c r="K21" s="11">
        <f t="shared" si="4"/>
        <v>1.8000000000000238E-3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11"/>
      <c r="H22" s="10"/>
      <c r="I22" s="10">
        <f t="shared" si="5"/>
        <v>6151</v>
      </c>
      <c r="J22" s="10">
        <f t="shared" si="3"/>
        <v>1335030780.8875573</v>
      </c>
      <c r="K22" s="11">
        <f t="shared" si="4"/>
        <v>2.7999999999999137E-3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11"/>
      <c r="H23" s="10"/>
      <c r="I23" s="10">
        <f t="shared" si="5"/>
        <v>6151</v>
      </c>
      <c r="J23" s="10">
        <f t="shared" si="3"/>
        <v>1331303132.1176281</v>
      </c>
      <c r="K23" s="11">
        <f t="shared" si="4"/>
        <v>3.5000000000000586E-3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11"/>
      <c r="H24" s="10"/>
      <c r="I24" s="10">
        <f t="shared" si="5"/>
        <v>6151</v>
      </c>
      <c r="J24" s="10">
        <f t="shared" si="3"/>
        <v>1326659822.738045</v>
      </c>
      <c r="K24" s="11">
        <f t="shared" si="4"/>
        <v>8.0999999999999961E-3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11"/>
      <c r="H25" s="10"/>
      <c r="I25" s="10">
        <f t="shared" si="5"/>
        <v>6151</v>
      </c>
      <c r="J25" s="10">
        <f t="shared" si="3"/>
        <v>1316000220.9483633</v>
      </c>
      <c r="K25" s="11">
        <f t="shared" si="4"/>
        <v>1.7199999999999882E-2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11"/>
      <c r="H26" s="10"/>
      <c r="I26" s="10">
        <f t="shared" si="5"/>
        <v>6151</v>
      </c>
      <c r="J26" s="10">
        <f t="shared" si="3"/>
        <v>1293747759.4852176</v>
      </c>
      <c r="K26" s="11">
        <f t="shared" si="4"/>
        <v>2.3400000000000087E-2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11"/>
      <c r="H27" s="10"/>
      <c r="I27" s="10">
        <f t="shared" si="5"/>
        <v>6151</v>
      </c>
      <c r="J27" s="10">
        <f t="shared" si="3"/>
        <v>1264166268.7954049</v>
      </c>
      <c r="K27" s="11">
        <f t="shared" si="4"/>
        <v>2.4399999999999977E-2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11"/>
      <c r="H28" s="10"/>
      <c r="I28" s="10">
        <f t="shared" si="5"/>
        <v>6151</v>
      </c>
      <c r="J28" s="10">
        <f t="shared" si="3"/>
        <v>1234055319.0115237</v>
      </c>
      <c r="K28" s="11">
        <f t="shared" si="4"/>
        <v>2.4299999999999988E-2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11"/>
      <c r="H29" s="10"/>
      <c r="I29" s="10">
        <f t="shared" si="5"/>
        <v>6151</v>
      </c>
      <c r="J29" s="10">
        <f t="shared" si="3"/>
        <v>1204779184.8203883</v>
      </c>
      <c r="K29" s="11">
        <f t="shared" si="4"/>
        <v>2.4199999999999999E-2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11"/>
      <c r="H30" s="10"/>
      <c r="I30" s="10">
        <f t="shared" si="5"/>
        <v>6151</v>
      </c>
      <c r="J30" s="10">
        <f t="shared" si="3"/>
        <v>1176312424.1558175</v>
      </c>
      <c r="K30" s="11">
        <f t="shared" si="4"/>
        <v>2.3099999999999898E-2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11"/>
      <c r="H31" s="10"/>
      <c r="I31" s="10">
        <f t="shared" si="5"/>
        <v>6151</v>
      </c>
      <c r="J31" s="10">
        <f t="shared" si="3"/>
        <v>1149753126.923876</v>
      </c>
      <c r="K31" s="11">
        <f t="shared" si="4"/>
        <v>2.2100000000000009E-2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11"/>
      <c r="H32" s="10"/>
      <c r="I32" s="10">
        <f t="shared" si="5"/>
        <v>6151</v>
      </c>
      <c r="J32" s="10">
        <f t="shared" si="3"/>
        <v>1124892991.8049858</v>
      </c>
      <c r="K32" s="11">
        <f t="shared" si="4"/>
        <v>2.0599999999999952E-2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11"/>
      <c r="H33" s="10"/>
      <c r="I33" s="10">
        <f t="shared" si="5"/>
        <v>6151</v>
      </c>
      <c r="J33" s="10">
        <f t="shared" si="3"/>
        <v>1102187920.6398058</v>
      </c>
      <c r="K33" s="11">
        <f t="shared" si="4"/>
        <v>1.9400000000000084E-2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11"/>
      <c r="H34" s="10"/>
      <c r="I34" s="10">
        <f t="shared" si="5"/>
        <v>6151</v>
      </c>
      <c r="J34" s="10">
        <f t="shared" ref="J34:J65" si="6">IF(I34="","",I34*C34)</f>
        <v>1081212400.0782869</v>
      </c>
      <c r="K34" s="11">
        <f t="shared" ref="K34:K65" si="7">IFERROR(J34/J35-1,"")</f>
        <v>2.1700000000000053E-2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11"/>
      <c r="H35" s="10"/>
      <c r="I35" s="10">
        <f t="shared" ref="I35:I66" si="8">IF(H35&lt;&gt;"",H35,I34/(1+IF(G34="",0,G34)))</f>
        <v>6151</v>
      </c>
      <c r="J35" s="10">
        <f t="shared" si="6"/>
        <v>1058248409.5901799</v>
      </c>
      <c r="K35" s="11">
        <f t="shared" si="7"/>
        <v>2.53000000000001E-2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11"/>
      <c r="H36" s="10"/>
      <c r="I36" s="10">
        <f t="shared" si="8"/>
        <v>6151</v>
      </c>
      <c r="J36" s="10">
        <f t="shared" si="6"/>
        <v>1032135384.3657269</v>
      </c>
      <c r="K36" s="11">
        <f t="shared" si="7"/>
        <v>2.4499999999999966E-2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11"/>
      <c r="H37" s="10"/>
      <c r="I37" s="10">
        <f t="shared" si="8"/>
        <v>6151</v>
      </c>
      <c r="J37" s="10">
        <f t="shared" si="6"/>
        <v>1007452790.9865563</v>
      </c>
      <c r="K37" s="11">
        <f t="shared" si="7"/>
        <v>2.3900000000000032E-2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11"/>
      <c r="H38" s="10"/>
      <c r="I38" s="10">
        <f t="shared" si="8"/>
        <v>6151</v>
      </c>
      <c r="J38" s="10">
        <f t="shared" si="6"/>
        <v>983936703.766536</v>
      </c>
      <c r="K38" s="11">
        <f t="shared" si="7"/>
        <v>2.2999999999999909E-2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11"/>
      <c r="H39" s="10"/>
      <c r="I39" s="10">
        <f t="shared" si="8"/>
        <v>6151</v>
      </c>
      <c r="J39" s="10">
        <f t="shared" si="6"/>
        <v>961814959.69358361</v>
      </c>
      <c r="K39" s="11">
        <f t="shared" si="7"/>
        <v>1.8699999999999939E-2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11"/>
      <c r="H40" s="10"/>
      <c r="I40" s="10">
        <f t="shared" si="8"/>
        <v>6151</v>
      </c>
      <c r="J40" s="10">
        <f t="shared" si="6"/>
        <v>944159182.97200716</v>
      </c>
      <c r="K40" s="11">
        <f t="shared" si="7"/>
        <v>1.3900000000000023E-2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11"/>
      <c r="H41" s="10"/>
      <c r="I41" s="10">
        <f t="shared" si="8"/>
        <v>6151</v>
      </c>
      <c r="J41" s="10">
        <f t="shared" si="6"/>
        <v>931215290.4349612</v>
      </c>
      <c r="K41" s="11">
        <f t="shared" si="7"/>
        <v>1.0999999999999899E-2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11"/>
      <c r="H42" s="10"/>
      <c r="I42" s="10">
        <f t="shared" si="8"/>
        <v>6151</v>
      </c>
      <c r="J42" s="10">
        <f t="shared" si="6"/>
        <v>921083373.32834935</v>
      </c>
      <c r="K42" s="11">
        <f t="shared" si="7"/>
        <v>9.200000000000097E-3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11"/>
      <c r="H43" s="10"/>
      <c r="I43" s="10">
        <f t="shared" si="8"/>
        <v>6151</v>
      </c>
      <c r="J43" s="10">
        <f t="shared" si="6"/>
        <v>912686656.09230018</v>
      </c>
      <c r="K43" s="11">
        <f t="shared" si="7"/>
        <v>8.2999999999999741E-3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11"/>
      <c r="H44" s="10"/>
      <c r="I44" s="10">
        <f t="shared" si="8"/>
        <v>6151</v>
      </c>
      <c r="J44" s="10">
        <f t="shared" si="6"/>
        <v>905173714.2639097</v>
      </c>
      <c r="K44" s="11">
        <f t="shared" si="7"/>
        <v>7.9000000000002402E-3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11"/>
      <c r="H45" s="10"/>
      <c r="I45" s="10">
        <f t="shared" si="8"/>
        <v>6151</v>
      </c>
      <c r="J45" s="10">
        <f t="shared" si="6"/>
        <v>898078891.02481353</v>
      </c>
      <c r="K45" s="11">
        <f t="shared" si="7"/>
        <v>7.4000000000000732E-3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11"/>
      <c r="H46" s="10"/>
      <c r="I46" s="10">
        <f t="shared" si="8"/>
        <v>6151</v>
      </c>
      <c r="J46" s="10">
        <f t="shared" si="6"/>
        <v>891481924.78143084</v>
      </c>
      <c r="K46" s="11">
        <f t="shared" si="7"/>
        <v>7.7000000000002622E-3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11"/>
      <c r="H47" s="10"/>
      <c r="I47" s="10">
        <f t="shared" si="8"/>
        <v>6151</v>
      </c>
      <c r="J47" s="10">
        <f t="shared" si="6"/>
        <v>884669966.04290032</v>
      </c>
      <c r="K47" s="11">
        <f t="shared" si="7"/>
        <v>1.9400000000000084E-2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11"/>
      <c r="H48" s="10"/>
      <c r="I48" s="10">
        <f t="shared" si="8"/>
        <v>6151</v>
      </c>
      <c r="J48" s="10">
        <f t="shared" si="6"/>
        <v>867833986.70090282</v>
      </c>
      <c r="K48" s="11">
        <f t="shared" si="7"/>
        <v>3.919999999999968E-2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11"/>
      <c r="H49" s="10"/>
      <c r="I49" s="10">
        <f t="shared" si="8"/>
        <v>6151</v>
      </c>
      <c r="J49" s="10">
        <f t="shared" si="6"/>
        <v>835098139.62750483</v>
      </c>
      <c r="K49" s="11">
        <f t="shared" si="7"/>
        <v>3.0999999999999917E-2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11"/>
      <c r="H50" s="10"/>
      <c r="I50" s="10">
        <f t="shared" si="8"/>
        <v>6151</v>
      </c>
      <c r="J50" s="10">
        <f t="shared" si="6"/>
        <v>809988496.24394274</v>
      </c>
      <c r="K50" s="11">
        <f t="shared" si="7"/>
        <v>1.5099999999999891E-2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11"/>
      <c r="H51" s="10"/>
      <c r="I51" s="10">
        <f t="shared" si="8"/>
        <v>6151</v>
      </c>
      <c r="J51" s="10">
        <f t="shared" si="6"/>
        <v>797939608.16071606</v>
      </c>
      <c r="K51" s="11">
        <f t="shared" si="7"/>
        <v>3.5500000000000087E-2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11"/>
      <c r="H52" s="10"/>
      <c r="I52" s="10">
        <f t="shared" si="8"/>
        <v>6151</v>
      </c>
      <c r="J52" s="10">
        <f t="shared" si="6"/>
        <v>770583880.40629256</v>
      </c>
      <c r="K52" s="11">
        <f t="shared" si="7"/>
        <v>5.5900000000000061E-2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11"/>
      <c r="H53" s="10"/>
      <c r="I53" s="10">
        <f t="shared" si="8"/>
        <v>6151</v>
      </c>
      <c r="J53" s="10">
        <f t="shared" si="6"/>
        <v>729788692.49577856</v>
      </c>
      <c r="K53" s="11">
        <f t="shared" si="7"/>
        <v>5.380000000000007E-2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11"/>
      <c r="H54" s="10"/>
      <c r="I54" s="10">
        <f t="shared" si="8"/>
        <v>6151</v>
      </c>
      <c r="J54" s="10">
        <f t="shared" si="6"/>
        <v>692530548.96164215</v>
      </c>
      <c r="K54" s="11">
        <f t="shared" si="7"/>
        <v>4.8399999999999999E-2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11"/>
      <c r="H55" s="10"/>
      <c r="I55" s="10">
        <f t="shared" si="8"/>
        <v>6151</v>
      </c>
      <c r="J55" s="10">
        <f t="shared" si="6"/>
        <v>660559470.58531296</v>
      </c>
      <c r="K55" s="11">
        <f t="shared" si="7"/>
        <v>4.1999999999999815E-2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11"/>
      <c r="H56" s="10"/>
      <c r="I56" s="10">
        <f t="shared" si="8"/>
        <v>6151</v>
      </c>
      <c r="J56" s="10">
        <f t="shared" si="6"/>
        <v>633934232.80740213</v>
      </c>
      <c r="K56" s="11">
        <f t="shared" si="7"/>
        <v>3.5600000000000076E-2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11"/>
      <c r="H57" s="10"/>
      <c r="I57" s="10">
        <f t="shared" si="8"/>
        <v>6151</v>
      </c>
      <c r="J57" s="10">
        <f t="shared" si="6"/>
        <v>612141978.37717462</v>
      </c>
      <c r="K57" s="11">
        <f t="shared" si="7"/>
        <v>3.4399999999999986E-2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11"/>
      <c r="H58" s="10"/>
      <c r="I58" s="10">
        <f t="shared" si="8"/>
        <v>6151</v>
      </c>
      <c r="J58" s="10">
        <f t="shared" si="6"/>
        <v>591784588.53168464</v>
      </c>
      <c r="K58" s="11">
        <f t="shared" si="7"/>
        <v>3.6499999999999977E-2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11"/>
      <c r="H59" s="10"/>
      <c r="I59" s="10">
        <f t="shared" si="8"/>
        <v>6151</v>
      </c>
      <c r="J59" s="10">
        <f t="shared" si="6"/>
        <v>570945092.64996111</v>
      </c>
      <c r="K59" s="11">
        <f t="shared" si="7"/>
        <v>3.3400000000000318E-2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11"/>
      <c r="H60" s="10"/>
      <c r="I60" s="10">
        <f t="shared" si="8"/>
        <v>6151</v>
      </c>
      <c r="J60" s="10">
        <f t="shared" si="6"/>
        <v>552491864.37967968</v>
      </c>
      <c r="K60" s="11">
        <f t="shared" si="7"/>
        <v>3.4100000000000019E-2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11"/>
      <c r="H61" s="10"/>
      <c r="I61" s="10">
        <f t="shared" si="8"/>
        <v>6151</v>
      </c>
      <c r="J61" s="10">
        <f t="shared" si="6"/>
        <v>534273149.96584439</v>
      </c>
      <c r="K61" s="11">
        <f t="shared" si="7"/>
        <v>3.499999999999992E-2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11"/>
      <c r="H62" s="10"/>
      <c r="I62" s="10">
        <f t="shared" si="8"/>
        <v>6151</v>
      </c>
      <c r="J62" s="10">
        <f t="shared" si="6"/>
        <v>516205941.99598497</v>
      </c>
      <c r="K62" s="11">
        <f t="shared" si="7"/>
        <v>2.7799999999999825E-2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11"/>
      <c r="H63" s="10"/>
      <c r="I63" s="10">
        <f t="shared" si="8"/>
        <v>6151</v>
      </c>
      <c r="J63" s="10">
        <f t="shared" si="6"/>
        <v>502243570.72969937</v>
      </c>
      <c r="K63" s="11">
        <f t="shared" si="7"/>
        <v>2.3000000000000131E-2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11"/>
      <c r="H64" s="10"/>
      <c r="I64" s="10">
        <f t="shared" si="8"/>
        <v>6151</v>
      </c>
      <c r="J64" s="10">
        <f t="shared" si="6"/>
        <v>490951682.04271686</v>
      </c>
      <c r="K64" s="11">
        <f t="shared" si="7"/>
        <v>2.4399999999999977E-2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11"/>
      <c r="H65" s="10"/>
      <c r="I65" s="10">
        <f t="shared" si="8"/>
        <v>6151</v>
      </c>
      <c r="J65" s="10">
        <f t="shared" si="6"/>
        <v>479257791.91987205</v>
      </c>
      <c r="K65" s="11">
        <f t="shared" si="7"/>
        <v>2.7600000000000069E-2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6">
        <f>SUM(F2)</f>
        <v>233966</v>
      </c>
      <c r="G66" s="11"/>
      <c r="H66" s="10"/>
      <c r="I66" s="10">
        <f t="shared" si="8"/>
        <v>6151</v>
      </c>
      <c r="J66" s="10">
        <f t="shared" ref="J66:J97" si="9">IF(I66="","",I66*C66)</f>
        <v>466385550.72000003</v>
      </c>
      <c r="K66" s="11">
        <f t="shared" ref="K66:K97" si="10">IFERROR(J66/J67-1,"")</f>
        <v>3.0200000000000005E-2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11"/>
      <c r="H67" s="10"/>
      <c r="I67" s="10">
        <f t="shared" ref="I67:I98" si="11">IF(H67&lt;&gt;"",H67,I66/(1+IF(G66="",0,G66)))</f>
        <v>6151</v>
      </c>
      <c r="J67" s="10">
        <f t="shared" si="9"/>
        <v>452713600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5">
        <v>324028</v>
      </c>
      <c r="G2" s="11"/>
      <c r="H2" s="10"/>
      <c r="I2" s="10">
        <f>IF(H2&lt;&gt;"",H2,2603)</f>
        <v>2603</v>
      </c>
      <c r="J2" s="10">
        <f t="shared" ref="J2:J33" si="3">IF(I2="","",I2*C2)</f>
        <v>843517156.61210752</v>
      </c>
      <c r="K2" s="11">
        <f t="shared" ref="K2:K33" si="4">IFERROR(J2/J3-1,"")</f>
        <v>2.2699999999999942E-2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11"/>
      <c r="H3" s="10"/>
      <c r="I3" s="10">
        <f t="shared" ref="I3:I34" si="5">IF(H3&lt;&gt;"",H3,I2/(1+IF(G2="",0,G2)))</f>
        <v>2603</v>
      </c>
      <c r="J3" s="10">
        <f t="shared" si="3"/>
        <v>824794325.42496097</v>
      </c>
      <c r="K3" s="11">
        <f t="shared" si="4"/>
        <v>3.3899999999999819E-2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11"/>
      <c r="H4" s="10"/>
      <c r="I4" s="10">
        <f t="shared" si="5"/>
        <v>2603</v>
      </c>
      <c r="J4" s="10">
        <f t="shared" si="3"/>
        <v>797750580.73794472</v>
      </c>
      <c r="K4" s="11">
        <f t="shared" si="4"/>
        <v>3.5900000000000043E-2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11"/>
      <c r="H5" s="10"/>
      <c r="I5" s="10">
        <f t="shared" si="5"/>
        <v>2603</v>
      </c>
      <c r="J5" s="10">
        <f t="shared" si="3"/>
        <v>770103852.43550992</v>
      </c>
      <c r="K5" s="11">
        <f t="shared" si="4"/>
        <v>3.5700000000000065E-2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11"/>
      <c r="H6" s="10"/>
      <c r="I6" s="10">
        <f t="shared" si="5"/>
        <v>2603</v>
      </c>
      <c r="J6" s="10">
        <f t="shared" si="3"/>
        <v>743558803.16260481</v>
      </c>
      <c r="K6" s="11">
        <f t="shared" si="4"/>
        <v>3.5800000000000054E-2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11"/>
      <c r="H7" s="10"/>
      <c r="I7" s="10">
        <f t="shared" si="5"/>
        <v>2603</v>
      </c>
      <c r="J7" s="10">
        <f t="shared" si="3"/>
        <v>717859435.37613904</v>
      </c>
      <c r="K7" s="11">
        <f t="shared" si="4"/>
        <v>3.6000000000000032E-2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11"/>
      <c r="H8" s="10"/>
      <c r="I8" s="10">
        <f t="shared" si="5"/>
        <v>2603</v>
      </c>
      <c r="J8" s="10">
        <f t="shared" si="3"/>
        <v>692914512.91133106</v>
      </c>
      <c r="K8" s="11">
        <f t="shared" si="4"/>
        <v>4.6799999999999953E-2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11"/>
      <c r="H9" s="10"/>
      <c r="I9" s="10">
        <f t="shared" si="5"/>
        <v>2603</v>
      </c>
      <c r="J9" s="10">
        <f t="shared" si="3"/>
        <v>661935912.21946037</v>
      </c>
      <c r="K9" s="11">
        <f t="shared" si="4"/>
        <v>5.0699999999999967E-2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11"/>
      <c r="H10" s="10"/>
      <c r="I10" s="10">
        <f t="shared" si="5"/>
        <v>2603</v>
      </c>
      <c r="J10" s="10">
        <f t="shared" si="3"/>
        <v>629995157.72290897</v>
      </c>
      <c r="K10" s="11">
        <f t="shared" si="4"/>
        <v>4.1300000000000114E-2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11"/>
      <c r="H11" s="10"/>
      <c r="I11" s="10">
        <f t="shared" si="5"/>
        <v>2603</v>
      </c>
      <c r="J11" s="10">
        <f t="shared" si="3"/>
        <v>605008314.34064043</v>
      </c>
      <c r="K11" s="11">
        <f t="shared" si="4"/>
        <v>3.6999999999999922E-2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11"/>
      <c r="H12" s="10"/>
      <c r="I12" s="10">
        <f t="shared" si="5"/>
        <v>2603</v>
      </c>
      <c r="J12" s="10">
        <f t="shared" si="3"/>
        <v>583421711.03244019</v>
      </c>
      <c r="K12" s="11">
        <f t="shared" si="4"/>
        <v>3.6000000000000032E-2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11"/>
      <c r="H13" s="10"/>
      <c r="I13" s="10">
        <f t="shared" si="5"/>
        <v>2603</v>
      </c>
      <c r="J13" s="10">
        <f t="shared" si="3"/>
        <v>563148369.72243261</v>
      </c>
      <c r="K13" s="11">
        <f t="shared" si="4"/>
        <v>3.7099999999999911E-2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11"/>
      <c r="H14" s="10"/>
      <c r="I14" s="10">
        <f t="shared" si="5"/>
        <v>2603</v>
      </c>
      <c r="J14" s="10">
        <f t="shared" si="3"/>
        <v>543002959.90977979</v>
      </c>
      <c r="K14" s="11">
        <f t="shared" si="4"/>
        <v>3.7300000000000111E-2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11"/>
      <c r="H15" s="10"/>
      <c r="I15" s="10">
        <f t="shared" si="5"/>
        <v>2603</v>
      </c>
      <c r="J15" s="10">
        <f t="shared" si="3"/>
        <v>523477258.17967772</v>
      </c>
      <c r="K15" s="11">
        <f t="shared" si="4"/>
        <v>3.1600000000000072E-2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11"/>
      <c r="H16" s="10"/>
      <c r="I16" s="10">
        <f t="shared" si="5"/>
        <v>2603</v>
      </c>
      <c r="J16" s="10">
        <f t="shared" si="3"/>
        <v>507442088.19278568</v>
      </c>
      <c r="K16" s="11">
        <f t="shared" si="4"/>
        <v>2.8200000000000003E-2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11"/>
      <c r="H17" s="10"/>
      <c r="I17" s="10">
        <f t="shared" si="5"/>
        <v>2603</v>
      </c>
      <c r="J17" s="10">
        <f t="shared" si="3"/>
        <v>493524691.88172114</v>
      </c>
      <c r="K17" s="11">
        <f t="shared" si="4"/>
        <v>2.50999999999999E-2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11"/>
      <c r="H18" s="10"/>
      <c r="I18" s="10">
        <f t="shared" si="5"/>
        <v>2603</v>
      </c>
      <c r="J18" s="10">
        <f t="shared" si="3"/>
        <v>481440534.4666093</v>
      </c>
      <c r="K18" s="11">
        <f t="shared" si="4"/>
        <v>2.079999999999993E-2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11"/>
      <c r="H19" s="10"/>
      <c r="I19" s="10">
        <f t="shared" si="5"/>
        <v>2603</v>
      </c>
      <c r="J19" s="10">
        <f t="shared" si="3"/>
        <v>471630617.62011105</v>
      </c>
      <c r="K19" s="11">
        <f t="shared" si="4"/>
        <v>2.4000000000000021E-2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11"/>
      <c r="H20" s="10"/>
      <c r="I20" s="10">
        <f t="shared" si="5"/>
        <v>2603</v>
      </c>
      <c r="J20" s="10">
        <f t="shared" si="3"/>
        <v>460576775.01963967</v>
      </c>
      <c r="K20" s="11">
        <f t="shared" si="4"/>
        <v>1.9099999999999895E-2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11"/>
      <c r="H21" s="10"/>
      <c r="I21" s="10">
        <f t="shared" si="5"/>
        <v>2603</v>
      </c>
      <c r="J21" s="10">
        <f t="shared" si="3"/>
        <v>451944632.53816086</v>
      </c>
      <c r="K21" s="11">
        <f t="shared" si="4"/>
        <v>-9.9999999999988987E-5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11"/>
      <c r="H22" s="10"/>
      <c r="I22" s="10">
        <f t="shared" si="5"/>
        <v>2603</v>
      </c>
      <c r="J22" s="10">
        <f t="shared" si="3"/>
        <v>451989831.52131301</v>
      </c>
      <c r="K22" s="11">
        <f t="shared" si="4"/>
        <v>6.9999999999992291E-4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11"/>
      <c r="H23" s="10"/>
      <c r="I23" s="10">
        <f t="shared" si="5"/>
        <v>2603</v>
      </c>
      <c r="J23" s="10">
        <f t="shared" si="3"/>
        <v>451673659.95934147</v>
      </c>
      <c r="K23" s="11">
        <f t="shared" si="4"/>
        <v>5.9900000000000064E-2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11"/>
      <c r="H24" s="10"/>
      <c r="I24" s="10">
        <f t="shared" si="5"/>
        <v>2603</v>
      </c>
      <c r="J24" s="10">
        <f t="shared" si="3"/>
        <v>426147428.96437538</v>
      </c>
      <c r="K24" s="11">
        <f t="shared" si="4"/>
        <v>6.4999999999999503E-3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11"/>
      <c r="H25" s="10"/>
      <c r="I25" s="10">
        <f t="shared" si="5"/>
        <v>2603</v>
      </c>
      <c r="J25" s="10">
        <f t="shared" si="3"/>
        <v>423395359.13003021</v>
      </c>
      <c r="K25" s="11">
        <f t="shared" si="4"/>
        <v>-3.1500000000000083E-2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11"/>
      <c r="H26" s="10"/>
      <c r="I26" s="10">
        <f t="shared" si="5"/>
        <v>2603</v>
      </c>
      <c r="J26" s="10">
        <f t="shared" si="3"/>
        <v>437166090.9964174</v>
      </c>
      <c r="K26" s="11">
        <f t="shared" si="4"/>
        <v>2.6699999999999946E-2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11"/>
      <c r="H27" s="10"/>
      <c r="I27" s="10">
        <f t="shared" si="5"/>
        <v>2603</v>
      </c>
      <c r="J27" s="10">
        <f t="shared" si="3"/>
        <v>425797303.00615317</v>
      </c>
      <c r="K27" s="11">
        <f t="shared" si="4"/>
        <v>2.0699999999999941E-2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11"/>
      <c r="H28" s="10"/>
      <c r="I28" s="10">
        <f t="shared" si="5"/>
        <v>2603</v>
      </c>
      <c r="J28" s="10">
        <f t="shared" si="3"/>
        <v>417162048.6001305</v>
      </c>
      <c r="K28" s="11">
        <f t="shared" si="4"/>
        <v>2.0899999999999919E-2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11"/>
      <c r="H29" s="10"/>
      <c r="I29" s="10">
        <f t="shared" si="5"/>
        <v>2603</v>
      </c>
      <c r="J29" s="10">
        <f t="shared" si="3"/>
        <v>408621851.89551425</v>
      </c>
      <c r="K29" s="11">
        <f t="shared" si="4"/>
        <v>1.9600000000000062E-2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11"/>
      <c r="H30" s="10"/>
      <c r="I30" s="10">
        <f t="shared" si="5"/>
        <v>2603</v>
      </c>
      <c r="J30" s="10">
        <f t="shared" si="3"/>
        <v>400766822.18077111</v>
      </c>
      <c r="K30" s="11">
        <f t="shared" si="4"/>
        <v>2.220000000000022E-2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11"/>
      <c r="H31" s="10"/>
      <c r="I31" s="10">
        <f t="shared" si="5"/>
        <v>2603</v>
      </c>
      <c r="J31" s="10">
        <f t="shared" si="3"/>
        <v>392063023.06864709</v>
      </c>
      <c r="K31" s="11">
        <f t="shared" si="4"/>
        <v>2.2799999999999931E-2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11"/>
      <c r="H32" s="10"/>
      <c r="I32" s="10">
        <f t="shared" si="5"/>
        <v>2603</v>
      </c>
      <c r="J32" s="10">
        <f t="shared" si="3"/>
        <v>383323252.90247077</v>
      </c>
      <c r="K32" s="11">
        <f t="shared" si="4"/>
        <v>1.8799999999999928E-2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11"/>
      <c r="H33" s="10"/>
      <c r="I33" s="10">
        <f t="shared" si="5"/>
        <v>2603</v>
      </c>
      <c r="J33" s="10">
        <f t="shared" si="3"/>
        <v>376249757.46218175</v>
      </c>
      <c r="K33" s="11">
        <f t="shared" si="4"/>
        <v>2.1599999999999842E-2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11"/>
      <c r="H34" s="10"/>
      <c r="I34" s="10">
        <f t="shared" si="5"/>
        <v>2603</v>
      </c>
      <c r="J34" s="10">
        <f t="shared" ref="J34:J65" si="6">IF(I34="","",I34*C34)</f>
        <v>368294594.22688115</v>
      </c>
      <c r="K34" s="11">
        <f t="shared" ref="K34:K65" si="7">IFERROR(J34/J35-1,"")</f>
        <v>2.4200000000000221E-2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11"/>
      <c r="H35" s="10"/>
      <c r="I35" s="10">
        <f t="shared" ref="I35:I66" si="8">IF(H35&lt;&gt;"",H35,I34/(1+IF(G34="",0,G34)))</f>
        <v>2603</v>
      </c>
      <c r="J35" s="10">
        <f t="shared" si="6"/>
        <v>359592456.77297509</v>
      </c>
      <c r="K35" s="11">
        <f t="shared" si="7"/>
        <v>2.6799999999999935E-2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11"/>
      <c r="H36" s="10"/>
      <c r="I36" s="10">
        <f t="shared" si="8"/>
        <v>2603</v>
      </c>
      <c r="J36" s="10">
        <f t="shared" si="6"/>
        <v>350206911.54360646</v>
      </c>
      <c r="K36" s="11">
        <f t="shared" si="7"/>
        <v>2.4999999999999689E-2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11"/>
      <c r="H37" s="10"/>
      <c r="I37" s="10">
        <f t="shared" si="8"/>
        <v>2603</v>
      </c>
      <c r="J37" s="10">
        <f t="shared" si="6"/>
        <v>341665279.5547381</v>
      </c>
      <c r="K37" s="11">
        <f t="shared" si="7"/>
        <v>4.0699999999999958E-2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11"/>
      <c r="H38" s="10"/>
      <c r="I38" s="10">
        <f t="shared" si="8"/>
        <v>2603</v>
      </c>
      <c r="J38" s="10">
        <f t="shared" si="6"/>
        <v>328303333.86637658</v>
      </c>
      <c r="K38" s="11">
        <f t="shared" si="7"/>
        <v>4.2000000000000037E-2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11"/>
      <c r="H39" s="10"/>
      <c r="I39" s="10">
        <f t="shared" si="8"/>
        <v>2603</v>
      </c>
      <c r="J39" s="10">
        <f t="shared" si="6"/>
        <v>315070377.99076444</v>
      </c>
      <c r="K39" s="11">
        <f t="shared" si="7"/>
        <v>2.4899999999999922E-2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11"/>
      <c r="H40" s="10"/>
      <c r="I40" s="10">
        <f t="shared" si="8"/>
        <v>2603</v>
      </c>
      <c r="J40" s="10">
        <f t="shared" si="6"/>
        <v>307415726.40332174</v>
      </c>
      <c r="K40" s="11">
        <f t="shared" si="7"/>
        <v>2.8899999999999926E-2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11"/>
      <c r="H41" s="10"/>
      <c r="I41" s="10">
        <f t="shared" si="8"/>
        <v>2603</v>
      </c>
      <c r="J41" s="10">
        <f t="shared" si="6"/>
        <v>298780956.75315559</v>
      </c>
      <c r="K41" s="11">
        <f t="shared" si="7"/>
        <v>2.5700000000000056E-2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11"/>
      <c r="H42" s="10"/>
      <c r="I42" s="10">
        <f t="shared" si="8"/>
        <v>2603</v>
      </c>
      <c r="J42" s="10">
        <f t="shared" si="6"/>
        <v>291294683.39003175</v>
      </c>
      <c r="K42" s="11">
        <f t="shared" si="7"/>
        <v>2.2400000000000198E-2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11"/>
      <c r="H43" s="10"/>
      <c r="I43" s="10">
        <f t="shared" si="8"/>
        <v>2603</v>
      </c>
      <c r="J43" s="10">
        <f t="shared" si="6"/>
        <v>284912640.24846607</v>
      </c>
      <c r="K43" s="11">
        <f t="shared" si="7"/>
        <v>2.4799999999999711E-2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11"/>
      <c r="H44" s="10"/>
      <c r="I44" s="10">
        <f t="shared" si="8"/>
        <v>2603</v>
      </c>
      <c r="J44" s="10">
        <f t="shared" si="6"/>
        <v>278017798.83730108</v>
      </c>
      <c r="K44" s="11">
        <f t="shared" si="7"/>
        <v>2.4999999999999911E-2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11"/>
      <c r="H45" s="10"/>
      <c r="I45" s="10">
        <f t="shared" si="8"/>
        <v>2603</v>
      </c>
      <c r="J45" s="10">
        <f t="shared" si="6"/>
        <v>271236876.9144401</v>
      </c>
      <c r="K45" s="11">
        <f t="shared" si="7"/>
        <v>-1.3999999999998458E-3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11"/>
      <c r="H46" s="10"/>
      <c r="I46" s="10">
        <f t="shared" si="8"/>
        <v>2603</v>
      </c>
      <c r="J46" s="10">
        <f t="shared" si="6"/>
        <v>271617140.91171646</v>
      </c>
      <c r="K46" s="11">
        <f t="shared" si="7"/>
        <v>0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11"/>
      <c r="H47" s="10"/>
      <c r="I47" s="10">
        <f t="shared" si="8"/>
        <v>2603</v>
      </c>
      <c r="J47" s="10">
        <f t="shared" si="6"/>
        <v>271617140.91171646</v>
      </c>
      <c r="K47" s="11">
        <f t="shared" si="7"/>
        <v>2.4299999999999988E-2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11"/>
      <c r="H48" s="10"/>
      <c r="I48" s="10">
        <f t="shared" si="8"/>
        <v>2603</v>
      </c>
      <c r="J48" s="10">
        <f t="shared" si="6"/>
        <v>265173426.64426091</v>
      </c>
      <c r="K48" s="11">
        <f t="shared" si="7"/>
        <v>2.1700000000000053E-2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11"/>
      <c r="H49" s="10"/>
      <c r="I49" s="10">
        <f t="shared" si="8"/>
        <v>2603</v>
      </c>
      <c r="J49" s="10">
        <f t="shared" si="6"/>
        <v>259541378.72590867</v>
      </c>
      <c r="K49" s="11">
        <f t="shared" si="7"/>
        <v>2.1700000000000053E-2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11"/>
      <c r="H50" s="10"/>
      <c r="I50" s="10">
        <f t="shared" si="8"/>
        <v>2603</v>
      </c>
      <c r="J50" s="10">
        <f t="shared" si="6"/>
        <v>254028950.50005743</v>
      </c>
      <c r="K50" s="11">
        <f t="shared" si="7"/>
        <v>2.3900000000000032E-2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11"/>
      <c r="H51" s="10"/>
      <c r="I51" s="10">
        <f t="shared" si="8"/>
        <v>2603</v>
      </c>
      <c r="J51" s="10">
        <f t="shared" si="6"/>
        <v>248099375.4273439</v>
      </c>
      <c r="K51" s="11">
        <f t="shared" si="7"/>
        <v>2.5400000000000089E-2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11"/>
      <c r="H52" s="10"/>
      <c r="I52" s="10">
        <f t="shared" si="8"/>
        <v>2603</v>
      </c>
      <c r="J52" s="10">
        <f t="shared" si="6"/>
        <v>241953750.17295095</v>
      </c>
      <c r="K52" s="11">
        <f t="shared" si="7"/>
        <v>2.4100000000000232E-2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11"/>
      <c r="H53" s="10"/>
      <c r="I53" s="10">
        <f t="shared" si="8"/>
        <v>2603</v>
      </c>
      <c r="J53" s="10">
        <f t="shared" si="6"/>
        <v>236259886.89869243</v>
      </c>
      <c r="K53" s="11">
        <f t="shared" si="7"/>
        <v>2.7700000000000058E-2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11"/>
      <c r="H54" s="10"/>
      <c r="I54" s="10">
        <f t="shared" si="8"/>
        <v>2603</v>
      </c>
      <c r="J54" s="10">
        <f t="shared" si="6"/>
        <v>229891881.7735647</v>
      </c>
      <c r="K54" s="11">
        <f t="shared" si="7"/>
        <v>2.849999999999997E-2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11"/>
      <c r="H55" s="10"/>
      <c r="I55" s="10">
        <f t="shared" si="8"/>
        <v>2603</v>
      </c>
      <c r="J55" s="10">
        <f t="shared" si="6"/>
        <v>223521518.49641681</v>
      </c>
      <c r="K55" s="11">
        <f t="shared" si="7"/>
        <v>2.1099999999999897E-2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11"/>
      <c r="H56" s="10"/>
      <c r="I56" s="10">
        <f t="shared" si="8"/>
        <v>2603</v>
      </c>
      <c r="J56" s="10">
        <f t="shared" si="6"/>
        <v>218902672.11479467</v>
      </c>
      <c r="K56" s="11">
        <f t="shared" si="7"/>
        <v>2.5400000000000089E-2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11"/>
      <c r="H57" s="10"/>
      <c r="I57" s="10">
        <f t="shared" si="8"/>
        <v>2603</v>
      </c>
      <c r="J57" s="10">
        <f t="shared" si="6"/>
        <v>213480273.17612118</v>
      </c>
      <c r="K57" s="11">
        <f t="shared" si="7"/>
        <v>2.53000000000001E-2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11"/>
      <c r="H58" s="10"/>
      <c r="I58" s="10">
        <f t="shared" si="8"/>
        <v>2603</v>
      </c>
      <c r="J58" s="10">
        <f t="shared" si="6"/>
        <v>208212497.00197127</v>
      </c>
      <c r="K58" s="11">
        <f t="shared" si="7"/>
        <v>2.5400000000000089E-2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11"/>
      <c r="H59" s="10"/>
      <c r="I59" s="10">
        <f t="shared" si="8"/>
        <v>2603</v>
      </c>
      <c r="J59" s="10">
        <f t="shared" si="6"/>
        <v>203054902.47900453</v>
      </c>
      <c r="K59" s="11">
        <f t="shared" si="7"/>
        <v>2.5400000000000089E-2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11"/>
      <c r="H60" s="10"/>
      <c r="I60" s="10">
        <f t="shared" si="8"/>
        <v>2603</v>
      </c>
      <c r="J60" s="10">
        <f t="shared" si="6"/>
        <v>198025065.80749416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11"/>
      <c r="H61" s="10"/>
      <c r="I61" s="10">
        <f t="shared" si="8"/>
        <v>2603</v>
      </c>
      <c r="J61" s="10">
        <f t="shared" si="6"/>
        <v>193119822.32055211</v>
      </c>
      <c r="K61" s="11">
        <f t="shared" si="7"/>
        <v>2.5400000000000089E-2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11"/>
      <c r="H62" s="10"/>
      <c r="I62" s="10">
        <f t="shared" si="8"/>
        <v>2603</v>
      </c>
      <c r="J62" s="10">
        <f t="shared" si="6"/>
        <v>188336085.74268782</v>
      </c>
      <c r="K62" s="11">
        <f t="shared" si="7"/>
        <v>2.4999999999999911E-2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11"/>
      <c r="H63" s="10"/>
      <c r="I63" s="10">
        <f t="shared" si="8"/>
        <v>2603</v>
      </c>
      <c r="J63" s="10">
        <f t="shared" si="6"/>
        <v>183742522.67579302</v>
      </c>
      <c r="K63" s="11">
        <f t="shared" si="7"/>
        <v>2.4899999999999922E-2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11"/>
      <c r="H64" s="10"/>
      <c r="I64" s="10">
        <f t="shared" si="8"/>
        <v>2603</v>
      </c>
      <c r="J64" s="10">
        <f t="shared" si="6"/>
        <v>179278488.31670704</v>
      </c>
      <c r="K64" s="11">
        <f t="shared" si="7"/>
        <v>2.4499999999999966E-2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11"/>
      <c r="H65" s="10"/>
      <c r="I65" s="10">
        <f t="shared" si="8"/>
        <v>2603</v>
      </c>
      <c r="J65" s="10">
        <f t="shared" si="6"/>
        <v>174991203.82304251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6">
        <f>SUM(F2)</f>
        <v>324028</v>
      </c>
      <c r="G66" s="11"/>
      <c r="H66" s="10"/>
      <c r="I66" s="10">
        <f t="shared" si="8"/>
        <v>2603</v>
      </c>
      <c r="J66" s="10">
        <f t="shared" ref="J66:J97" si="9">IF(I66="","",I66*C66)</f>
        <v>170906537.57500002</v>
      </c>
      <c r="K66" s="11">
        <f t="shared" ref="K66:K97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11"/>
      <c r="H67" s="10"/>
      <c r="I67" s="10">
        <f t="shared" ref="I67:I98" si="11">IF(H67&lt;&gt;"",H67,I66/(1+IF(G66="",0,G66)))</f>
        <v>2603</v>
      </c>
      <c r="J67" s="10">
        <f t="shared" si="9"/>
        <v>166982450</v>
      </c>
      <c r="K67" s="11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5">
        <v>9975075</v>
      </c>
      <c r="G2" s="11"/>
      <c r="H2" s="10"/>
      <c r="I2" s="10">
        <f>IF(H2&lt;&gt;"",H2,889)</f>
        <v>889</v>
      </c>
      <c r="J2" s="10">
        <f t="shared" ref="J2:J33" si="3">IF(I2="","",I2*C2)</f>
        <v>8867969632.7135124</v>
      </c>
      <c r="K2" s="11">
        <f t="shared" ref="K2:K33" si="4">IFERROR(J2/J3-1,"")</f>
        <v>1.4499999999999957E-2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11"/>
      <c r="H3" s="10"/>
      <c r="I3" s="10">
        <f t="shared" ref="I3:I34" si="5">IF(H3&lt;&gt;"",H3,I2/(1+IF(G2="",0,G2)))</f>
        <v>889</v>
      </c>
      <c r="J3" s="10">
        <f t="shared" si="3"/>
        <v>8741221914.946785</v>
      </c>
      <c r="K3" s="11">
        <f t="shared" si="4"/>
        <v>1.4699999999999935E-2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11"/>
      <c r="H4" s="10"/>
      <c r="I4" s="10">
        <f t="shared" si="5"/>
        <v>889</v>
      </c>
      <c r="J4" s="10">
        <f t="shared" si="3"/>
        <v>8614587479.0054054</v>
      </c>
      <c r="K4" s="11">
        <f t="shared" si="4"/>
        <v>1.4100000000000001E-2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11"/>
      <c r="H5" s="10"/>
      <c r="I5" s="10">
        <f t="shared" si="5"/>
        <v>889</v>
      </c>
      <c r="J5" s="10">
        <f t="shared" si="3"/>
        <v>8494810648.8565283</v>
      </c>
      <c r="K5" s="11">
        <f t="shared" si="4"/>
        <v>1.4100000000000001E-2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11"/>
      <c r="H6" s="10"/>
      <c r="I6" s="10">
        <f t="shared" si="5"/>
        <v>889</v>
      </c>
      <c r="J6" s="10">
        <f t="shared" si="3"/>
        <v>8376699190.2736702</v>
      </c>
      <c r="K6" s="11">
        <f t="shared" si="4"/>
        <v>1.4299999999999979E-2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11"/>
      <c r="H7" s="10"/>
      <c r="I7" s="10">
        <f t="shared" si="5"/>
        <v>889</v>
      </c>
      <c r="J7" s="10">
        <f t="shared" si="3"/>
        <v>8258601193.2107563</v>
      </c>
      <c r="K7" s="11">
        <f t="shared" si="4"/>
        <v>1.4599999999999946E-2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11"/>
      <c r="H8" s="10"/>
      <c r="I8" s="10">
        <f t="shared" si="5"/>
        <v>889</v>
      </c>
      <c r="J8" s="10">
        <f t="shared" si="3"/>
        <v>8139760687.1779585</v>
      </c>
      <c r="K8" s="11">
        <f t="shared" si="4"/>
        <v>1.4999999999999902E-2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11"/>
      <c r="H9" s="10"/>
      <c r="I9" s="10">
        <f t="shared" si="5"/>
        <v>889</v>
      </c>
      <c r="J9" s="10">
        <f t="shared" si="3"/>
        <v>8019468657.3181868</v>
      </c>
      <c r="K9" s="11">
        <f t="shared" si="4"/>
        <v>1.519999999999988E-2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11"/>
      <c r="H10" s="10"/>
      <c r="I10" s="10">
        <f t="shared" si="5"/>
        <v>889</v>
      </c>
      <c r="J10" s="10">
        <f t="shared" si="3"/>
        <v>7899397810.5971107</v>
      </c>
      <c r="K10" s="11">
        <f t="shared" si="4"/>
        <v>1.5300000000000091E-2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11"/>
      <c r="H11" s="10"/>
      <c r="I11" s="10">
        <f t="shared" si="5"/>
        <v>889</v>
      </c>
      <c r="J11" s="10">
        <f t="shared" si="3"/>
        <v>7780358328.1760168</v>
      </c>
      <c r="K11" s="11">
        <f t="shared" si="4"/>
        <v>1.540000000000008E-2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11"/>
      <c r="H12" s="10"/>
      <c r="I12" s="10">
        <f t="shared" si="5"/>
        <v>889</v>
      </c>
      <c r="J12" s="10">
        <f t="shared" si="3"/>
        <v>7662358014.7488842</v>
      </c>
      <c r="K12" s="11">
        <f t="shared" si="4"/>
        <v>1.5500000000000069E-2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11"/>
      <c r="H13" s="10"/>
      <c r="I13" s="10">
        <f t="shared" si="5"/>
        <v>889</v>
      </c>
      <c r="J13" s="10">
        <f t="shared" si="3"/>
        <v>7545404248.8910723</v>
      </c>
      <c r="K13" s="11">
        <f t="shared" si="4"/>
        <v>1.5400000000000302E-2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11"/>
      <c r="H14" s="10"/>
      <c r="I14" s="10">
        <f t="shared" si="5"/>
        <v>889</v>
      </c>
      <c r="J14" s="10">
        <f t="shared" si="3"/>
        <v>7430967351.675271</v>
      </c>
      <c r="K14" s="11">
        <f t="shared" si="4"/>
        <v>1.540000000000008E-2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11"/>
      <c r="H15" s="10"/>
      <c r="I15" s="10">
        <f t="shared" si="5"/>
        <v>889</v>
      </c>
      <c r="J15" s="10">
        <f t="shared" si="3"/>
        <v>7318266054.4369421</v>
      </c>
      <c r="K15" s="11">
        <f t="shared" si="4"/>
        <v>1.5600000000000058E-2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11"/>
      <c r="H16" s="10"/>
      <c r="I16" s="10">
        <f t="shared" si="5"/>
        <v>889</v>
      </c>
      <c r="J16" s="10">
        <f t="shared" si="3"/>
        <v>7205854720.7925777</v>
      </c>
      <c r="K16" s="11">
        <f t="shared" si="4"/>
        <v>1.6100000000000003E-2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11"/>
      <c r="H17" s="10"/>
      <c r="I17" s="10">
        <f t="shared" si="5"/>
        <v>889</v>
      </c>
      <c r="J17" s="10">
        <f t="shared" si="3"/>
        <v>7091678693.8220425</v>
      </c>
      <c r="K17" s="11">
        <f t="shared" si="4"/>
        <v>1.6699999999999937E-2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11"/>
      <c r="H18" s="10"/>
      <c r="I18" s="10">
        <f t="shared" si="5"/>
        <v>889</v>
      </c>
      <c r="J18" s="10">
        <f t="shared" si="3"/>
        <v>6975192971.2029533</v>
      </c>
      <c r="K18" s="11">
        <f t="shared" si="4"/>
        <v>1.7400000000000082E-2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11"/>
      <c r="H19" s="10"/>
      <c r="I19" s="10">
        <f t="shared" si="5"/>
        <v>889</v>
      </c>
      <c r="J19" s="10">
        <f t="shared" si="3"/>
        <v>6855900305.8806295</v>
      </c>
      <c r="K19" s="11">
        <f t="shared" si="4"/>
        <v>1.8199999999999994E-2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11"/>
      <c r="H20" s="10"/>
      <c r="I20" s="10">
        <f t="shared" si="5"/>
        <v>889</v>
      </c>
      <c r="J20" s="10">
        <f t="shared" si="3"/>
        <v>6733353276.2528286</v>
      </c>
      <c r="K20" s="11">
        <f t="shared" si="4"/>
        <v>1.9099999999999895E-2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11"/>
      <c r="H21" s="10"/>
      <c r="I21" s="10">
        <f t="shared" si="5"/>
        <v>889</v>
      </c>
      <c r="J21" s="10">
        <f t="shared" si="3"/>
        <v>6607156585.4703455</v>
      </c>
      <c r="K21" s="11">
        <f t="shared" si="4"/>
        <v>1.980000000000004E-2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11"/>
      <c r="H22" s="10"/>
      <c r="I22" s="10">
        <f t="shared" si="5"/>
        <v>889</v>
      </c>
      <c r="J22" s="10">
        <f t="shared" si="3"/>
        <v>6478874863.1793938</v>
      </c>
      <c r="K22" s="11">
        <f t="shared" si="4"/>
        <v>2.059999999999973E-2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11"/>
      <c r="H23" s="10"/>
      <c r="I23" s="10">
        <f t="shared" si="5"/>
        <v>889</v>
      </c>
      <c r="J23" s="10">
        <f t="shared" si="3"/>
        <v>6348103922.3783998</v>
      </c>
      <c r="K23" s="11">
        <f t="shared" si="4"/>
        <v>2.1500000000000075E-2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11"/>
      <c r="H24" s="10"/>
      <c r="I24" s="10">
        <f t="shared" si="5"/>
        <v>889</v>
      </c>
      <c r="J24" s="10">
        <f t="shared" si="3"/>
        <v>6214492337.1301022</v>
      </c>
      <c r="K24" s="11">
        <f t="shared" si="4"/>
        <v>2.2399999999999975E-2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11"/>
      <c r="H25" s="10"/>
      <c r="I25" s="10">
        <f t="shared" si="5"/>
        <v>889</v>
      </c>
      <c r="J25" s="10">
        <f t="shared" si="3"/>
        <v>6078337575.4402409</v>
      </c>
      <c r="K25" s="11">
        <f t="shared" si="4"/>
        <v>2.3300000000000098E-2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11"/>
      <c r="H26" s="10"/>
      <c r="I26" s="10">
        <f t="shared" si="5"/>
        <v>889</v>
      </c>
      <c r="J26" s="10">
        <f t="shared" si="3"/>
        <v>5939937042.353406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11"/>
      <c r="H27" s="10"/>
      <c r="I27" s="10">
        <f t="shared" si="5"/>
        <v>889</v>
      </c>
      <c r="J27" s="10">
        <f t="shared" si="3"/>
        <v>5800153346.6979847</v>
      </c>
      <c r="K27" s="11">
        <f t="shared" si="4"/>
        <v>2.4900000000000144E-2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11"/>
      <c r="H28" s="10"/>
      <c r="I28" s="10">
        <f t="shared" si="5"/>
        <v>889</v>
      </c>
      <c r="J28" s="10">
        <f t="shared" si="3"/>
        <v>5659238312.7114687</v>
      </c>
      <c r="K28" s="11">
        <f t="shared" si="4"/>
        <v>2.5699999999999834E-2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11"/>
      <c r="H29" s="10"/>
      <c r="I29" s="10">
        <f t="shared" si="5"/>
        <v>889</v>
      </c>
      <c r="J29" s="10">
        <f t="shared" si="3"/>
        <v>5517440102.0878124</v>
      </c>
      <c r="K29" s="11">
        <f t="shared" si="4"/>
        <v>2.650000000000019E-2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11"/>
      <c r="H30" s="10"/>
      <c r="I30" s="10">
        <f t="shared" si="5"/>
        <v>889</v>
      </c>
      <c r="J30" s="10">
        <f t="shared" si="3"/>
        <v>5375002534.9126272</v>
      </c>
      <c r="K30" s="11">
        <f t="shared" si="4"/>
        <v>2.7199999999999891E-2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11"/>
      <c r="H31" s="10"/>
      <c r="I31" s="10">
        <f t="shared" si="5"/>
        <v>889</v>
      </c>
      <c r="J31" s="10">
        <f t="shared" si="3"/>
        <v>5232673807.3526363</v>
      </c>
      <c r="K31" s="11">
        <f t="shared" si="4"/>
        <v>2.7800000000000047E-2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11"/>
      <c r="H32" s="10"/>
      <c r="I32" s="10">
        <f t="shared" si="5"/>
        <v>889</v>
      </c>
      <c r="J32" s="10">
        <f t="shared" si="3"/>
        <v>5091140112.2325706</v>
      </c>
      <c r="K32" s="11">
        <f t="shared" si="4"/>
        <v>2.8399999999999759E-2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11"/>
      <c r="H33" s="10"/>
      <c r="I33" s="10">
        <f t="shared" si="5"/>
        <v>889</v>
      </c>
      <c r="J33" s="10">
        <f t="shared" si="3"/>
        <v>4950544644.3334999</v>
      </c>
      <c r="K33" s="11">
        <f t="shared" si="4"/>
        <v>2.8699999999999948E-2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11"/>
      <c r="H34" s="10"/>
      <c r="I34" s="10">
        <f t="shared" si="5"/>
        <v>889</v>
      </c>
      <c r="J34" s="10">
        <f t="shared" ref="J34:J65" si="6">IF(I34="","",I34*C34)</f>
        <v>4812427961.8290071</v>
      </c>
      <c r="K34" s="11">
        <f t="shared" ref="K34:K65" si="7">IFERROR(J34/J35-1,"")</f>
        <v>2.8599999999999959E-2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11"/>
      <c r="H35" s="10"/>
      <c r="I35" s="10">
        <f t="shared" ref="I35:I66" si="8">IF(H35&lt;&gt;"",H35,I34/(1+IF(G34="",0,G34)))</f>
        <v>889</v>
      </c>
      <c r="J35" s="10">
        <f t="shared" si="6"/>
        <v>4678619445.6824884</v>
      </c>
      <c r="K35" s="11">
        <f t="shared" si="7"/>
        <v>2.8200000000000003E-2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11"/>
      <c r="H36" s="10"/>
      <c r="I36" s="10">
        <f t="shared" si="8"/>
        <v>889</v>
      </c>
      <c r="J36" s="10">
        <f t="shared" si="6"/>
        <v>4550300958.6485977</v>
      </c>
      <c r="K36" s="11">
        <f t="shared" si="7"/>
        <v>2.7400000000000091E-2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11"/>
      <c r="H37" s="10"/>
      <c r="I37" s="10">
        <f t="shared" si="8"/>
        <v>889</v>
      </c>
      <c r="J37" s="10">
        <f t="shared" si="6"/>
        <v>4428947789.2238636</v>
      </c>
      <c r="K37" s="11">
        <f t="shared" si="7"/>
        <v>2.6399999999999979E-2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11"/>
      <c r="H38" s="10"/>
      <c r="I38" s="10">
        <f t="shared" si="8"/>
        <v>889</v>
      </c>
      <c r="J38" s="10">
        <f t="shared" si="6"/>
        <v>4315030971.5743017</v>
      </c>
      <c r="K38" s="11">
        <f t="shared" si="7"/>
        <v>2.5400000000000089E-2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11"/>
      <c r="H39" s="10"/>
      <c r="I39" s="10">
        <f t="shared" si="8"/>
        <v>889</v>
      </c>
      <c r="J39" s="10">
        <f t="shared" si="6"/>
        <v>4208144111.1510639</v>
      </c>
      <c r="K39" s="11">
        <f t="shared" si="7"/>
        <v>2.4299999999999988E-2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11"/>
      <c r="H40" s="10"/>
      <c r="I40" s="10">
        <f t="shared" si="8"/>
        <v>889</v>
      </c>
      <c r="J40" s="10">
        <f t="shared" si="6"/>
        <v>4108312126.4776568</v>
      </c>
      <c r="K40" s="11">
        <f t="shared" si="7"/>
        <v>2.3300000000000098E-2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11"/>
      <c r="H41" s="10"/>
      <c r="I41" s="10">
        <f t="shared" si="8"/>
        <v>889</v>
      </c>
      <c r="J41" s="10">
        <f t="shared" si="6"/>
        <v>4014768031.3472648</v>
      </c>
      <c r="K41" s="11">
        <f t="shared" si="7"/>
        <v>2.2399999999999975E-2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11"/>
      <c r="H42" s="10"/>
      <c r="I42" s="10">
        <f t="shared" si="8"/>
        <v>889</v>
      </c>
      <c r="J42" s="10">
        <f t="shared" si="6"/>
        <v>3926807542.3975592</v>
      </c>
      <c r="K42" s="11">
        <f t="shared" si="7"/>
        <v>2.1500000000000075E-2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11"/>
      <c r="H43" s="10"/>
      <c r="I43" s="10">
        <f t="shared" si="8"/>
        <v>889</v>
      </c>
      <c r="J43" s="10">
        <f t="shared" si="6"/>
        <v>3844158142.337307</v>
      </c>
      <c r="K43" s="11">
        <f t="shared" si="7"/>
        <v>2.079999999999993E-2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11"/>
      <c r="H44" s="10"/>
      <c r="I44" s="10">
        <f t="shared" si="8"/>
        <v>889</v>
      </c>
      <c r="J44" s="10">
        <f t="shared" si="6"/>
        <v>3765828901.192503</v>
      </c>
      <c r="K44" s="11">
        <f t="shared" si="7"/>
        <v>2.0199999999999996E-2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11"/>
      <c r="H45" s="10"/>
      <c r="I45" s="10">
        <f t="shared" si="8"/>
        <v>889</v>
      </c>
      <c r="J45" s="10">
        <f t="shared" si="6"/>
        <v>3691265341.2982779</v>
      </c>
      <c r="K45" s="11">
        <f t="shared" si="7"/>
        <v>1.9800000000000262E-2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11"/>
      <c r="H46" s="10"/>
      <c r="I46" s="10">
        <f t="shared" si="8"/>
        <v>889</v>
      </c>
      <c r="J46" s="10">
        <f t="shared" si="6"/>
        <v>3619597314.4717369</v>
      </c>
      <c r="K46" s="11">
        <f t="shared" si="7"/>
        <v>1.9600000000000062E-2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11"/>
      <c r="H47" s="10"/>
      <c r="I47" s="10">
        <f t="shared" si="8"/>
        <v>889</v>
      </c>
      <c r="J47" s="10">
        <f t="shared" si="6"/>
        <v>3550016981.6317544</v>
      </c>
      <c r="K47" s="11">
        <f t="shared" si="7"/>
        <v>1.9500000000000073E-2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11"/>
      <c r="H48" s="10"/>
      <c r="I48" s="10">
        <f t="shared" si="8"/>
        <v>889</v>
      </c>
      <c r="J48" s="10">
        <f t="shared" si="6"/>
        <v>3482115724.9943643</v>
      </c>
      <c r="K48" s="11">
        <f t="shared" si="7"/>
        <v>1.9700000000000051E-2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11"/>
      <c r="H49" s="10"/>
      <c r="I49" s="10">
        <f t="shared" si="8"/>
        <v>889</v>
      </c>
      <c r="J49" s="10">
        <f t="shared" si="6"/>
        <v>3414843311.7528334</v>
      </c>
      <c r="K49" s="11">
        <f t="shared" si="7"/>
        <v>2.0100000000000007E-2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11"/>
      <c r="H50" s="10"/>
      <c r="I50" s="10">
        <f t="shared" si="8"/>
        <v>889</v>
      </c>
      <c r="J50" s="10">
        <f t="shared" si="6"/>
        <v>3347557407.854949</v>
      </c>
      <c r="K50" s="11">
        <f t="shared" si="7"/>
        <v>2.0700000000000163E-2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11"/>
      <c r="H51" s="10"/>
      <c r="I51" s="10">
        <f t="shared" si="8"/>
        <v>889</v>
      </c>
      <c r="J51" s="10">
        <f t="shared" si="6"/>
        <v>3279668274.5713224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11"/>
      <c r="H52" s="10"/>
      <c r="I52" s="10">
        <f t="shared" si="8"/>
        <v>889</v>
      </c>
      <c r="J52" s="10">
        <f t="shared" si="6"/>
        <v>3210639524.7883725</v>
      </c>
      <c r="K52" s="11">
        <f t="shared" si="7"/>
        <v>2.2299999999999986E-2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11"/>
      <c r="H53" s="10"/>
      <c r="I53" s="10">
        <f t="shared" si="8"/>
        <v>889</v>
      </c>
      <c r="J53" s="10">
        <f t="shared" si="6"/>
        <v>3140604054.3757925</v>
      </c>
      <c r="K53" s="11">
        <f t="shared" si="7"/>
        <v>2.2999999999999909E-2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11"/>
      <c r="H54" s="10"/>
      <c r="I54" s="10">
        <f t="shared" si="8"/>
        <v>889</v>
      </c>
      <c r="J54" s="10">
        <f t="shared" si="6"/>
        <v>3069994188.0506282</v>
      </c>
      <c r="K54" s="11">
        <f t="shared" si="7"/>
        <v>2.3200000000000109E-2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11"/>
      <c r="H55" s="10"/>
      <c r="I55" s="10">
        <f t="shared" si="8"/>
        <v>889</v>
      </c>
      <c r="J55" s="10">
        <f t="shared" si="6"/>
        <v>3000385250.244945</v>
      </c>
      <c r="K55" s="11">
        <f t="shared" si="7"/>
        <v>2.2999999999999909E-2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11"/>
      <c r="H56" s="10"/>
      <c r="I56" s="10">
        <f t="shared" si="8"/>
        <v>889</v>
      </c>
      <c r="J56" s="10">
        <f t="shared" si="6"/>
        <v>2932927908.3528304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11"/>
      <c r="H57" s="10"/>
      <c r="I57" s="10">
        <f t="shared" si="8"/>
        <v>889</v>
      </c>
      <c r="J57" s="10">
        <f t="shared" si="6"/>
        <v>2867547818.1001472</v>
      </c>
      <c r="K57" s="11">
        <f t="shared" si="7"/>
        <v>2.2699999999999942E-2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11"/>
      <c r="H58" s="10"/>
      <c r="I58" s="10">
        <f t="shared" si="8"/>
        <v>889</v>
      </c>
      <c r="J58" s="10">
        <f t="shared" si="6"/>
        <v>2803899303.9015813</v>
      </c>
      <c r="K58" s="11">
        <f t="shared" si="7"/>
        <v>2.2900000000000142E-2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11"/>
      <c r="H59" s="10"/>
      <c r="I59" s="10">
        <f t="shared" si="8"/>
        <v>889</v>
      </c>
      <c r="J59" s="10">
        <f t="shared" si="6"/>
        <v>2741127484.5063848</v>
      </c>
      <c r="K59" s="11">
        <f t="shared" si="7"/>
        <v>2.3200000000000109E-2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11"/>
      <c r="H60" s="10"/>
      <c r="I60" s="10">
        <f t="shared" si="8"/>
        <v>889</v>
      </c>
      <c r="J60" s="10">
        <f t="shared" si="6"/>
        <v>2678975258.5089765</v>
      </c>
      <c r="K60" s="11">
        <f t="shared" si="7"/>
        <v>2.3200000000000109E-2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11"/>
      <c r="H61" s="10"/>
      <c r="I61" s="10">
        <f t="shared" si="8"/>
        <v>889</v>
      </c>
      <c r="J61" s="10">
        <f t="shared" si="6"/>
        <v>2618232269.8484912</v>
      </c>
      <c r="K61" s="11">
        <f t="shared" si="7"/>
        <v>2.3300000000000098E-2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11"/>
      <c r="H62" s="10"/>
      <c r="I62" s="10">
        <f t="shared" si="8"/>
        <v>889</v>
      </c>
      <c r="J62" s="10">
        <f t="shared" si="6"/>
        <v>2558616505.2755699</v>
      </c>
      <c r="K62" s="11">
        <f t="shared" si="7"/>
        <v>2.3399999999999865E-2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11"/>
      <c r="H63" s="10"/>
      <c r="I63" s="10">
        <f t="shared" si="8"/>
        <v>889</v>
      </c>
      <c r="J63" s="10">
        <f t="shared" si="6"/>
        <v>2500113841.3871117</v>
      </c>
      <c r="K63" s="11">
        <f t="shared" si="7"/>
        <v>2.3599999999999843E-2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11"/>
      <c r="H64" s="10"/>
      <c r="I64" s="10">
        <f t="shared" si="8"/>
        <v>889</v>
      </c>
      <c r="J64" s="10">
        <f t="shared" si="6"/>
        <v>2442471513.6646266</v>
      </c>
      <c r="K64" s="11">
        <f t="shared" si="7"/>
        <v>2.3700000000000276E-2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11"/>
      <c r="H65" s="10"/>
      <c r="I65" s="10">
        <f t="shared" si="8"/>
        <v>889</v>
      </c>
      <c r="J65" s="10">
        <f t="shared" si="6"/>
        <v>2385925089.0540452</v>
      </c>
      <c r="K65" s="11">
        <f t="shared" si="7"/>
        <v>2.3900000000000032E-2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6">
        <f>SUM(F2)</f>
        <v>9975075</v>
      </c>
      <c r="G66" s="11"/>
      <c r="H66" s="10"/>
      <c r="I66" s="10">
        <f t="shared" si="8"/>
        <v>889</v>
      </c>
      <c r="J66" s="10">
        <f t="shared" ref="J66:J97" si="9">IF(I66="","",I66*C66)</f>
        <v>2330232531.5500002</v>
      </c>
      <c r="K66" s="11">
        <f t="shared" ref="K66:K97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11"/>
      <c r="H67" s="10"/>
      <c r="I67" s="10">
        <f t="shared" ref="I67:I98" si="11">IF(H67&lt;&gt;"",H67,I66/(1+IF(G66="",0,G66)))</f>
        <v>889</v>
      </c>
      <c r="J67" s="10">
        <f t="shared" si="9"/>
        <v>2275395500</v>
      </c>
      <c r="K67" s="11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5">
        <v>11838201</v>
      </c>
      <c r="G2" s="11"/>
      <c r="H2" s="10"/>
      <c r="I2" s="10">
        <f>IF(H2&lt;&gt;"",H2,2663)</f>
        <v>2663</v>
      </c>
      <c r="J2" s="10">
        <f t="shared" ref="J2:J33" si="3">IF(I2="","",I2*C2)</f>
        <v>31527340918.749489</v>
      </c>
      <c r="K2" s="11">
        <f t="shared" ref="K2:K33" si="4">IFERROR(J2/J3-1,"")</f>
        <v>1.5099999999999891E-2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11"/>
      <c r="H3" s="10"/>
      <c r="I3" s="10">
        <f t="shared" ref="I3:I34" si="5">IF(H3&lt;&gt;"",H3,I2/(1+IF(G2="",0,G2)))</f>
        <v>2663</v>
      </c>
      <c r="J3" s="10">
        <f t="shared" si="3"/>
        <v>31058359687.468716</v>
      </c>
      <c r="K3" s="11">
        <f t="shared" si="4"/>
        <v>1.540000000000008E-2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11"/>
      <c r="H4" s="10"/>
      <c r="I4" s="10">
        <f t="shared" si="5"/>
        <v>2663</v>
      </c>
      <c r="J4" s="10">
        <f t="shared" si="3"/>
        <v>30587315035.915611</v>
      </c>
      <c r="K4" s="11">
        <f t="shared" si="4"/>
        <v>1.5600000000000058E-2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11"/>
      <c r="H5" s="10"/>
      <c r="I5" s="10">
        <f t="shared" si="5"/>
        <v>2663</v>
      </c>
      <c r="J5" s="10">
        <f t="shared" si="3"/>
        <v>30117482311.850739</v>
      </c>
      <c r="K5" s="11">
        <f t="shared" si="4"/>
        <v>1.5800000000000036E-2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11"/>
      <c r="H6" s="10"/>
      <c r="I6" s="10">
        <f t="shared" si="5"/>
        <v>2663</v>
      </c>
      <c r="J6" s="10">
        <f t="shared" si="3"/>
        <v>29649027674.592182</v>
      </c>
      <c r="K6" s="11">
        <f t="shared" si="4"/>
        <v>1.6000000000000014E-2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11"/>
      <c r="H7" s="10"/>
      <c r="I7" s="10">
        <f t="shared" si="5"/>
        <v>2663</v>
      </c>
      <c r="J7" s="10">
        <f t="shared" si="3"/>
        <v>29182113852.945061</v>
      </c>
      <c r="K7" s="11">
        <f t="shared" si="4"/>
        <v>1.6199999999999992E-2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11"/>
      <c r="H8" s="10"/>
      <c r="I8" s="10">
        <f t="shared" si="5"/>
        <v>2663</v>
      </c>
      <c r="J8" s="10">
        <f t="shared" si="3"/>
        <v>28716900071.782192</v>
      </c>
      <c r="K8" s="11">
        <f t="shared" si="4"/>
        <v>1.639999999999997E-2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11"/>
      <c r="H9" s="10"/>
      <c r="I9" s="10">
        <f t="shared" si="5"/>
        <v>2663</v>
      </c>
      <c r="J9" s="10">
        <f t="shared" si="3"/>
        <v>28253541983.256783</v>
      </c>
      <c r="K9" s="11">
        <f t="shared" si="4"/>
        <v>1.6699999999999937E-2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11"/>
      <c r="H10" s="10"/>
      <c r="I10" s="10">
        <f t="shared" si="5"/>
        <v>2663</v>
      </c>
      <c r="J10" s="10">
        <f t="shared" si="3"/>
        <v>27789458034.087524</v>
      </c>
      <c r="K10" s="11">
        <f t="shared" si="4"/>
        <v>1.6900000000000137E-2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11"/>
      <c r="H11" s="10"/>
      <c r="I11" s="10">
        <f t="shared" si="5"/>
        <v>2663</v>
      </c>
      <c r="J11" s="10">
        <f t="shared" si="3"/>
        <v>27327621235.212433</v>
      </c>
      <c r="K11" s="11">
        <f t="shared" si="4"/>
        <v>1.7200000000000104E-2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11"/>
      <c r="H12" s="10"/>
      <c r="I12" s="10">
        <f t="shared" si="5"/>
        <v>2663</v>
      </c>
      <c r="J12" s="10">
        <f t="shared" si="3"/>
        <v>26865534049.559998</v>
      </c>
      <c r="K12" s="11">
        <f t="shared" si="4"/>
        <v>1.7400000000000082E-2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11"/>
      <c r="H13" s="10"/>
      <c r="I13" s="10">
        <f t="shared" si="5"/>
        <v>2663</v>
      </c>
      <c r="J13" s="10">
        <f t="shared" si="3"/>
        <v>26406068458.384113</v>
      </c>
      <c r="K13" s="11">
        <f t="shared" si="4"/>
        <v>1.7700000000000049E-2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11"/>
      <c r="H14" s="10"/>
      <c r="I14" s="10">
        <f t="shared" si="5"/>
        <v>2663</v>
      </c>
      <c r="J14" s="10">
        <f t="shared" si="3"/>
        <v>25946809922.751411</v>
      </c>
      <c r="K14" s="11">
        <f t="shared" si="4"/>
        <v>1.8000000000000016E-2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11"/>
      <c r="H15" s="10"/>
      <c r="I15" s="10">
        <f t="shared" si="5"/>
        <v>2663</v>
      </c>
      <c r="J15" s="10">
        <f t="shared" si="3"/>
        <v>25488025464.392349</v>
      </c>
      <c r="K15" s="11">
        <f t="shared" si="4"/>
        <v>1.8299999999999983E-2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11"/>
      <c r="H16" s="10"/>
      <c r="I16" s="10">
        <f t="shared" si="5"/>
        <v>2663</v>
      </c>
      <c r="J16" s="10">
        <f t="shared" si="3"/>
        <v>25029976887.353775</v>
      </c>
      <c r="K16" s="11">
        <f t="shared" si="4"/>
        <v>1.859999999999995E-2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11"/>
      <c r="H17" s="10"/>
      <c r="I17" s="10">
        <f t="shared" si="5"/>
        <v>2663</v>
      </c>
      <c r="J17" s="10">
        <f t="shared" si="3"/>
        <v>24572920564.84761</v>
      </c>
      <c r="K17" s="11">
        <f t="shared" si="4"/>
        <v>1.8999999999999906E-2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11"/>
      <c r="H18" s="10"/>
      <c r="I18" s="10">
        <f t="shared" si="5"/>
        <v>2663</v>
      </c>
      <c r="J18" s="10">
        <f t="shared" si="3"/>
        <v>24114740495.434361</v>
      </c>
      <c r="K18" s="11">
        <f t="shared" si="4"/>
        <v>1.9300000000000317E-2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11"/>
      <c r="H19" s="10"/>
      <c r="I19" s="10">
        <f t="shared" si="5"/>
        <v>2663</v>
      </c>
      <c r="J19" s="10">
        <f t="shared" si="3"/>
        <v>23658138423.853973</v>
      </c>
      <c r="K19" s="11">
        <f t="shared" si="4"/>
        <v>1.9700000000000051E-2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11"/>
      <c r="H20" s="10"/>
      <c r="I20" s="10">
        <f t="shared" si="5"/>
        <v>2663</v>
      </c>
      <c r="J20" s="10">
        <f t="shared" si="3"/>
        <v>23201077202.955746</v>
      </c>
      <c r="K20" s="11">
        <f t="shared" si="4"/>
        <v>2.0000000000000018E-2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11"/>
      <c r="H21" s="10"/>
      <c r="I21" s="10">
        <f t="shared" si="5"/>
        <v>2663</v>
      </c>
      <c r="J21" s="10">
        <f t="shared" si="3"/>
        <v>22746154120.544849</v>
      </c>
      <c r="K21" s="11">
        <f t="shared" si="4"/>
        <v>2.0399999999999752E-2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11"/>
      <c r="H22" s="10"/>
      <c r="I22" s="10">
        <f t="shared" si="5"/>
        <v>2663</v>
      </c>
      <c r="J22" s="10">
        <f t="shared" si="3"/>
        <v>22291409369.408913</v>
      </c>
      <c r="K22" s="11">
        <f t="shared" si="4"/>
        <v>2.0700000000000163E-2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11"/>
      <c r="H23" s="10"/>
      <c r="I23" s="10">
        <f t="shared" si="5"/>
        <v>2663</v>
      </c>
      <c r="J23" s="10">
        <f t="shared" si="3"/>
        <v>21839335132.172932</v>
      </c>
      <c r="K23" s="11">
        <f t="shared" si="4"/>
        <v>2.1099999999999897E-2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11"/>
      <c r="H24" s="10"/>
      <c r="I24" s="10">
        <f t="shared" si="5"/>
        <v>2663</v>
      </c>
      <c r="J24" s="10">
        <f t="shared" si="3"/>
        <v>21388047333.437405</v>
      </c>
      <c r="K24" s="11">
        <f t="shared" si="4"/>
        <v>2.1399999999999864E-2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11"/>
      <c r="H25" s="10"/>
      <c r="I25" s="10">
        <f t="shared" si="5"/>
        <v>2663</v>
      </c>
      <c r="J25" s="10">
        <f t="shared" si="3"/>
        <v>20939932772.114162</v>
      </c>
      <c r="K25" s="11">
        <f t="shared" si="4"/>
        <v>2.1800000000000264E-2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11"/>
      <c r="H26" s="10"/>
      <c r="I26" s="10">
        <f t="shared" si="5"/>
        <v>2663</v>
      </c>
      <c r="J26" s="10">
        <f t="shared" si="3"/>
        <v>20493181417.218788</v>
      </c>
      <c r="K26" s="11">
        <f t="shared" si="4"/>
        <v>2.2100000000000009E-2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11"/>
      <c r="H27" s="10"/>
      <c r="I27" s="10">
        <f t="shared" si="5"/>
        <v>2663</v>
      </c>
      <c r="J27" s="10">
        <f t="shared" si="3"/>
        <v>20050074764.914185</v>
      </c>
      <c r="K27" s="11">
        <f t="shared" si="4"/>
        <v>2.2499999999999742E-2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11"/>
      <c r="H28" s="10"/>
      <c r="I28" s="10">
        <f t="shared" si="5"/>
        <v>2663</v>
      </c>
      <c r="J28" s="10">
        <f t="shared" si="3"/>
        <v>19608875075.710697</v>
      </c>
      <c r="K28" s="11">
        <f t="shared" si="4"/>
        <v>2.2900000000000142E-2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11"/>
      <c r="H29" s="10"/>
      <c r="I29" s="10">
        <f t="shared" si="5"/>
        <v>2663</v>
      </c>
      <c r="J29" s="10">
        <f t="shared" si="3"/>
        <v>19169884715.720692</v>
      </c>
      <c r="K29" s="11">
        <f t="shared" si="4"/>
        <v>2.3300000000000098E-2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11"/>
      <c r="H30" s="10"/>
      <c r="I30" s="10">
        <f t="shared" si="5"/>
        <v>2663</v>
      </c>
      <c r="J30" s="10">
        <f t="shared" si="3"/>
        <v>18733396575.511276</v>
      </c>
      <c r="K30" s="11">
        <f t="shared" si="4"/>
        <v>2.3599999999999843E-2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11"/>
      <c r="H31" s="10"/>
      <c r="I31" s="10">
        <f t="shared" si="5"/>
        <v>2663</v>
      </c>
      <c r="J31" s="10">
        <f t="shared" si="3"/>
        <v>18301481609.526455</v>
      </c>
      <c r="K31" s="11">
        <f t="shared" si="4"/>
        <v>2.4000000000000021E-2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11"/>
      <c r="H32" s="10"/>
      <c r="I32" s="10">
        <f t="shared" si="5"/>
        <v>2663</v>
      </c>
      <c r="J32" s="10">
        <f t="shared" si="3"/>
        <v>17872540634.303177</v>
      </c>
      <c r="K32" s="11">
        <f t="shared" si="4"/>
        <v>2.4400000000000199E-2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11"/>
      <c r="H33" s="10"/>
      <c r="I33" s="10">
        <f t="shared" si="5"/>
        <v>2663</v>
      </c>
      <c r="J33" s="10">
        <f t="shared" si="3"/>
        <v>17446837792.174126</v>
      </c>
      <c r="K33" s="11">
        <f t="shared" si="4"/>
        <v>2.4799999999999933E-2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11"/>
      <c r="H34" s="10"/>
      <c r="I34" s="10">
        <f t="shared" si="5"/>
        <v>2663</v>
      </c>
      <c r="J34" s="10">
        <f t="shared" ref="J34:J65" si="6">IF(I34="","",I34*C34)</f>
        <v>17024627041.54384</v>
      </c>
      <c r="K34" s="11">
        <f t="shared" ref="K34:K65" si="7">IFERROR(J34/J35-1,"")</f>
        <v>2.5199999999999889E-2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11"/>
      <c r="H35" s="10"/>
      <c r="I35" s="10">
        <f t="shared" ref="I35:I66" si="8">IF(H35&lt;&gt;"",H35,I34/(1+IF(G34="",0,G34)))</f>
        <v>2663</v>
      </c>
      <c r="J35" s="10">
        <f t="shared" si="6"/>
        <v>16606152010.869921</v>
      </c>
      <c r="K35" s="11">
        <f t="shared" si="7"/>
        <v>2.5600000000000067E-2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11"/>
      <c r="H36" s="10"/>
      <c r="I36" s="10">
        <f t="shared" si="8"/>
        <v>2663</v>
      </c>
      <c r="J36" s="10">
        <f t="shared" si="6"/>
        <v>16191645876.433229</v>
      </c>
      <c r="K36" s="11">
        <f t="shared" si="7"/>
        <v>2.6000000000000023E-2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11"/>
      <c r="H37" s="10"/>
      <c r="I37" s="10">
        <f t="shared" si="8"/>
        <v>2663</v>
      </c>
      <c r="J37" s="10">
        <f t="shared" si="6"/>
        <v>15781331263.580145</v>
      </c>
      <c r="K37" s="11">
        <f t="shared" si="7"/>
        <v>2.6499999999999968E-2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11"/>
      <c r="H38" s="10"/>
      <c r="I38" s="10">
        <f t="shared" si="8"/>
        <v>2663</v>
      </c>
      <c r="J38" s="10">
        <f t="shared" si="6"/>
        <v>15373922322.045927</v>
      </c>
      <c r="K38" s="11">
        <f t="shared" si="7"/>
        <v>2.6899999999999924E-2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11"/>
      <c r="H39" s="10"/>
      <c r="I39" s="10">
        <f t="shared" si="8"/>
        <v>2663</v>
      </c>
      <c r="J39" s="10">
        <f t="shared" si="6"/>
        <v>14971197119.530558</v>
      </c>
      <c r="K39" s="11">
        <f t="shared" si="7"/>
        <v>2.7400000000000091E-2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11"/>
      <c r="H40" s="10"/>
      <c r="I40" s="10">
        <f t="shared" si="8"/>
        <v>2663</v>
      </c>
      <c r="J40" s="10">
        <f t="shared" si="6"/>
        <v>14571926337.872841</v>
      </c>
      <c r="K40" s="11">
        <f t="shared" si="7"/>
        <v>2.7799999999999825E-2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11"/>
      <c r="H41" s="10"/>
      <c r="I41" s="10">
        <f t="shared" si="8"/>
        <v>2663</v>
      </c>
      <c r="J41" s="10">
        <f t="shared" si="6"/>
        <v>14177783944.223431</v>
      </c>
      <c r="K41" s="11">
        <f t="shared" si="7"/>
        <v>2.8200000000000003E-2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11"/>
      <c r="H42" s="10"/>
      <c r="I42" s="10">
        <f t="shared" si="8"/>
        <v>2663</v>
      </c>
      <c r="J42" s="10">
        <f t="shared" si="6"/>
        <v>13788935950.421543</v>
      </c>
      <c r="K42" s="11">
        <f t="shared" si="7"/>
        <v>2.8599999999999959E-2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11"/>
      <c r="H43" s="10"/>
      <c r="I43" s="10">
        <f t="shared" si="8"/>
        <v>2663</v>
      </c>
      <c r="J43" s="10">
        <f t="shared" si="6"/>
        <v>13405537575.754951</v>
      </c>
      <c r="K43" s="11">
        <f t="shared" si="7"/>
        <v>2.8999999999999915E-2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11"/>
      <c r="H44" s="10"/>
      <c r="I44" s="10">
        <f t="shared" si="8"/>
        <v>2663</v>
      </c>
      <c r="J44" s="10">
        <f t="shared" si="6"/>
        <v>13027733309.771578</v>
      </c>
      <c r="K44" s="11">
        <f t="shared" si="7"/>
        <v>2.9400000000000093E-2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11"/>
      <c r="H45" s="10"/>
      <c r="I45" s="10">
        <f t="shared" si="8"/>
        <v>2663</v>
      </c>
      <c r="J45" s="10">
        <f t="shared" si="6"/>
        <v>12655656994.143751</v>
      </c>
      <c r="K45" s="11">
        <f t="shared" si="7"/>
        <v>2.970000000000006E-2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11"/>
      <c r="H46" s="10"/>
      <c r="I46" s="10">
        <f t="shared" si="8"/>
        <v>2663</v>
      </c>
      <c r="J46" s="10">
        <f t="shared" si="6"/>
        <v>12290625419.193699</v>
      </c>
      <c r="K46" s="11">
        <f t="shared" si="7"/>
        <v>2.990000000000026E-2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11"/>
      <c r="H47" s="10"/>
      <c r="I47" s="10">
        <f t="shared" si="8"/>
        <v>2663</v>
      </c>
      <c r="J47" s="10">
        <f t="shared" si="6"/>
        <v>11933804659.86377</v>
      </c>
      <c r="K47" s="11">
        <f t="shared" si="7"/>
        <v>3.0100000000000016E-2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11"/>
      <c r="H48" s="10"/>
      <c r="I48" s="10">
        <f t="shared" si="8"/>
        <v>2663</v>
      </c>
      <c r="J48" s="10">
        <f t="shared" si="6"/>
        <v>11585093350.027929</v>
      </c>
      <c r="K48" s="11">
        <f t="shared" si="7"/>
        <v>3.0200000000000005E-2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11"/>
      <c r="H49" s="10"/>
      <c r="I49" s="10">
        <f t="shared" si="8"/>
        <v>2663</v>
      </c>
      <c r="J49" s="10">
        <f t="shared" si="6"/>
        <v>11245479858.307056</v>
      </c>
      <c r="K49" s="11">
        <f t="shared" si="7"/>
        <v>3.0299999999999994E-2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11"/>
      <c r="H50" s="10"/>
      <c r="I50" s="10">
        <f t="shared" si="8"/>
        <v>2663</v>
      </c>
      <c r="J50" s="10">
        <f t="shared" si="6"/>
        <v>10914762552.952593</v>
      </c>
      <c r="K50" s="11">
        <f t="shared" si="7"/>
        <v>3.0299999999999994E-2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11"/>
      <c r="H51" s="10"/>
      <c r="I51" s="10">
        <f t="shared" si="8"/>
        <v>2663</v>
      </c>
      <c r="J51" s="10">
        <f t="shared" si="6"/>
        <v>10593771283.075409</v>
      </c>
      <c r="K51" s="11">
        <f t="shared" si="7"/>
        <v>3.0200000000000005E-2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11"/>
      <c r="H52" s="10"/>
      <c r="I52" s="10">
        <f t="shared" si="8"/>
        <v>2663</v>
      </c>
      <c r="J52" s="10">
        <f t="shared" si="6"/>
        <v>10283218096.559319</v>
      </c>
      <c r="K52" s="11">
        <f t="shared" si="7"/>
        <v>3.0100000000000016E-2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11"/>
      <c r="H53" s="10"/>
      <c r="I53" s="10">
        <f t="shared" si="8"/>
        <v>2663</v>
      </c>
      <c r="J53" s="10">
        <f t="shared" si="6"/>
        <v>9982737692.0292377</v>
      </c>
      <c r="K53" s="11">
        <f t="shared" si="7"/>
        <v>2.990000000000026E-2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11"/>
      <c r="H54" s="10"/>
      <c r="I54" s="10">
        <f t="shared" si="8"/>
        <v>2663</v>
      </c>
      <c r="J54" s="10">
        <f t="shared" si="6"/>
        <v>9692919401.9120655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11"/>
      <c r="H55" s="10"/>
      <c r="I55" s="10">
        <f t="shared" si="8"/>
        <v>2663</v>
      </c>
      <c r="J55" s="10">
        <f t="shared" si="6"/>
        <v>9413343111.5004997</v>
      </c>
      <c r="K55" s="11">
        <f t="shared" si="7"/>
        <v>2.9399999999999871E-2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11"/>
      <c r="H56" s="10"/>
      <c r="I56" s="10">
        <f t="shared" si="8"/>
        <v>2663</v>
      </c>
      <c r="J56" s="10">
        <f t="shared" si="6"/>
        <v>9144494959.6857395</v>
      </c>
      <c r="K56" s="11">
        <f t="shared" si="7"/>
        <v>2.9200000000000115E-2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11"/>
      <c r="H57" s="10"/>
      <c r="I57" s="10">
        <f t="shared" si="8"/>
        <v>2663</v>
      </c>
      <c r="J57" s="10">
        <f t="shared" si="6"/>
        <v>8885051457.1373291</v>
      </c>
      <c r="K57" s="11">
        <f t="shared" si="7"/>
        <v>2.8899999999999926E-2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11"/>
      <c r="H58" s="10"/>
      <c r="I58" s="10">
        <f t="shared" si="8"/>
        <v>2663</v>
      </c>
      <c r="J58" s="10">
        <f t="shared" si="6"/>
        <v>8635485914.2164745</v>
      </c>
      <c r="K58" s="11">
        <f t="shared" si="7"/>
        <v>2.8699999999999948E-2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11"/>
      <c r="H59" s="10"/>
      <c r="I59" s="10">
        <f t="shared" si="8"/>
        <v>2663</v>
      </c>
      <c r="J59" s="10">
        <f t="shared" si="6"/>
        <v>8394561985.2400837</v>
      </c>
      <c r="K59" s="11">
        <f t="shared" si="7"/>
        <v>2.8399999999999981E-2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11"/>
      <c r="H60" s="10"/>
      <c r="I60" s="10">
        <f t="shared" si="8"/>
        <v>2663</v>
      </c>
      <c r="J60" s="10">
        <f t="shared" si="6"/>
        <v>8162740164.5663986</v>
      </c>
      <c r="K60" s="11">
        <f t="shared" si="7"/>
        <v>2.8200000000000003E-2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11"/>
      <c r="H61" s="10"/>
      <c r="I61" s="10">
        <f t="shared" si="8"/>
        <v>2663</v>
      </c>
      <c r="J61" s="10">
        <f t="shared" si="6"/>
        <v>7938864194.2874918</v>
      </c>
      <c r="K61" s="11">
        <f t="shared" si="7"/>
        <v>2.7900000000000036E-2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11"/>
      <c r="H62" s="10"/>
      <c r="I62" s="10">
        <f t="shared" si="8"/>
        <v>2663</v>
      </c>
      <c r="J62" s="10">
        <f t="shared" si="6"/>
        <v>7723381840.9256659</v>
      </c>
      <c r="K62" s="11">
        <f t="shared" si="7"/>
        <v>2.7600000000000069E-2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11"/>
      <c r="H63" s="10"/>
      <c r="I63" s="10">
        <f t="shared" si="8"/>
        <v>2663</v>
      </c>
      <c r="J63" s="10">
        <f t="shared" si="6"/>
        <v>7515941845.9767084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11"/>
      <c r="H64" s="10"/>
      <c r="I64" s="10">
        <f t="shared" si="8"/>
        <v>2663</v>
      </c>
      <c r="J64" s="10">
        <f t="shared" si="6"/>
        <v>7316209331.2340193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11"/>
      <c r="H65" s="10"/>
      <c r="I65" s="10">
        <f t="shared" si="8"/>
        <v>2663</v>
      </c>
      <c r="J65" s="10">
        <f t="shared" si="6"/>
        <v>7123864976.8588314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6">
        <f>SUM(F2)</f>
        <v>11838201</v>
      </c>
      <c r="G66" s="11"/>
      <c r="H66" s="10"/>
      <c r="I66" s="10">
        <f t="shared" si="8"/>
        <v>2663</v>
      </c>
      <c r="J66" s="10">
        <f t="shared" ref="J66:J97" si="9">IF(I66="","",I66*C66)</f>
        <v>6937928493.2399998</v>
      </c>
      <c r="K66" s="11">
        <f t="shared" ref="K66:K97" si="10">IFERROR(J66/J67-1,"")</f>
        <v>2.6599999999999957E-2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11"/>
      <c r="H67" s="10"/>
      <c r="I67" s="10">
        <f t="shared" ref="I67:I98" si="11">IF(H67&lt;&gt;"",H67,I66/(1+IF(G66="",0,G66)))</f>
        <v>2663</v>
      </c>
      <c r="J67" s="10">
        <f t="shared" si="9"/>
        <v>6758161400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5">
        <v>2549416</v>
      </c>
      <c r="G2" s="11"/>
      <c r="H2" s="10"/>
      <c r="I2" s="10">
        <f>IF(H2&lt;&gt;"",H2,1905)</f>
        <v>1905</v>
      </c>
      <c r="J2" s="10">
        <f t="shared" ref="J2:J33" si="3">IF(I2="","",I2*C2)</f>
        <v>4853605368.477994</v>
      </c>
      <c r="K2" s="11">
        <f t="shared" ref="K2:K33" si="4">IFERROR(J2/J3-1,"")</f>
        <v>2.8899999999999926E-2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11"/>
      <c r="H3" s="10"/>
      <c r="I3" s="10">
        <f t="shared" ref="I3:I34" si="5">IF(H3&lt;&gt;"",H3,I2/(1+IF(G2="",0,G2)))</f>
        <v>1905</v>
      </c>
      <c r="J3" s="10">
        <f t="shared" si="3"/>
        <v>4717276089.4916849</v>
      </c>
      <c r="K3" s="11">
        <f t="shared" si="4"/>
        <v>2.9400000000000093E-2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11"/>
      <c r="H4" s="10"/>
      <c r="I4" s="10">
        <f t="shared" si="5"/>
        <v>1905</v>
      </c>
      <c r="J4" s="10">
        <f t="shared" si="3"/>
        <v>4582549144.6392889</v>
      </c>
      <c r="K4" s="11">
        <f t="shared" si="4"/>
        <v>2.9800000000000049E-2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11"/>
      <c r="H5" s="10"/>
      <c r="I5" s="10">
        <f t="shared" si="5"/>
        <v>1905</v>
      </c>
      <c r="J5" s="10">
        <f t="shared" si="3"/>
        <v>4449940905.6508923</v>
      </c>
      <c r="K5" s="11">
        <f t="shared" si="4"/>
        <v>3.0100000000000016E-2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11"/>
      <c r="H6" s="10"/>
      <c r="I6" s="10">
        <f t="shared" si="5"/>
        <v>1905</v>
      </c>
      <c r="J6" s="10">
        <f t="shared" si="3"/>
        <v>4319911567.4700441</v>
      </c>
      <c r="K6" s="11">
        <f t="shared" si="4"/>
        <v>3.0299999999999994E-2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11"/>
      <c r="H7" s="10"/>
      <c r="I7" s="10">
        <f t="shared" si="5"/>
        <v>1905</v>
      </c>
      <c r="J7" s="10">
        <f t="shared" si="3"/>
        <v>4192867676.8611517</v>
      </c>
      <c r="K7" s="11">
        <f t="shared" si="4"/>
        <v>3.0299999999999994E-2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11"/>
      <c r="H8" s="10"/>
      <c r="I8" s="10">
        <f t="shared" si="5"/>
        <v>1905</v>
      </c>
      <c r="J8" s="10">
        <f t="shared" si="3"/>
        <v>4069560008.6005549</v>
      </c>
      <c r="K8" s="11">
        <f t="shared" si="4"/>
        <v>3.0300000000000216E-2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11"/>
      <c r="H9" s="10"/>
      <c r="I9" s="10">
        <f t="shared" si="5"/>
        <v>1905</v>
      </c>
      <c r="J9" s="10">
        <f t="shared" si="3"/>
        <v>3949878684.4613748</v>
      </c>
      <c r="K9" s="11">
        <f t="shared" si="4"/>
        <v>3.0200000000000005E-2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11"/>
      <c r="H10" s="10"/>
      <c r="I10" s="10">
        <f t="shared" si="5"/>
        <v>1905</v>
      </c>
      <c r="J10" s="10">
        <f t="shared" si="3"/>
        <v>3834089190.8963065</v>
      </c>
      <c r="K10" s="11">
        <f t="shared" si="4"/>
        <v>3.0000000000000027E-2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11"/>
      <c r="H11" s="10"/>
      <c r="I11" s="10">
        <f t="shared" si="5"/>
        <v>1905</v>
      </c>
      <c r="J11" s="10">
        <f t="shared" si="3"/>
        <v>3722416690.190589</v>
      </c>
      <c r="K11" s="11">
        <f t="shared" si="4"/>
        <v>2.9700000000000282E-2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11"/>
      <c r="H12" s="10"/>
      <c r="I12" s="10">
        <f t="shared" si="5"/>
        <v>1905</v>
      </c>
      <c r="J12" s="10">
        <f t="shared" si="3"/>
        <v>3615049713.6938801</v>
      </c>
      <c r="K12" s="11">
        <f t="shared" si="4"/>
        <v>2.9300000000000104E-2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11"/>
      <c r="H13" s="10"/>
      <c r="I13" s="10">
        <f t="shared" si="5"/>
        <v>1905</v>
      </c>
      <c r="J13" s="10">
        <f t="shared" si="3"/>
        <v>3512143897.4972115</v>
      </c>
      <c r="K13" s="11">
        <f t="shared" si="4"/>
        <v>2.9099999999999682E-2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11"/>
      <c r="H14" s="10"/>
      <c r="I14" s="10">
        <f t="shared" si="5"/>
        <v>1905</v>
      </c>
      <c r="J14" s="10">
        <f t="shared" si="3"/>
        <v>3412830529.1003909</v>
      </c>
      <c r="K14" s="11">
        <f t="shared" si="4"/>
        <v>2.9199999999999893E-2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11"/>
      <c r="H15" s="10"/>
      <c r="I15" s="10">
        <f t="shared" si="5"/>
        <v>1905</v>
      </c>
      <c r="J15" s="10">
        <f t="shared" si="3"/>
        <v>3316003234.6486506</v>
      </c>
      <c r="K15" s="11">
        <f t="shared" si="4"/>
        <v>2.9400000000000093E-2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11"/>
      <c r="H16" s="10"/>
      <c r="I16" s="10">
        <f t="shared" si="5"/>
        <v>1905</v>
      </c>
      <c r="J16" s="10">
        <f t="shared" si="3"/>
        <v>3221297099.9112592</v>
      </c>
      <c r="K16" s="11">
        <f t="shared" si="4"/>
        <v>2.9699999999999838E-2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11"/>
      <c r="H17" s="10"/>
      <c r="I17" s="10">
        <f t="shared" si="5"/>
        <v>1905</v>
      </c>
      <c r="J17" s="10">
        <f t="shared" si="3"/>
        <v>3128384092.3679318</v>
      </c>
      <c r="K17" s="11">
        <f t="shared" si="4"/>
        <v>2.990000000000026E-2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11"/>
      <c r="H18" s="10"/>
      <c r="I18" s="10">
        <f t="shared" si="5"/>
        <v>1905</v>
      </c>
      <c r="J18" s="10">
        <f t="shared" si="3"/>
        <v>3037561017.9317713</v>
      </c>
      <c r="K18" s="11">
        <f t="shared" si="4"/>
        <v>2.9900000000000038E-2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11"/>
      <c r="H19" s="10"/>
      <c r="I19" s="10">
        <f t="shared" si="5"/>
        <v>1905</v>
      </c>
      <c r="J19" s="10">
        <f t="shared" si="3"/>
        <v>2949374713.9836597</v>
      </c>
      <c r="K19" s="11">
        <f t="shared" si="4"/>
        <v>2.9699999999999838E-2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11"/>
      <c r="H20" s="10"/>
      <c r="I20" s="10">
        <f t="shared" si="5"/>
        <v>1905</v>
      </c>
      <c r="J20" s="10">
        <f t="shared" si="3"/>
        <v>2864304859.6519957</v>
      </c>
      <c r="K20" s="11">
        <f t="shared" si="4"/>
        <v>2.9300000000000104E-2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11"/>
      <c r="H21" s="10"/>
      <c r="I21" s="10">
        <f t="shared" si="5"/>
        <v>1905</v>
      </c>
      <c r="J21" s="10">
        <f t="shared" si="3"/>
        <v>2782769707.2301521</v>
      </c>
      <c r="K21" s="11">
        <f t="shared" si="4"/>
        <v>2.9100000000000126E-2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11"/>
      <c r="H22" s="10"/>
      <c r="I22" s="10">
        <f t="shared" si="5"/>
        <v>1905</v>
      </c>
      <c r="J22" s="10">
        <f t="shared" si="3"/>
        <v>2704080951.5403285</v>
      </c>
      <c r="K22" s="11">
        <f t="shared" si="4"/>
        <v>2.9199999999999893E-2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11"/>
      <c r="H23" s="10"/>
      <c r="I23" s="10">
        <f t="shared" si="5"/>
        <v>1905</v>
      </c>
      <c r="J23" s="10">
        <f t="shared" si="3"/>
        <v>2627361981.6754069</v>
      </c>
      <c r="K23" s="11">
        <f t="shared" si="4"/>
        <v>2.9999999999999805E-2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11"/>
      <c r="H24" s="10"/>
      <c r="I24" s="10">
        <f t="shared" si="5"/>
        <v>1905</v>
      </c>
      <c r="J24" s="10">
        <f t="shared" si="3"/>
        <v>2550836875.4130168</v>
      </c>
      <c r="K24" s="11">
        <f t="shared" si="4"/>
        <v>3.1700000000000061E-2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11"/>
      <c r="H25" s="10"/>
      <c r="I25" s="10">
        <f t="shared" si="5"/>
        <v>1905</v>
      </c>
      <c r="J25" s="10">
        <f t="shared" si="3"/>
        <v>2472459896.6880069</v>
      </c>
      <c r="K25" s="11">
        <f t="shared" si="4"/>
        <v>3.400000000000003E-2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11"/>
      <c r="H26" s="10"/>
      <c r="I26" s="10">
        <f t="shared" si="5"/>
        <v>1905</v>
      </c>
      <c r="J26" s="10">
        <f t="shared" si="3"/>
        <v>2391160441.6711864</v>
      </c>
      <c r="K26" s="11">
        <f t="shared" si="4"/>
        <v>3.6599999999999966E-2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11"/>
      <c r="H27" s="10"/>
      <c r="I27" s="10">
        <f t="shared" si="5"/>
        <v>1905</v>
      </c>
      <c r="J27" s="10">
        <f t="shared" si="3"/>
        <v>2306733978.0736895</v>
      </c>
      <c r="K27" s="11">
        <f t="shared" si="4"/>
        <v>3.9100000000000135E-2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11"/>
      <c r="H28" s="10"/>
      <c r="I28" s="10">
        <f t="shared" si="5"/>
        <v>1905</v>
      </c>
      <c r="J28" s="10">
        <f t="shared" si="3"/>
        <v>2219934537.651515</v>
      </c>
      <c r="K28" s="11">
        <f t="shared" si="4"/>
        <v>4.149999999999987E-2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11"/>
      <c r="H29" s="10"/>
      <c r="I29" s="10">
        <f t="shared" si="5"/>
        <v>1905</v>
      </c>
      <c r="J29" s="10">
        <f t="shared" si="3"/>
        <v>2131478192.6562796</v>
      </c>
      <c r="K29" s="11">
        <f t="shared" si="4"/>
        <v>4.3600000000000083E-2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11"/>
      <c r="H30" s="10"/>
      <c r="I30" s="10">
        <f t="shared" si="5"/>
        <v>1905</v>
      </c>
      <c r="J30" s="10">
        <f t="shared" si="3"/>
        <v>2042428317.9918354</v>
      </c>
      <c r="K30" s="11">
        <f t="shared" si="4"/>
        <v>4.5499999999999874E-2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11"/>
      <c r="H31" s="10"/>
      <c r="I31" s="10">
        <f t="shared" si="5"/>
        <v>1905</v>
      </c>
      <c r="J31" s="10">
        <f t="shared" si="3"/>
        <v>1953542150.1595747</v>
      </c>
      <c r="K31" s="11">
        <f t="shared" si="4"/>
        <v>4.6999999999999931E-2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11"/>
      <c r="H32" s="10"/>
      <c r="I32" s="10">
        <f t="shared" si="5"/>
        <v>1905</v>
      </c>
      <c r="J32" s="10">
        <f t="shared" si="3"/>
        <v>1865847325.844866</v>
      </c>
      <c r="K32" s="11">
        <f t="shared" si="4"/>
        <v>4.6699999999999964E-2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11"/>
      <c r="H33" s="10"/>
      <c r="I33" s="10">
        <f t="shared" si="5"/>
        <v>1905</v>
      </c>
      <c r="J33" s="10">
        <f t="shared" si="3"/>
        <v>1782599910.0457306</v>
      </c>
      <c r="K33" s="11">
        <f t="shared" si="4"/>
        <v>4.4699999999999962E-2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11"/>
      <c r="H34" s="10"/>
      <c r="I34" s="10">
        <f t="shared" si="5"/>
        <v>1905</v>
      </c>
      <c r="J34" s="10">
        <f t="shared" ref="J34:J65" si="6">IF(I34="","",I34*C34)</f>
        <v>1706327089.1602669</v>
      </c>
      <c r="K34" s="11">
        <f t="shared" ref="K34:K65" si="7">IFERROR(J34/J35-1,"")</f>
        <v>4.1199999999999903E-2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11"/>
      <c r="H35" s="10"/>
      <c r="I35" s="10">
        <f t="shared" ref="I35:I66" si="8">IF(H35&lt;&gt;"",H35,I34/(1+IF(G34="",0,G34)))</f>
        <v>1905</v>
      </c>
      <c r="J35" s="10">
        <f t="shared" si="6"/>
        <v>1638808191.6637218</v>
      </c>
      <c r="K35" s="11">
        <f t="shared" si="7"/>
        <v>3.7300000000000111E-2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11"/>
      <c r="H36" s="10"/>
      <c r="I36" s="10">
        <f t="shared" si="8"/>
        <v>1905</v>
      </c>
      <c r="J36" s="10">
        <f t="shared" si="6"/>
        <v>1579878715.5728543</v>
      </c>
      <c r="K36" s="11">
        <f t="shared" si="7"/>
        <v>3.3700000000000063E-2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11"/>
      <c r="H37" s="10"/>
      <c r="I37" s="10">
        <f t="shared" si="8"/>
        <v>1905</v>
      </c>
      <c r="J37" s="10">
        <f t="shared" si="6"/>
        <v>1528372560.2910459</v>
      </c>
      <c r="K37" s="11">
        <f t="shared" si="7"/>
        <v>3.0799999999999939E-2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11"/>
      <c r="H38" s="10"/>
      <c r="I38" s="10">
        <f t="shared" si="8"/>
        <v>1905</v>
      </c>
      <c r="J38" s="10">
        <f t="shared" si="6"/>
        <v>1482705238.9319422</v>
      </c>
      <c r="K38" s="11">
        <f t="shared" si="7"/>
        <v>2.8699999999999948E-2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11"/>
      <c r="H39" s="10"/>
      <c r="I39" s="10">
        <f t="shared" si="8"/>
        <v>1905</v>
      </c>
      <c r="J39" s="10">
        <f t="shared" si="6"/>
        <v>1441338814.9430761</v>
      </c>
      <c r="K39" s="11">
        <f t="shared" si="7"/>
        <v>2.750000000000008E-2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11"/>
      <c r="H40" s="10"/>
      <c r="I40" s="10">
        <f t="shared" si="8"/>
        <v>1905</v>
      </c>
      <c r="J40" s="10">
        <f t="shared" si="6"/>
        <v>1402762836.927568</v>
      </c>
      <c r="K40" s="11">
        <f t="shared" si="7"/>
        <v>2.7099999999999902E-2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11"/>
      <c r="H41" s="10"/>
      <c r="I41" s="10">
        <f t="shared" si="8"/>
        <v>1905</v>
      </c>
      <c r="J41" s="10">
        <f t="shared" si="6"/>
        <v>1365750985.2278922</v>
      </c>
      <c r="K41" s="11">
        <f t="shared" si="7"/>
        <v>2.7400000000000313E-2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11"/>
      <c r="H42" s="10"/>
      <c r="I42" s="10">
        <f t="shared" si="8"/>
        <v>1905</v>
      </c>
      <c r="J42" s="10">
        <f t="shared" si="6"/>
        <v>1329327414.0820439</v>
      </c>
      <c r="K42" s="11">
        <f t="shared" si="7"/>
        <v>2.8200000000000003E-2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11"/>
      <c r="H43" s="10"/>
      <c r="I43" s="10">
        <f t="shared" si="8"/>
        <v>1905</v>
      </c>
      <c r="J43" s="10">
        <f t="shared" si="6"/>
        <v>1292868521.7681811</v>
      </c>
      <c r="K43" s="11">
        <f t="shared" si="7"/>
        <v>2.8999999999999915E-2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11"/>
      <c r="H44" s="10"/>
      <c r="I44" s="10">
        <f t="shared" si="8"/>
        <v>1905</v>
      </c>
      <c r="J44" s="10">
        <f t="shared" si="6"/>
        <v>1256431993.9438107</v>
      </c>
      <c r="K44" s="11">
        <f t="shared" si="7"/>
        <v>2.970000000000006E-2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11"/>
      <c r="H45" s="10"/>
      <c r="I45" s="10">
        <f t="shared" si="8"/>
        <v>1905</v>
      </c>
      <c r="J45" s="10">
        <f t="shared" si="6"/>
        <v>1220192283.1347098</v>
      </c>
      <c r="K45" s="11">
        <f t="shared" si="7"/>
        <v>3.0100000000000016E-2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11"/>
      <c r="H46" s="10"/>
      <c r="I46" s="10">
        <f t="shared" si="8"/>
        <v>1905</v>
      </c>
      <c r="J46" s="10">
        <f t="shared" si="6"/>
        <v>1184537698.4124937</v>
      </c>
      <c r="K46" s="11">
        <f t="shared" si="7"/>
        <v>3.0100000000000016E-2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11"/>
      <c r="H47" s="10"/>
      <c r="I47" s="10">
        <f t="shared" si="8"/>
        <v>1905</v>
      </c>
      <c r="J47" s="10">
        <f t="shared" si="6"/>
        <v>1149924957.2007511</v>
      </c>
      <c r="K47" s="11">
        <f t="shared" si="7"/>
        <v>2.9800000000000049E-2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11"/>
      <c r="H48" s="10"/>
      <c r="I48" s="10">
        <f t="shared" si="8"/>
        <v>1905</v>
      </c>
      <c r="J48" s="10">
        <f t="shared" si="6"/>
        <v>1116648822.2963207</v>
      </c>
      <c r="K48" s="11">
        <f t="shared" si="7"/>
        <v>2.9300000000000104E-2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11"/>
      <c r="H49" s="10"/>
      <c r="I49" s="10">
        <f t="shared" si="8"/>
        <v>1905</v>
      </c>
      <c r="J49" s="10">
        <f t="shared" si="6"/>
        <v>1084862355.2864282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11"/>
      <c r="H50" s="10"/>
      <c r="I50" s="10">
        <f t="shared" si="8"/>
        <v>1905</v>
      </c>
      <c r="J50" s="10">
        <f t="shared" si="6"/>
        <v>1054697992.6953415</v>
      </c>
      <c r="K50" s="11">
        <f t="shared" si="7"/>
        <v>2.7900000000000036E-2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11"/>
      <c r="H51" s="10"/>
      <c r="I51" s="10">
        <f t="shared" si="8"/>
        <v>1905</v>
      </c>
      <c r="J51" s="10">
        <f t="shared" si="6"/>
        <v>1026070622.3322711</v>
      </c>
      <c r="K51" s="11">
        <f t="shared" si="7"/>
        <v>2.7200000000000113E-2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11"/>
      <c r="H52" s="10"/>
      <c r="I52" s="10">
        <f t="shared" si="8"/>
        <v>1905</v>
      </c>
      <c r="J52" s="10">
        <f t="shared" si="6"/>
        <v>998900527.97144771</v>
      </c>
      <c r="K52" s="11">
        <f t="shared" si="7"/>
        <v>2.6499999999999968E-2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11"/>
      <c r="H53" s="10"/>
      <c r="I53" s="10">
        <f t="shared" si="8"/>
        <v>1905</v>
      </c>
      <c r="J53" s="10">
        <f t="shared" si="6"/>
        <v>973113032.60735297</v>
      </c>
      <c r="K53" s="11">
        <f t="shared" si="7"/>
        <v>2.5700000000000056E-2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11"/>
      <c r="H54" s="10"/>
      <c r="I54" s="10">
        <f t="shared" si="8"/>
        <v>1905</v>
      </c>
      <c r="J54" s="10">
        <f t="shared" si="6"/>
        <v>948730654.77951932</v>
      </c>
      <c r="K54" s="11">
        <f t="shared" si="7"/>
        <v>2.4999999999999911E-2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11"/>
      <c r="H55" s="10"/>
      <c r="I55" s="10">
        <f t="shared" si="8"/>
        <v>1905</v>
      </c>
      <c r="J55" s="10">
        <f t="shared" si="6"/>
        <v>925590882.71172619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11"/>
      <c r="H56" s="10"/>
      <c r="I56" s="10">
        <f t="shared" si="8"/>
        <v>1905</v>
      </c>
      <c r="J56" s="10">
        <f t="shared" si="6"/>
        <v>903544399.36716735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11"/>
      <c r="H57" s="10"/>
      <c r="I57" s="10">
        <f t="shared" si="8"/>
        <v>1905</v>
      </c>
      <c r="J57" s="10">
        <f t="shared" si="6"/>
        <v>882626159.38963294</v>
      </c>
      <c r="K57" s="11">
        <f t="shared" si="7"/>
        <v>2.3099999999999898E-2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11"/>
      <c r="H58" s="10"/>
      <c r="I58" s="10">
        <f t="shared" si="8"/>
        <v>1905</v>
      </c>
      <c r="J58" s="10">
        <f t="shared" si="6"/>
        <v>862697839.30176234</v>
      </c>
      <c r="K58" s="11">
        <f t="shared" si="7"/>
        <v>2.2499999999999964E-2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11"/>
      <c r="H59" s="10"/>
      <c r="I59" s="10">
        <f t="shared" si="8"/>
        <v>1905</v>
      </c>
      <c r="J59" s="10">
        <f t="shared" si="6"/>
        <v>843714268.26578236</v>
      </c>
      <c r="K59" s="11">
        <f t="shared" si="7"/>
        <v>2.1900000000000253E-2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11"/>
      <c r="H60" s="10"/>
      <c r="I60" s="10">
        <f t="shared" si="8"/>
        <v>1905</v>
      </c>
      <c r="J60" s="10">
        <f t="shared" si="6"/>
        <v>825632907.58957064</v>
      </c>
      <c r="K60" s="11">
        <f t="shared" si="7"/>
        <v>2.1300000000000097E-2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11"/>
      <c r="H61" s="10"/>
      <c r="I61" s="10">
        <f t="shared" si="8"/>
        <v>1905</v>
      </c>
      <c r="J61" s="10">
        <f t="shared" si="6"/>
        <v>808413695.8675909</v>
      </c>
      <c r="K61" s="11">
        <f t="shared" si="7"/>
        <v>2.0699999999999941E-2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11"/>
      <c r="H62" s="10"/>
      <c r="I62" s="10">
        <f t="shared" si="8"/>
        <v>1905</v>
      </c>
      <c r="J62" s="10">
        <f t="shared" si="6"/>
        <v>792018904.54353964</v>
      </c>
      <c r="K62" s="11">
        <f t="shared" si="7"/>
        <v>2.0000000000000018E-2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11"/>
      <c r="H63" s="10"/>
      <c r="I63" s="10">
        <f t="shared" si="8"/>
        <v>1905</v>
      </c>
      <c r="J63" s="10">
        <f t="shared" si="6"/>
        <v>776489122.10150945</v>
      </c>
      <c r="K63" s="11">
        <f t="shared" si="7"/>
        <v>1.9400000000000084E-2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11"/>
      <c r="H64" s="10"/>
      <c r="I64" s="10">
        <f t="shared" si="8"/>
        <v>1905</v>
      </c>
      <c r="J64" s="10">
        <f t="shared" si="6"/>
        <v>761711911.02757442</v>
      </c>
      <c r="K64" s="11">
        <f t="shared" si="7"/>
        <v>1.8699999999999939E-2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11"/>
      <c r="H65" s="10"/>
      <c r="I65" s="10">
        <f t="shared" si="8"/>
        <v>1905</v>
      </c>
      <c r="J65" s="10">
        <f t="shared" si="6"/>
        <v>747729371.77537501</v>
      </c>
      <c r="K65" s="11">
        <f t="shared" si="7"/>
        <v>1.8100000000000005E-2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6">
        <f>SUM(F2)</f>
        <v>2549416</v>
      </c>
      <c r="G66" s="11"/>
      <c r="H66" s="10"/>
      <c r="I66" s="10">
        <f t="shared" si="8"/>
        <v>1905</v>
      </c>
      <c r="J66" s="10">
        <f t="shared" ref="J66:J97" si="9">IF(I66="","",I66*C66)</f>
        <v>734436078.75</v>
      </c>
      <c r="K66" s="11">
        <f t="shared" ref="K66:K97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11"/>
      <c r="H67" s="10"/>
      <c r="I67" s="10">
        <f t="shared" ref="I67:I98" si="11">IF(H67&lt;&gt;"",H67,I66/(1+IF(G66="",0,G66)))</f>
        <v>1905</v>
      </c>
      <c r="J67" s="10">
        <f t="shared" si="9"/>
        <v>721804500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5">
        <v>18288844</v>
      </c>
      <c r="G2" s="11"/>
      <c r="H2" s="10"/>
      <c r="I2" s="10">
        <f>IF(H2&lt;&gt;"",H2,7500)</f>
        <v>7500</v>
      </c>
      <c r="J2" s="10">
        <f t="shared" ref="J2:J33" si="3">IF(I2="","",I2*C2)</f>
        <v>137165611639.48978</v>
      </c>
      <c r="K2" s="11">
        <f t="shared" ref="K2:K33" si="4">IFERROR(J2/J3-1,"")</f>
        <v>7.8000000000000291E-3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11"/>
      <c r="H3" s="10"/>
      <c r="I3" s="10">
        <f t="shared" ref="I3:I34" si="5">IF(H3&lt;&gt;"",H3,I2/(1+IF(G2="",0,G2)))</f>
        <v>7500</v>
      </c>
      <c r="J3" s="10">
        <f t="shared" si="3"/>
        <v>136104000436.08829</v>
      </c>
      <c r="K3" s="11">
        <f t="shared" si="4"/>
        <v>7.1999999999998732E-3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11"/>
      <c r="H4" s="10"/>
      <c r="I4" s="10">
        <f t="shared" si="5"/>
        <v>7500</v>
      </c>
      <c r="J4" s="10">
        <f t="shared" si="3"/>
        <v>135131056826.93437</v>
      </c>
      <c r="K4" s="11">
        <f t="shared" si="4"/>
        <v>6.8999999999999062E-3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11"/>
      <c r="H5" s="10"/>
      <c r="I5" s="10">
        <f t="shared" si="5"/>
        <v>7500</v>
      </c>
      <c r="J5" s="10">
        <f t="shared" si="3"/>
        <v>134205042036.87991</v>
      </c>
      <c r="K5" s="11">
        <f t="shared" si="4"/>
        <v>8.1999999999999851E-3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11"/>
      <c r="H6" s="10"/>
      <c r="I6" s="10">
        <f t="shared" si="5"/>
        <v>7500</v>
      </c>
      <c r="J6" s="10">
        <f t="shared" si="3"/>
        <v>133113511244.67358</v>
      </c>
      <c r="K6" s="11">
        <f t="shared" si="4"/>
        <v>1.0299999999999976E-2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11"/>
      <c r="H7" s="10"/>
      <c r="I7" s="10">
        <f t="shared" si="5"/>
        <v>7500</v>
      </c>
      <c r="J7" s="10">
        <f t="shared" si="3"/>
        <v>131756420117.46371</v>
      </c>
      <c r="K7" s="11">
        <f t="shared" si="4"/>
        <v>9.300000000000086E-3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11"/>
      <c r="H8" s="10"/>
      <c r="I8" s="10">
        <f t="shared" si="5"/>
        <v>7500</v>
      </c>
      <c r="J8" s="10">
        <f t="shared" si="3"/>
        <v>130542376020.4733</v>
      </c>
      <c r="K8" s="11">
        <f t="shared" si="4"/>
        <v>7.4000000000000732E-3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11"/>
      <c r="H9" s="10"/>
      <c r="I9" s="10">
        <f t="shared" si="5"/>
        <v>7500</v>
      </c>
      <c r="J9" s="10">
        <f t="shared" si="3"/>
        <v>129583458428.1053</v>
      </c>
      <c r="K9" s="11">
        <f t="shared" si="4"/>
        <v>6.5999999999999392E-3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11"/>
      <c r="H10" s="10"/>
      <c r="I10" s="10">
        <f t="shared" si="5"/>
        <v>7500</v>
      </c>
      <c r="J10" s="10">
        <f t="shared" si="3"/>
        <v>128733815247.47198</v>
      </c>
      <c r="K10" s="11">
        <f t="shared" si="4"/>
        <v>6.5999999999997172E-3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11"/>
      <c r="H11" s="10"/>
      <c r="I11" s="10">
        <f t="shared" si="5"/>
        <v>7500</v>
      </c>
      <c r="J11" s="10">
        <f t="shared" si="3"/>
        <v>127889742944.04134</v>
      </c>
      <c r="K11" s="11">
        <f t="shared" si="4"/>
        <v>7.7000000000000401E-3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11"/>
      <c r="H12" s="10"/>
      <c r="I12" s="10">
        <f t="shared" si="5"/>
        <v>7500</v>
      </c>
      <c r="J12" s="10">
        <f t="shared" si="3"/>
        <v>126912516566.47945</v>
      </c>
      <c r="K12" s="11">
        <f t="shared" si="4"/>
        <v>8.499999999999952E-3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11"/>
      <c r="H13" s="10"/>
      <c r="I13" s="10">
        <f t="shared" si="5"/>
        <v>7500</v>
      </c>
      <c r="J13" s="10">
        <f t="shared" si="3"/>
        <v>125842852321.74463</v>
      </c>
      <c r="K13" s="11">
        <f t="shared" si="4"/>
        <v>9.6000000000000529E-3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11"/>
      <c r="H14" s="10"/>
      <c r="I14" s="10">
        <f t="shared" si="5"/>
        <v>7500</v>
      </c>
      <c r="J14" s="10">
        <f t="shared" si="3"/>
        <v>124646248337.70268</v>
      </c>
      <c r="K14" s="11">
        <f t="shared" si="4"/>
        <v>1.0199999999999987E-2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11"/>
      <c r="H15" s="10"/>
      <c r="I15" s="10">
        <f t="shared" si="5"/>
        <v>7500</v>
      </c>
      <c r="J15" s="10">
        <f t="shared" si="3"/>
        <v>123387693860.32735</v>
      </c>
      <c r="K15" s="11">
        <f t="shared" si="4"/>
        <v>1.0599999999999943E-2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11"/>
      <c r="H16" s="10"/>
      <c r="I16" s="10">
        <f t="shared" si="5"/>
        <v>7500</v>
      </c>
      <c r="J16" s="10">
        <f t="shared" si="3"/>
        <v>122093502731.37477</v>
      </c>
      <c r="K16" s="11">
        <f t="shared" si="4"/>
        <v>1.110000000000011E-2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11"/>
      <c r="H17" s="10"/>
      <c r="I17" s="10">
        <f t="shared" si="5"/>
        <v>7500</v>
      </c>
      <c r="J17" s="10">
        <f t="shared" si="3"/>
        <v>120753142845.78653</v>
      </c>
      <c r="K17" s="11">
        <f t="shared" si="4"/>
        <v>1.1600000000000055E-2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11"/>
      <c r="H18" s="10"/>
      <c r="I18" s="10">
        <f t="shared" si="5"/>
        <v>7500</v>
      </c>
      <c r="J18" s="10">
        <f t="shared" si="3"/>
        <v>119368468609.91156</v>
      </c>
      <c r="K18" s="11">
        <f t="shared" si="4"/>
        <v>1.2299999999999978E-2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11"/>
      <c r="H19" s="10"/>
      <c r="I19" s="10">
        <f t="shared" si="5"/>
        <v>7500</v>
      </c>
      <c r="J19" s="10">
        <f t="shared" si="3"/>
        <v>117918076271.7688</v>
      </c>
      <c r="K19" s="11">
        <f t="shared" si="4"/>
        <v>1.309999999999989E-2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11"/>
      <c r="H20" s="10"/>
      <c r="I20" s="10">
        <f t="shared" si="5"/>
        <v>7500</v>
      </c>
      <c r="J20" s="10">
        <f t="shared" si="3"/>
        <v>116393323730.89409</v>
      </c>
      <c r="K20" s="11">
        <f t="shared" si="4"/>
        <v>1.3300000000000312E-2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11"/>
      <c r="H21" s="10"/>
      <c r="I21" s="10">
        <f t="shared" si="5"/>
        <v>7500</v>
      </c>
      <c r="J21" s="10">
        <f t="shared" si="3"/>
        <v>114865611103.22122</v>
      </c>
      <c r="K21" s="11">
        <f t="shared" si="4"/>
        <v>1.3400000000000079E-2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11"/>
      <c r="H22" s="10"/>
      <c r="I22" s="10">
        <f t="shared" si="5"/>
        <v>7500</v>
      </c>
      <c r="J22" s="10">
        <f t="shared" si="3"/>
        <v>113346764459.46439</v>
      </c>
      <c r="K22" s="11">
        <f t="shared" si="4"/>
        <v>1.3500000000000068E-2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11"/>
      <c r="H23" s="10"/>
      <c r="I23" s="10">
        <f t="shared" si="5"/>
        <v>7500</v>
      </c>
      <c r="J23" s="10">
        <f t="shared" si="3"/>
        <v>111836965426.21054</v>
      </c>
      <c r="K23" s="11">
        <f t="shared" si="4"/>
        <v>1.3399999999999856E-2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11"/>
      <c r="H24" s="10"/>
      <c r="I24" s="10">
        <f t="shared" si="5"/>
        <v>7500</v>
      </c>
      <c r="J24" s="10">
        <f t="shared" si="3"/>
        <v>110358166001.78661</v>
      </c>
      <c r="K24" s="11">
        <f t="shared" si="4"/>
        <v>1.3400000000000079E-2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11"/>
      <c r="H25" s="10"/>
      <c r="I25" s="10">
        <f t="shared" si="5"/>
        <v>7500</v>
      </c>
      <c r="J25" s="10">
        <f t="shared" si="3"/>
        <v>108898920467.5218</v>
      </c>
      <c r="K25" s="11">
        <f t="shared" si="4"/>
        <v>1.2399999999999967E-2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11"/>
      <c r="H26" s="10"/>
      <c r="I26" s="10">
        <f t="shared" si="5"/>
        <v>7500</v>
      </c>
      <c r="J26" s="10">
        <f t="shared" si="3"/>
        <v>107565113065.50949</v>
      </c>
      <c r="K26" s="11">
        <f t="shared" si="4"/>
        <v>1.089999999999991E-2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11"/>
      <c r="H27" s="10"/>
      <c r="I27" s="10">
        <f t="shared" si="5"/>
        <v>7500</v>
      </c>
      <c r="J27" s="10">
        <f t="shared" si="3"/>
        <v>106405295346.23553</v>
      </c>
      <c r="K27" s="11">
        <f t="shared" si="4"/>
        <v>1.0699999999999932E-2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11"/>
      <c r="H28" s="10"/>
      <c r="I28" s="10">
        <f t="shared" si="5"/>
        <v>7500</v>
      </c>
      <c r="J28" s="10">
        <f t="shared" si="3"/>
        <v>105278812057.22325</v>
      </c>
      <c r="K28" s="11">
        <f t="shared" si="4"/>
        <v>1.0799999999999921E-2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11"/>
      <c r="H29" s="10"/>
      <c r="I29" s="10">
        <f t="shared" si="5"/>
        <v>7500</v>
      </c>
      <c r="J29" s="10">
        <f t="shared" si="3"/>
        <v>104153949403.6637</v>
      </c>
      <c r="K29" s="11">
        <f t="shared" si="4"/>
        <v>1.0699999999999932E-2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11"/>
      <c r="H30" s="10"/>
      <c r="I30" s="10">
        <f t="shared" si="5"/>
        <v>7500</v>
      </c>
      <c r="J30" s="10">
        <f t="shared" si="3"/>
        <v>103051300488.43742</v>
      </c>
      <c r="K30" s="11">
        <f t="shared" si="4"/>
        <v>1.0399999999999965E-2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11"/>
      <c r="H31" s="10"/>
      <c r="I31" s="10">
        <f t="shared" si="5"/>
        <v>7500</v>
      </c>
      <c r="J31" s="10">
        <f t="shared" si="3"/>
        <v>101990598266.46619</v>
      </c>
      <c r="K31" s="11">
        <f t="shared" si="4"/>
        <v>8.0999999999999961E-3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11"/>
      <c r="H32" s="10"/>
      <c r="I32" s="10">
        <f t="shared" si="5"/>
        <v>7500</v>
      </c>
      <c r="J32" s="10">
        <f t="shared" si="3"/>
        <v>101171112257.183</v>
      </c>
      <c r="K32" s="11">
        <f t="shared" si="4"/>
        <v>4.6999999999999265E-3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11"/>
      <c r="H33" s="10"/>
      <c r="I33" s="10">
        <f t="shared" si="5"/>
        <v>7500</v>
      </c>
      <c r="J33" s="10">
        <f t="shared" si="3"/>
        <v>100697832444.69295</v>
      </c>
      <c r="K33" s="11">
        <f t="shared" si="4"/>
        <v>3.5000000000000586E-3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11"/>
      <c r="H34" s="10"/>
      <c r="I34" s="10">
        <f t="shared" si="5"/>
        <v>7500</v>
      </c>
      <c r="J34" s="10">
        <f t="shared" ref="J34:J65" si="6">IF(I34="","",I34*C34)</f>
        <v>100346619277.22266</v>
      </c>
      <c r="K34" s="11">
        <f t="shared" ref="K34:K65" si="7">IFERROR(J34/J35-1,"")</f>
        <v>3.2000000000000917E-3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11"/>
      <c r="H35" s="10"/>
      <c r="I35" s="10">
        <f t="shared" ref="I35:I66" si="8">IF(H35&lt;&gt;"",H35,I34/(1+IF(G34="",0,G34)))</f>
        <v>7500</v>
      </c>
      <c r="J35" s="10">
        <f t="shared" si="6"/>
        <v>100026534367.24745</v>
      </c>
      <c r="K35" s="11">
        <f t="shared" si="7"/>
        <v>1.6000000000000458E-3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11"/>
      <c r="H36" s="10"/>
      <c r="I36" s="10">
        <f t="shared" si="8"/>
        <v>7500</v>
      </c>
      <c r="J36" s="10">
        <f t="shared" si="6"/>
        <v>99866747571.133636</v>
      </c>
      <c r="K36" s="11">
        <f t="shared" si="7"/>
        <v>9.9999999999988987E-5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11"/>
      <c r="H37" s="10"/>
      <c r="I37" s="10">
        <f t="shared" si="8"/>
        <v>7500</v>
      </c>
      <c r="J37" s="10">
        <f t="shared" si="6"/>
        <v>99856761894.944153</v>
      </c>
      <c r="K37" s="11">
        <f t="shared" si="7"/>
        <v>1.1000000000003229E-3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11"/>
      <c r="H38" s="10"/>
      <c r="I38" s="10">
        <f t="shared" si="8"/>
        <v>7500</v>
      </c>
      <c r="J38" s="10">
        <f t="shared" si="6"/>
        <v>99747040150.778275</v>
      </c>
      <c r="K38" s="11">
        <f t="shared" si="7"/>
        <v>2.3999999999997357E-3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11"/>
      <c r="H39" s="10"/>
      <c r="I39" s="10">
        <f t="shared" si="8"/>
        <v>7500</v>
      </c>
      <c r="J39" s="10">
        <f t="shared" si="6"/>
        <v>99508220421.766052</v>
      </c>
      <c r="K39" s="11">
        <f t="shared" si="7"/>
        <v>4.6999999999999265E-3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11"/>
      <c r="H40" s="10"/>
      <c r="I40" s="10">
        <f t="shared" si="8"/>
        <v>7500</v>
      </c>
      <c r="J40" s="10">
        <f t="shared" si="6"/>
        <v>99042719639.460587</v>
      </c>
      <c r="K40" s="11">
        <f t="shared" si="7"/>
        <v>6.6999999999997062E-3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11"/>
      <c r="H41" s="10"/>
      <c r="I41" s="10">
        <f t="shared" si="8"/>
        <v>7500</v>
      </c>
      <c r="J41" s="10">
        <f t="shared" si="6"/>
        <v>98383549855.42923</v>
      </c>
      <c r="K41" s="11">
        <f t="shared" si="7"/>
        <v>8.899999999999908E-3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11"/>
      <c r="H42" s="10"/>
      <c r="I42" s="10">
        <f t="shared" si="8"/>
        <v>7500</v>
      </c>
      <c r="J42" s="10">
        <f t="shared" si="6"/>
        <v>97515660477.182312</v>
      </c>
      <c r="K42" s="11">
        <f t="shared" si="7"/>
        <v>1.1100000000000332E-2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11"/>
      <c r="H43" s="10"/>
      <c r="I43" s="10">
        <f t="shared" si="8"/>
        <v>7500</v>
      </c>
      <c r="J43" s="10">
        <f t="shared" si="6"/>
        <v>96445119649.07753</v>
      </c>
      <c r="K43" s="11">
        <f t="shared" si="7"/>
        <v>1.3300000000000312E-2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11"/>
      <c r="H44" s="10"/>
      <c r="I44" s="10">
        <f t="shared" si="8"/>
        <v>7500</v>
      </c>
      <c r="J44" s="10">
        <f t="shared" si="6"/>
        <v>95179235812.7677</v>
      </c>
      <c r="K44" s="11">
        <f t="shared" si="7"/>
        <v>1.5499999999999847E-2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11"/>
      <c r="H45" s="10"/>
      <c r="I45" s="10">
        <f t="shared" si="8"/>
        <v>7500</v>
      </c>
      <c r="J45" s="10">
        <f t="shared" si="6"/>
        <v>93726475443.395081</v>
      </c>
      <c r="K45" s="11">
        <f t="shared" si="7"/>
        <v>1.7099999999999893E-2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11"/>
      <c r="H46" s="10"/>
      <c r="I46" s="10">
        <f t="shared" si="8"/>
        <v>7500</v>
      </c>
      <c r="J46" s="10">
        <f t="shared" si="6"/>
        <v>92150698499.061142</v>
      </c>
      <c r="K46" s="11">
        <f t="shared" si="7"/>
        <v>1.8499999999999961E-2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11"/>
      <c r="H47" s="10"/>
      <c r="I47" s="10">
        <f t="shared" si="8"/>
        <v>7500</v>
      </c>
      <c r="J47" s="10">
        <f t="shared" si="6"/>
        <v>90476876287.737991</v>
      </c>
      <c r="K47" s="11">
        <f t="shared" si="7"/>
        <v>1.9300000000000095E-2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11"/>
      <c r="H48" s="10"/>
      <c r="I48" s="10">
        <f t="shared" si="8"/>
        <v>7500</v>
      </c>
      <c r="J48" s="10">
        <f t="shared" si="6"/>
        <v>88763736179.474136</v>
      </c>
      <c r="K48" s="11">
        <f t="shared" si="7"/>
        <v>1.980000000000004E-2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11"/>
      <c r="H49" s="10"/>
      <c r="I49" s="10">
        <f t="shared" si="8"/>
        <v>7500</v>
      </c>
      <c r="J49" s="10">
        <f t="shared" si="6"/>
        <v>87040337497.032883</v>
      </c>
      <c r="K49" s="11">
        <f t="shared" si="7"/>
        <v>2.0300000000000207E-2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11"/>
      <c r="H50" s="10"/>
      <c r="I50" s="10">
        <f t="shared" si="8"/>
        <v>7500</v>
      </c>
      <c r="J50" s="10">
        <f t="shared" si="6"/>
        <v>85308573455.87854</v>
      </c>
      <c r="K50" s="11">
        <f t="shared" si="7"/>
        <v>2.1099999999999675E-2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11"/>
      <c r="H51" s="10"/>
      <c r="I51" s="10">
        <f t="shared" si="8"/>
        <v>7500</v>
      </c>
      <c r="J51" s="10">
        <f t="shared" si="6"/>
        <v>83545757962.862167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11"/>
      <c r="H52" s="10"/>
      <c r="I52" s="10">
        <f t="shared" si="8"/>
        <v>7500</v>
      </c>
      <c r="J52" s="10">
        <f t="shared" si="6"/>
        <v>81731322601.117355</v>
      </c>
      <c r="K52" s="11">
        <f t="shared" si="7"/>
        <v>2.3500000000000076E-2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11"/>
      <c r="H53" s="10"/>
      <c r="I53" s="10">
        <f t="shared" si="8"/>
        <v>7500</v>
      </c>
      <c r="J53" s="10">
        <f t="shared" si="6"/>
        <v>79854736298.111725</v>
      </c>
      <c r="K53" s="11">
        <f t="shared" si="7"/>
        <v>2.4999999999999911E-2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11"/>
      <c r="H54" s="10"/>
      <c r="I54" s="10">
        <f t="shared" si="8"/>
        <v>7500</v>
      </c>
      <c r="J54" s="10">
        <f t="shared" si="6"/>
        <v>77907059803.035843</v>
      </c>
      <c r="K54" s="11">
        <f t="shared" si="7"/>
        <v>2.5400000000000311E-2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11"/>
      <c r="H55" s="10"/>
      <c r="I55" s="10">
        <f t="shared" si="8"/>
        <v>7500</v>
      </c>
      <c r="J55" s="10">
        <f t="shared" si="6"/>
        <v>75977237958.880264</v>
      </c>
      <c r="K55" s="11">
        <f t="shared" si="7"/>
        <v>2.4499999999999744E-2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11"/>
      <c r="H56" s="10"/>
      <c r="I56" s="10">
        <f t="shared" si="8"/>
        <v>7500</v>
      </c>
      <c r="J56" s="10">
        <f t="shared" si="6"/>
        <v>74160310355.178406</v>
      </c>
      <c r="K56" s="11">
        <f t="shared" si="7"/>
        <v>2.2100000000000009E-2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11"/>
      <c r="H57" s="10"/>
      <c r="I57" s="10">
        <f t="shared" si="8"/>
        <v>7500</v>
      </c>
      <c r="J57" s="10">
        <f t="shared" si="6"/>
        <v>72556804965.442139</v>
      </c>
      <c r="K57" s="11">
        <f t="shared" si="7"/>
        <v>2.0100000000000229E-2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11"/>
      <c r="H58" s="10"/>
      <c r="I58" s="10">
        <f t="shared" si="8"/>
        <v>7500</v>
      </c>
      <c r="J58" s="10">
        <f t="shared" si="6"/>
        <v>71127149265.21138</v>
      </c>
      <c r="K58" s="11">
        <f t="shared" si="7"/>
        <v>1.8499999999999961E-2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11"/>
      <c r="H59" s="10"/>
      <c r="I59" s="10">
        <f t="shared" si="8"/>
        <v>7500</v>
      </c>
      <c r="J59" s="10">
        <f t="shared" si="6"/>
        <v>69835198100.354813</v>
      </c>
      <c r="K59" s="11">
        <f t="shared" si="7"/>
        <v>1.6899999999999915E-2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11"/>
      <c r="H60" s="10"/>
      <c r="I60" s="10">
        <f t="shared" si="8"/>
        <v>7500</v>
      </c>
      <c r="J60" s="10">
        <f t="shared" si="6"/>
        <v>68674597404.223442</v>
      </c>
      <c r="K60" s="11">
        <f t="shared" si="7"/>
        <v>1.540000000000008E-2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11"/>
      <c r="H61" s="10"/>
      <c r="I61" s="10">
        <f t="shared" si="8"/>
        <v>7500</v>
      </c>
      <c r="J61" s="10">
        <f t="shared" si="6"/>
        <v>67633048457.970688</v>
      </c>
      <c r="K61" s="11">
        <f t="shared" si="7"/>
        <v>1.4100000000000001E-2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11"/>
      <c r="H62" s="10"/>
      <c r="I62" s="10">
        <f t="shared" si="8"/>
        <v>7500</v>
      </c>
      <c r="J62" s="10">
        <f t="shared" si="6"/>
        <v>66692681646.751488</v>
      </c>
      <c r="K62" s="11">
        <f t="shared" si="7"/>
        <v>1.3100000000000112E-2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11"/>
      <c r="H63" s="10"/>
      <c r="I63" s="10">
        <f t="shared" si="8"/>
        <v>7500</v>
      </c>
      <c r="J63" s="10">
        <f t="shared" si="6"/>
        <v>65830304655.761017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11"/>
      <c r="H64" s="10"/>
      <c r="I64" s="10">
        <f t="shared" si="8"/>
        <v>7500</v>
      </c>
      <c r="J64" s="10">
        <f t="shared" si="6"/>
        <v>65017584845.196075</v>
      </c>
      <c r="K64" s="11">
        <f t="shared" si="7"/>
        <v>1.1900000000000022E-2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11"/>
      <c r="H65" s="10"/>
      <c r="I65" s="10">
        <f t="shared" si="8"/>
        <v>7500</v>
      </c>
      <c r="J65" s="10">
        <f t="shared" si="6"/>
        <v>64252974449.25</v>
      </c>
      <c r="K65" s="11">
        <f t="shared" si="7"/>
        <v>1.0999999999999899E-2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6">
        <f>SUM(F2)</f>
        <v>18288844</v>
      </c>
      <c r="G66" s="11"/>
      <c r="H66" s="10"/>
      <c r="I66" s="10">
        <f t="shared" si="8"/>
        <v>7500</v>
      </c>
      <c r="J66" s="10">
        <f t="shared" ref="J66:J97" si="9">IF(I66="","",I66*C66)</f>
        <v>63553881750</v>
      </c>
      <c r="K66" s="11">
        <f t="shared" ref="K66:K97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11"/>
      <c r="H67" s="10"/>
      <c r="I67" s="10">
        <f t="shared" ref="I67:I98" si="11">IF(H67&lt;&gt;"",H67,I66/(1+IF(G66="",0,G66)))</f>
        <v>7500</v>
      </c>
      <c r="J67" s="10">
        <f t="shared" si="9"/>
        <v>62893500000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5">
        <v>38792291</v>
      </c>
      <c r="G2" s="11"/>
      <c r="H2" s="10"/>
      <c r="I2" s="10">
        <f>IF(H2&lt;&gt;"",H2,15278)</f>
        <v>15278</v>
      </c>
      <c r="J2" s="10">
        <f t="shared" ref="J2:J33" si="3">IF(I2="","",I2*C2)</f>
        <v>592670068547.84241</v>
      </c>
      <c r="K2" s="11">
        <f t="shared" ref="K2:K33" si="4">IFERROR(J2/J3-1,"")</f>
        <v>8.799999999999697E-3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11"/>
      <c r="H3" s="10"/>
      <c r="I3" s="10">
        <f t="shared" ref="I3:I34" si="5">IF(H3&lt;&gt;"",H3,I2/(1+IF(G2="",0,G2)))</f>
        <v>15278</v>
      </c>
      <c r="J3" s="10">
        <f t="shared" si="3"/>
        <v>587500067949.88354</v>
      </c>
      <c r="K3" s="11">
        <f t="shared" si="4"/>
        <v>9.300000000000086E-3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11"/>
      <c r="H4" s="10"/>
      <c r="I4" s="10">
        <f t="shared" si="5"/>
        <v>15278</v>
      </c>
      <c r="J4" s="10">
        <f t="shared" si="3"/>
        <v>582086661993.34534</v>
      </c>
      <c r="K4" s="11">
        <f t="shared" si="4"/>
        <v>9.5000000000000639E-3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11"/>
      <c r="H5" s="10"/>
      <c r="I5" s="10">
        <f t="shared" si="5"/>
        <v>15278</v>
      </c>
      <c r="J5" s="10">
        <f t="shared" si="3"/>
        <v>576608877655.61694</v>
      </c>
      <c r="K5" s="11">
        <f t="shared" si="4"/>
        <v>9.6000000000000529E-3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11"/>
      <c r="H6" s="10"/>
      <c r="I6" s="10">
        <f t="shared" si="5"/>
        <v>15278</v>
      </c>
      <c r="J6" s="10">
        <f t="shared" si="3"/>
        <v>571126067408.49536</v>
      </c>
      <c r="K6" s="11">
        <f t="shared" si="4"/>
        <v>7.3000000000003062E-3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11"/>
      <c r="H7" s="10"/>
      <c r="I7" s="10">
        <f t="shared" si="5"/>
        <v>15278</v>
      </c>
      <c r="J7" s="10">
        <f t="shared" si="3"/>
        <v>566987061856.93958</v>
      </c>
      <c r="K7" s="11">
        <f t="shared" si="4"/>
        <v>4.5999999999999375E-3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11"/>
      <c r="H8" s="10"/>
      <c r="I8" s="10">
        <f t="shared" si="5"/>
        <v>15278</v>
      </c>
      <c r="J8" s="10">
        <f t="shared" si="3"/>
        <v>564390863883.07751</v>
      </c>
      <c r="K8" s="11">
        <f t="shared" si="4"/>
        <v>3.9000000000000146E-3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11"/>
      <c r="H9" s="10"/>
      <c r="I9" s="10">
        <f t="shared" si="5"/>
        <v>15278</v>
      </c>
      <c r="J9" s="10">
        <f t="shared" si="3"/>
        <v>562198290549.93274</v>
      </c>
      <c r="K9" s="11">
        <f t="shared" si="4"/>
        <v>3.7000000000000366E-3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11"/>
      <c r="H10" s="10"/>
      <c r="I10" s="10">
        <f t="shared" si="5"/>
        <v>15278</v>
      </c>
      <c r="J10" s="10">
        <f t="shared" si="3"/>
        <v>560125824997.44214</v>
      </c>
      <c r="K10" s="11">
        <f t="shared" si="4"/>
        <v>3.5999999999998256E-3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11"/>
      <c r="H11" s="10"/>
      <c r="I11" s="10">
        <f t="shared" si="5"/>
        <v>15278</v>
      </c>
      <c r="J11" s="10">
        <f t="shared" si="3"/>
        <v>558116605218.65503</v>
      </c>
      <c r="K11" s="11">
        <f t="shared" si="4"/>
        <v>3.2000000000000917E-3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11"/>
      <c r="H12" s="10"/>
      <c r="I12" s="10">
        <f t="shared" si="5"/>
        <v>15278</v>
      </c>
      <c r="J12" s="10">
        <f t="shared" si="3"/>
        <v>556336328965.96387</v>
      </c>
      <c r="K12" s="11">
        <f t="shared" si="4"/>
        <v>3.2000000000003137E-3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11"/>
      <c r="H13" s="10"/>
      <c r="I13" s="10">
        <f t="shared" si="5"/>
        <v>15278</v>
      </c>
      <c r="J13" s="10">
        <f t="shared" si="3"/>
        <v>554561731425.40247</v>
      </c>
      <c r="K13" s="11">
        <f t="shared" si="4"/>
        <v>3.8000000000000256E-3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11"/>
      <c r="H14" s="10"/>
      <c r="I14" s="10">
        <f t="shared" si="5"/>
        <v>15278</v>
      </c>
      <c r="J14" s="10">
        <f t="shared" si="3"/>
        <v>552462374402.67224</v>
      </c>
      <c r="K14" s="11">
        <f t="shared" si="4"/>
        <v>4.4999999999999485E-3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11"/>
      <c r="H15" s="10"/>
      <c r="I15" s="10">
        <f t="shared" si="5"/>
        <v>15278</v>
      </c>
      <c r="J15" s="10">
        <f t="shared" si="3"/>
        <v>549987430963.33728</v>
      </c>
      <c r="K15" s="11">
        <f t="shared" si="4"/>
        <v>5.4000000000000714E-3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11"/>
      <c r="H16" s="10"/>
      <c r="I16" s="10">
        <f t="shared" si="5"/>
        <v>15278</v>
      </c>
      <c r="J16" s="10">
        <f t="shared" si="3"/>
        <v>547033450331.54688</v>
      </c>
      <c r="K16" s="11">
        <f t="shared" si="4"/>
        <v>5.9000000000000163E-3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11"/>
      <c r="H17" s="10"/>
      <c r="I17" s="10">
        <f t="shared" si="5"/>
        <v>15278</v>
      </c>
      <c r="J17" s="10">
        <f t="shared" si="3"/>
        <v>543824883518.78607</v>
      </c>
      <c r="K17" s="11">
        <f t="shared" si="4"/>
        <v>5.7000000000000384E-3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11"/>
      <c r="H18" s="10"/>
      <c r="I18" s="10">
        <f t="shared" si="5"/>
        <v>15278</v>
      </c>
      <c r="J18" s="10">
        <f t="shared" si="3"/>
        <v>540742650411.4408</v>
      </c>
      <c r="K18" s="11">
        <f t="shared" si="4"/>
        <v>5.7999999999998053E-3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11"/>
      <c r="H19" s="10"/>
      <c r="I19" s="10">
        <f t="shared" si="5"/>
        <v>15278</v>
      </c>
      <c r="J19" s="10">
        <f t="shared" si="3"/>
        <v>537624428724.83679</v>
      </c>
      <c r="K19" s="11">
        <f t="shared" si="4"/>
        <v>6.2999999999999723E-3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11"/>
      <c r="H20" s="10"/>
      <c r="I20" s="10">
        <f t="shared" si="5"/>
        <v>15278</v>
      </c>
      <c r="J20" s="10">
        <f t="shared" si="3"/>
        <v>534258599547.6864</v>
      </c>
      <c r="K20" s="11">
        <f t="shared" si="4"/>
        <v>6.5999999999999392E-3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11"/>
      <c r="H21" s="10"/>
      <c r="I21" s="10">
        <f t="shared" si="5"/>
        <v>15278</v>
      </c>
      <c r="J21" s="10">
        <f t="shared" si="3"/>
        <v>530755612505.1524</v>
      </c>
      <c r="K21" s="11">
        <f t="shared" si="4"/>
        <v>6.0000000000000053E-3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11"/>
      <c r="H22" s="10"/>
      <c r="I22" s="10">
        <f t="shared" si="5"/>
        <v>15278</v>
      </c>
      <c r="J22" s="10">
        <f t="shared" si="3"/>
        <v>527590072072.71606</v>
      </c>
      <c r="K22" s="11">
        <f t="shared" si="4"/>
        <v>5.2999999999998604E-3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11"/>
      <c r="H23" s="10"/>
      <c r="I23" s="10">
        <f t="shared" si="5"/>
        <v>15278</v>
      </c>
      <c r="J23" s="10">
        <f t="shared" si="3"/>
        <v>524808586563.92731</v>
      </c>
      <c r="K23" s="11">
        <f t="shared" si="4"/>
        <v>5.4000000000000714E-3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11"/>
      <c r="H24" s="10"/>
      <c r="I24" s="10">
        <f t="shared" si="5"/>
        <v>15278</v>
      </c>
      <c r="J24" s="10">
        <f t="shared" si="3"/>
        <v>521989841420.25787</v>
      </c>
      <c r="K24" s="11">
        <f t="shared" si="4"/>
        <v>5.2000000000000934E-3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11"/>
      <c r="H25" s="10"/>
      <c r="I25" s="10">
        <f t="shared" si="5"/>
        <v>15278</v>
      </c>
      <c r="J25" s="10">
        <f t="shared" si="3"/>
        <v>519289535833.92145</v>
      </c>
      <c r="K25" s="11">
        <f t="shared" si="4"/>
        <v>4.7999999999999154E-3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11"/>
      <c r="H26" s="10"/>
      <c r="I26" s="10">
        <f t="shared" si="5"/>
        <v>15278</v>
      </c>
      <c r="J26" s="10">
        <f t="shared" si="3"/>
        <v>516808853337.89954</v>
      </c>
      <c r="K26" s="11">
        <f t="shared" si="4"/>
        <v>8.0999999999999961E-3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11"/>
      <c r="H27" s="10"/>
      <c r="I27" s="10">
        <f t="shared" si="5"/>
        <v>15278</v>
      </c>
      <c r="J27" s="10">
        <f t="shared" si="3"/>
        <v>512656337008.13367</v>
      </c>
      <c r="K27" s="11">
        <f t="shared" si="4"/>
        <v>1.2799999999999923E-2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11"/>
      <c r="H28" s="10"/>
      <c r="I28" s="10">
        <f t="shared" si="5"/>
        <v>15278</v>
      </c>
      <c r="J28" s="10">
        <f t="shared" si="3"/>
        <v>506177267978.01514</v>
      </c>
      <c r="K28" s="11">
        <f t="shared" si="4"/>
        <v>1.4000000000000012E-2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11"/>
      <c r="H29" s="10"/>
      <c r="I29" s="10">
        <f t="shared" si="5"/>
        <v>15278</v>
      </c>
      <c r="J29" s="10">
        <f t="shared" si="3"/>
        <v>499188627197.25354</v>
      </c>
      <c r="K29" s="11">
        <f t="shared" si="4"/>
        <v>1.419999999999999E-2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11"/>
      <c r="H30" s="10"/>
      <c r="I30" s="10">
        <f t="shared" si="5"/>
        <v>15278</v>
      </c>
      <c r="J30" s="10">
        <f t="shared" si="3"/>
        <v>492199395777.2171</v>
      </c>
      <c r="K30" s="11">
        <f t="shared" si="4"/>
        <v>1.4499999999999957E-2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11"/>
      <c r="H31" s="10"/>
      <c r="I31" s="10">
        <f t="shared" si="5"/>
        <v>15278</v>
      </c>
      <c r="J31" s="10">
        <f t="shared" si="3"/>
        <v>485164510376.75421</v>
      </c>
      <c r="K31" s="11">
        <f t="shared" si="4"/>
        <v>1.3800000000000257E-2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11"/>
      <c r="H32" s="10"/>
      <c r="I32" s="10">
        <f t="shared" si="5"/>
        <v>15278</v>
      </c>
      <c r="J32" s="10">
        <f t="shared" si="3"/>
        <v>478560377171.78351</v>
      </c>
      <c r="K32" s="11">
        <f t="shared" si="4"/>
        <v>1.3599999999999834E-2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11"/>
      <c r="H33" s="10"/>
      <c r="I33" s="10">
        <f t="shared" si="5"/>
        <v>15278</v>
      </c>
      <c r="J33" s="10">
        <f t="shared" si="3"/>
        <v>472139282924.01691</v>
      </c>
      <c r="K33" s="11">
        <f t="shared" si="4"/>
        <v>1.4899999999999913E-2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11"/>
      <c r="H34" s="10"/>
      <c r="I34" s="10">
        <f t="shared" si="5"/>
        <v>15278</v>
      </c>
      <c r="J34" s="10">
        <f t="shared" ref="J34:J65" si="6">IF(I34="","",I34*C34)</f>
        <v>465207688367.34351</v>
      </c>
      <c r="K34" s="11">
        <f t="shared" ref="K34:K65" si="7">IFERROR(J34/J35-1,"")</f>
        <v>1.639999999999997E-2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11"/>
      <c r="H35" s="10"/>
      <c r="I35" s="10">
        <f t="shared" ref="I35:I66" si="8">IF(H35&lt;&gt;"",H35,I34/(1+IF(G34="",0,G34)))</f>
        <v>15278</v>
      </c>
      <c r="J35" s="10">
        <f t="shared" si="6"/>
        <v>457701385642.80157</v>
      </c>
      <c r="K35" s="11">
        <f t="shared" si="7"/>
        <v>1.7200000000000104E-2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11"/>
      <c r="H36" s="10"/>
      <c r="I36" s="10">
        <f t="shared" si="8"/>
        <v>15278</v>
      </c>
      <c r="J36" s="10">
        <f t="shared" si="6"/>
        <v>449962038579.23865</v>
      </c>
      <c r="K36" s="11">
        <f t="shared" si="7"/>
        <v>1.4399999999999968E-2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11"/>
      <c r="H37" s="10"/>
      <c r="I37" s="10">
        <f t="shared" si="8"/>
        <v>15278</v>
      </c>
      <c r="J37" s="10">
        <f t="shared" si="6"/>
        <v>443574564845.46399</v>
      </c>
      <c r="K37" s="11">
        <f t="shared" si="7"/>
        <v>1.1400000000000077E-2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11"/>
      <c r="H38" s="10"/>
      <c r="I38" s="10">
        <f t="shared" si="8"/>
        <v>15278</v>
      </c>
      <c r="J38" s="10">
        <f t="shared" si="6"/>
        <v>438574811988.79169</v>
      </c>
      <c r="K38" s="11">
        <f t="shared" si="7"/>
        <v>1.1500000000000066E-2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11"/>
      <c r="H39" s="10"/>
      <c r="I39" s="10">
        <f t="shared" si="8"/>
        <v>15278</v>
      </c>
      <c r="J39" s="10">
        <f t="shared" si="6"/>
        <v>433588543735.82959</v>
      </c>
      <c r="K39" s="11">
        <f t="shared" si="7"/>
        <v>1.1900000000000022E-2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11"/>
      <c r="H40" s="10"/>
      <c r="I40" s="10">
        <f t="shared" si="8"/>
        <v>15278</v>
      </c>
      <c r="J40" s="10">
        <f t="shared" si="6"/>
        <v>428489518466.08319</v>
      </c>
      <c r="K40" s="11">
        <f t="shared" si="7"/>
        <v>1.2699999999999712E-2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11"/>
      <c r="H41" s="10"/>
      <c r="I41" s="10">
        <f t="shared" si="8"/>
        <v>15278</v>
      </c>
      <c r="J41" s="10">
        <f t="shared" si="6"/>
        <v>423115945952.48669</v>
      </c>
      <c r="K41" s="11">
        <f t="shared" si="7"/>
        <v>1.4100000000000001E-2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11"/>
      <c r="H42" s="10"/>
      <c r="I42" s="10">
        <f t="shared" si="8"/>
        <v>15278</v>
      </c>
      <c r="J42" s="10">
        <f t="shared" si="6"/>
        <v>417232961199.57269</v>
      </c>
      <c r="K42" s="11">
        <f t="shared" si="7"/>
        <v>1.6699999999999937E-2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11"/>
      <c r="H43" s="10"/>
      <c r="I43" s="10">
        <f t="shared" si="8"/>
        <v>15278</v>
      </c>
      <c r="J43" s="10">
        <f t="shared" si="6"/>
        <v>410379621520.18561</v>
      </c>
      <c r="K43" s="11">
        <f t="shared" si="7"/>
        <v>1.9100000000000117E-2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11"/>
      <c r="H44" s="10"/>
      <c r="I44" s="10">
        <f t="shared" si="8"/>
        <v>15278</v>
      </c>
      <c r="J44" s="10">
        <f t="shared" si="6"/>
        <v>402688275458.92023</v>
      </c>
      <c r="K44" s="11">
        <f t="shared" si="7"/>
        <v>2.0299999999999985E-2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11"/>
      <c r="H45" s="10"/>
      <c r="I45" s="10">
        <f t="shared" si="8"/>
        <v>15278</v>
      </c>
      <c r="J45" s="10">
        <f t="shared" si="6"/>
        <v>394676345642.37994</v>
      </c>
      <c r="K45" s="11">
        <f t="shared" si="7"/>
        <v>2.0999999999999686E-2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11"/>
      <c r="H46" s="10"/>
      <c r="I46" s="10">
        <f t="shared" si="8"/>
        <v>15278</v>
      </c>
      <c r="J46" s="10">
        <f t="shared" si="6"/>
        <v>386558614732.9873</v>
      </c>
      <c r="K46" s="11">
        <f t="shared" si="7"/>
        <v>2.1400000000000086E-2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11"/>
      <c r="H47" s="10"/>
      <c r="I47" s="10">
        <f t="shared" si="8"/>
        <v>15278</v>
      </c>
      <c r="J47" s="10">
        <f t="shared" si="6"/>
        <v>378459579726.83301</v>
      </c>
      <c r="K47" s="11">
        <f t="shared" si="7"/>
        <v>2.1600000000000064E-2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11"/>
      <c r="H48" s="10"/>
      <c r="I48" s="10">
        <f t="shared" si="8"/>
        <v>15278</v>
      </c>
      <c r="J48" s="10">
        <f t="shared" si="6"/>
        <v>370457693546.23431</v>
      </c>
      <c r="K48" s="11">
        <f t="shared" si="7"/>
        <v>2.1700000000000053E-2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11"/>
      <c r="H49" s="10"/>
      <c r="I49" s="10">
        <f t="shared" si="8"/>
        <v>15278</v>
      </c>
      <c r="J49" s="10">
        <f t="shared" si="6"/>
        <v>362589501366.57953</v>
      </c>
      <c r="K49" s="11">
        <f t="shared" si="7"/>
        <v>2.2300000000000209E-2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11"/>
      <c r="H50" s="10"/>
      <c r="I50" s="10">
        <f t="shared" si="8"/>
        <v>15278</v>
      </c>
      <c r="J50" s="10">
        <f t="shared" si="6"/>
        <v>354680134370.12567</v>
      </c>
      <c r="K50" s="11">
        <f t="shared" si="7"/>
        <v>2.179999999999982E-2</v>
      </c>
      <c r="L50" t="inlineStr">
        <is>
          <t xml:space="preserve">Won independence amid Siana's collapse.</t>
        </is>
      </c>
      <c r="M50" t="inlineStr">
        <is>
          <t xml:space="preserve">Sinian Collapse (1716-17): the war-finance ruin of Siana during the Sinian Revolution, worsened by the nuclear bombing of Minalu.</t>
        </is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11"/>
      <c r="H51" s="10"/>
      <c r="I51" s="10">
        <f t="shared" si="8"/>
        <v>15278</v>
      </c>
      <c r="J51" s="10">
        <f t="shared" si="6"/>
        <v>347113069455.98523</v>
      </c>
      <c r="K51" s="11">
        <f t="shared" si="7"/>
        <v>1.9200000000000106E-2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11"/>
      <c r="H52" s="10"/>
      <c r="I52" s="10">
        <f t="shared" si="8"/>
        <v>15278</v>
      </c>
      <c r="J52" s="10">
        <f t="shared" si="6"/>
        <v>340574047739.38892</v>
      </c>
      <c r="K52" s="11">
        <f t="shared" si="7"/>
        <v>1.8799999999999928E-2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11"/>
      <c r="H53" s="10"/>
      <c r="I53" s="10">
        <f t="shared" si="8"/>
        <v>15278</v>
      </c>
      <c r="J53" s="10">
        <f t="shared" si="6"/>
        <v>334289406889.85956</v>
      </c>
      <c r="K53" s="11">
        <f t="shared" si="7"/>
        <v>2.1300000000000097E-2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11"/>
      <c r="H54" s="10"/>
      <c r="I54" s="10">
        <f t="shared" si="8"/>
        <v>15278</v>
      </c>
      <c r="J54" s="10">
        <f t="shared" si="6"/>
        <v>327317543219.2887</v>
      </c>
      <c r="K54" s="11">
        <f t="shared" si="7"/>
        <v>2.3099999999999898E-2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11"/>
      <c r="H55" s="10"/>
      <c r="I55" s="10">
        <f t="shared" si="8"/>
        <v>15278</v>
      </c>
      <c r="J55" s="10">
        <f t="shared" si="6"/>
        <v>319927224337.10168</v>
      </c>
      <c r="K55" s="11">
        <f t="shared" si="7"/>
        <v>2.4399999999999977E-2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11"/>
      <c r="H56" s="10"/>
      <c r="I56" s="10">
        <f t="shared" si="8"/>
        <v>15278</v>
      </c>
      <c r="J56" s="10">
        <f t="shared" si="6"/>
        <v>312306935120.16956</v>
      </c>
      <c r="K56" s="11">
        <f t="shared" si="7"/>
        <v>2.8199999999999781E-2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11"/>
      <c r="H57" s="10"/>
      <c r="I57" s="10">
        <f t="shared" si="8"/>
        <v>15278</v>
      </c>
      <c r="J57" s="10">
        <f t="shared" si="6"/>
        <v>303741426882.09454</v>
      </c>
      <c r="K57" s="11">
        <f t="shared" si="7"/>
        <v>3.2299999999999995E-2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11"/>
      <c r="H58" s="10"/>
      <c r="I58" s="10">
        <f t="shared" si="8"/>
        <v>15278</v>
      </c>
      <c r="J58" s="10">
        <f t="shared" si="6"/>
        <v>294237553891.40228</v>
      </c>
      <c r="K58" s="11">
        <f t="shared" si="7"/>
        <v>3.3700000000000063E-2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11"/>
      <c r="H59" s="10"/>
      <c r="I59" s="10">
        <f t="shared" si="8"/>
        <v>15278</v>
      </c>
      <c r="J59" s="10">
        <f t="shared" si="6"/>
        <v>284645016824.41931</v>
      </c>
      <c r="K59" s="11">
        <f t="shared" si="7"/>
        <v>3.4399999999999986E-2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11"/>
      <c r="H60" s="10"/>
      <c r="I60" s="10">
        <f t="shared" si="8"/>
        <v>15278</v>
      </c>
      <c r="J60" s="10">
        <f t="shared" si="6"/>
        <v>275178863906.05115</v>
      </c>
      <c r="K60" s="11">
        <f t="shared" si="7"/>
        <v>3.4399999999999986E-2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11"/>
      <c r="H61" s="10"/>
      <c r="I61" s="10">
        <f t="shared" si="8"/>
        <v>15278</v>
      </c>
      <c r="J61" s="10">
        <f t="shared" si="6"/>
        <v>266027517310.56763</v>
      </c>
      <c r="K61" s="11">
        <f t="shared" si="7"/>
        <v>3.3900000000000041E-2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11"/>
      <c r="H62" s="10"/>
      <c r="I62" s="10">
        <f t="shared" si="8"/>
        <v>15278</v>
      </c>
      <c r="J62" s="10">
        <f t="shared" si="6"/>
        <v>257304881816.97226</v>
      </c>
      <c r="K62" s="11">
        <f t="shared" si="7"/>
        <v>3.3099999999999907E-2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11"/>
      <c r="H63" s="10"/>
      <c r="I63" s="10">
        <f t="shared" si="8"/>
        <v>15278</v>
      </c>
      <c r="J63" s="10">
        <f t="shared" si="6"/>
        <v>249060963911.50159</v>
      </c>
      <c r="K63" s="11">
        <f t="shared" si="7"/>
        <v>3.0799999999999939E-2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11"/>
      <c r="H64" s="10"/>
      <c r="I64" s="10">
        <f t="shared" si="8"/>
        <v>15278</v>
      </c>
      <c r="J64" s="10">
        <f t="shared" si="6"/>
        <v>241619095762.03104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11"/>
      <c r="H65" s="10"/>
      <c r="I65" s="10">
        <f t="shared" si="8"/>
        <v>15278</v>
      </c>
      <c r="J65" s="10">
        <f t="shared" si="6"/>
        <v>235266889739.07599</v>
      </c>
      <c r="K65" s="11">
        <f t="shared" si="7"/>
        <v>1.8199999999999994E-2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6">
        <f>SUM(F2)</f>
        <v>38792291</v>
      </c>
      <c r="G66" s="11"/>
      <c r="H66" s="10"/>
      <c r="I66" s="10">
        <f t="shared" si="8"/>
        <v>15278</v>
      </c>
      <c r="J66" s="10">
        <f t="shared" ref="J66:J97" si="9">IF(I66="","",I66*C66)</f>
        <v>231061569180</v>
      </c>
      <c r="K66" s="11">
        <f t="shared" ref="K66:K97" si="10">IFERROR(J66/J67-1,"")</f>
        <v>1.4000000000000012E-2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11"/>
      <c r="H67" s="10"/>
      <c r="I67" s="10">
        <f t="shared" ref="I67:I98" si="11">IF(H67&lt;&gt;"",H67,I66/(1+IF(G66="",0,G66)))</f>
        <v>15278</v>
      </c>
      <c r="J67" s="10">
        <f t="shared" si="9"/>
        <v>227871370000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5">
        <v>9388939</v>
      </c>
      <c r="G2" s="11"/>
      <c r="H2" s="10"/>
      <c r="I2" s="10">
        <f>IF(H2&lt;&gt;"",H2,667)</f>
        <v>667</v>
      </c>
      <c r="J2" s="10">
        <f t="shared" ref="J2:J33" si="3">IF(I2="","",I2*C2)</f>
        <v>6262046489.6508932</v>
      </c>
      <c r="K2" s="11">
        <f t="shared" ref="K2:K33" si="4">IFERROR(J2/J3-1,"")</f>
        <v>2.3200000000000109E-2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11"/>
      <c r="H3" s="10"/>
      <c r="I3" s="10">
        <f t="shared" ref="I3:I34" si="5">IF(H3&lt;&gt;"",H3,I2/(1+IF(G2="",0,G2)))</f>
        <v>667</v>
      </c>
      <c r="J3" s="10">
        <f t="shared" si="3"/>
        <v>6120061072.7627954</v>
      </c>
      <c r="K3" s="11">
        <f t="shared" si="4"/>
        <v>2.4499999999999966E-2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11"/>
      <c r="H4" s="10"/>
      <c r="I4" s="10">
        <f t="shared" si="5"/>
        <v>667</v>
      </c>
      <c r="J4" s="10">
        <f t="shared" si="3"/>
        <v>5973705293.0822802</v>
      </c>
      <c r="K4" s="11">
        <f t="shared" si="4"/>
        <v>2.55000000000003E-2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11"/>
      <c r="H5" s="10"/>
      <c r="I5" s="10">
        <f t="shared" si="5"/>
        <v>667</v>
      </c>
      <c r="J5" s="10">
        <f t="shared" si="3"/>
        <v>5825163620.7530756</v>
      </c>
      <c r="K5" s="11">
        <f t="shared" si="4"/>
        <v>2.5900000000000256E-2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11"/>
      <c r="H6" s="10"/>
      <c r="I6" s="10">
        <f t="shared" si="5"/>
        <v>667</v>
      </c>
      <c r="J6" s="10">
        <f t="shared" si="3"/>
        <v>5678100809.7797785</v>
      </c>
      <c r="K6" s="11">
        <f t="shared" si="4"/>
        <v>2.5600000000000067E-2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11"/>
      <c r="H7" s="10"/>
      <c r="I7" s="10">
        <f t="shared" si="5"/>
        <v>667</v>
      </c>
      <c r="J7" s="10">
        <f t="shared" si="3"/>
        <v>5536369744.325057</v>
      </c>
      <c r="K7" s="11">
        <f t="shared" si="4"/>
        <v>2.4799999999999933E-2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11"/>
      <c r="H8" s="10"/>
      <c r="I8" s="10">
        <f t="shared" si="5"/>
        <v>667</v>
      </c>
      <c r="J8" s="10">
        <f t="shared" si="3"/>
        <v>5402390460.894865</v>
      </c>
      <c r="K8" s="11">
        <f t="shared" si="4"/>
        <v>2.3700000000000054E-2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11"/>
      <c r="H9" s="10"/>
      <c r="I9" s="10">
        <f t="shared" si="5"/>
        <v>667</v>
      </c>
      <c r="J9" s="10">
        <f t="shared" si="3"/>
        <v>5277318023.7324066</v>
      </c>
      <c r="K9" s="11">
        <f t="shared" si="4"/>
        <v>2.2799999999999931E-2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11"/>
      <c r="H10" s="10"/>
      <c r="I10" s="10">
        <f t="shared" si="5"/>
        <v>667</v>
      </c>
      <c r="J10" s="10">
        <f t="shared" si="3"/>
        <v>5159677379.480257</v>
      </c>
      <c r="K10" s="11">
        <f t="shared" si="4"/>
        <v>2.1500000000000075E-2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11"/>
      <c r="H11" s="10"/>
      <c r="I11" s="10">
        <f t="shared" si="5"/>
        <v>667</v>
      </c>
      <c r="J11" s="10">
        <f t="shared" si="3"/>
        <v>5051079177.1710787</v>
      </c>
      <c r="K11" s="11">
        <f t="shared" si="4"/>
        <v>2.0499999999999963E-2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11"/>
      <c r="H12" s="10"/>
      <c r="I12" s="10">
        <f t="shared" si="5"/>
        <v>667</v>
      </c>
      <c r="J12" s="10">
        <f t="shared" si="3"/>
        <v>4949612128.5360889</v>
      </c>
      <c r="K12" s="11">
        <f t="shared" si="4"/>
        <v>2.0199999999999996E-2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11"/>
      <c r="H13" s="10"/>
      <c r="I13" s="10">
        <f t="shared" si="5"/>
        <v>667</v>
      </c>
      <c r="J13" s="10">
        <f t="shared" si="3"/>
        <v>4851609614.3266897</v>
      </c>
      <c r="K13" s="11">
        <f t="shared" si="4"/>
        <v>2.0499999999999963E-2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11"/>
      <c r="H14" s="10"/>
      <c r="I14" s="10">
        <f t="shared" si="5"/>
        <v>667</v>
      </c>
      <c r="J14" s="10">
        <f t="shared" si="3"/>
        <v>4754149548.5807838</v>
      </c>
      <c r="K14" s="11">
        <f t="shared" si="4"/>
        <v>2.1099999999999897E-2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11"/>
      <c r="H15" s="10"/>
      <c r="I15" s="10">
        <f t="shared" si="5"/>
        <v>667</v>
      </c>
      <c r="J15" s="10">
        <f t="shared" si="3"/>
        <v>4655909850.7303734</v>
      </c>
      <c r="K15" s="11">
        <f t="shared" si="4"/>
        <v>2.2399999999999975E-2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11"/>
      <c r="H16" s="10"/>
      <c r="I16" s="10">
        <f t="shared" si="5"/>
        <v>667</v>
      </c>
      <c r="J16" s="10">
        <f t="shared" si="3"/>
        <v>4553902436.1603813</v>
      </c>
      <c r="K16" s="11">
        <f t="shared" si="4"/>
        <v>2.410000000000001E-2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11"/>
      <c r="H17" s="10"/>
      <c r="I17" s="10">
        <f t="shared" si="5"/>
        <v>667</v>
      </c>
      <c r="J17" s="10">
        <f t="shared" si="3"/>
        <v>4446736096.2409735</v>
      </c>
      <c r="K17" s="11">
        <f t="shared" si="4"/>
        <v>2.6100000000000012E-2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11"/>
      <c r="H18" s="10"/>
      <c r="I18" s="10">
        <f t="shared" si="5"/>
        <v>667</v>
      </c>
      <c r="J18" s="10">
        <f t="shared" si="3"/>
        <v>4333628395.128129</v>
      </c>
      <c r="K18" s="11">
        <f t="shared" si="4"/>
        <v>2.8100000000000014E-2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11"/>
      <c r="H19" s="10"/>
      <c r="I19" s="10">
        <f t="shared" si="5"/>
        <v>667</v>
      </c>
      <c r="J19" s="10">
        <f t="shared" si="3"/>
        <v>4215181786.9157953</v>
      </c>
      <c r="K19" s="11">
        <f t="shared" si="4"/>
        <v>3.0299999999999994E-2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11"/>
      <c r="H20" s="10"/>
      <c r="I20" s="10">
        <f t="shared" si="5"/>
        <v>667</v>
      </c>
      <c r="J20" s="10">
        <f t="shared" si="3"/>
        <v>4091217885.0002871</v>
      </c>
      <c r="K20" s="11">
        <f t="shared" si="4"/>
        <v>3.2599999999999962E-2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11"/>
      <c r="H21" s="10"/>
      <c r="I21" s="10">
        <f t="shared" si="5"/>
        <v>667</v>
      </c>
      <c r="J21" s="10">
        <f t="shared" si="3"/>
        <v>3962054895.4099236</v>
      </c>
      <c r="K21" s="11">
        <f t="shared" si="4"/>
        <v>3.4699999999999953E-2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11"/>
      <c r="H22" s="10"/>
      <c r="I22" s="10">
        <f t="shared" si="5"/>
        <v>667</v>
      </c>
      <c r="J22" s="10">
        <f t="shared" si="3"/>
        <v>3829182270.6194296</v>
      </c>
      <c r="K22" s="11">
        <f t="shared" si="4"/>
        <v>3.6299999999999999E-2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11"/>
      <c r="H23" s="10"/>
      <c r="I23" s="10">
        <f t="shared" si="5"/>
        <v>667</v>
      </c>
      <c r="J23" s="10">
        <f t="shared" si="3"/>
        <v>3695051887.1170797</v>
      </c>
      <c r="K23" s="11">
        <f t="shared" si="4"/>
        <v>3.7300000000000111E-2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11"/>
      <c r="H24" s="10"/>
      <c r="I24" s="10">
        <f t="shared" si="5"/>
        <v>667</v>
      </c>
      <c r="J24" s="10">
        <f t="shared" si="3"/>
        <v>3562182480.5910339</v>
      </c>
      <c r="K24" s="11">
        <f t="shared" si="4"/>
        <v>3.7700000000000067E-2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11"/>
      <c r="H25" s="10"/>
      <c r="I25" s="10">
        <f t="shared" si="5"/>
        <v>667</v>
      </c>
      <c r="J25" s="10">
        <f t="shared" si="3"/>
        <v>3432767158.7077513</v>
      </c>
      <c r="K25" s="11">
        <f t="shared" si="4"/>
        <v>3.8000000000000256E-2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11"/>
      <c r="H26" s="10"/>
      <c r="I26" s="10">
        <f t="shared" si="5"/>
        <v>667</v>
      </c>
      <c r="J26" s="10">
        <f t="shared" si="3"/>
        <v>3307097455.4024572</v>
      </c>
      <c r="K26" s="11">
        <f t="shared" si="4"/>
        <v>3.8699999999999957E-2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11"/>
      <c r="H27" s="10"/>
      <c r="I27" s="10">
        <f t="shared" si="5"/>
        <v>667</v>
      </c>
      <c r="J27" s="10">
        <f t="shared" si="3"/>
        <v>3183881250.9891763</v>
      </c>
      <c r="K27" s="11">
        <f t="shared" si="4"/>
        <v>3.9699999999999847E-2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11"/>
      <c r="H28" s="10"/>
      <c r="I28" s="10">
        <f t="shared" si="5"/>
        <v>667</v>
      </c>
      <c r="J28" s="10">
        <f t="shared" si="3"/>
        <v>3062307637.7697186</v>
      </c>
      <c r="K28" s="11">
        <f t="shared" si="4"/>
        <v>4.0100000000000247E-2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11"/>
      <c r="H29" s="10"/>
      <c r="I29" s="10">
        <f t="shared" si="5"/>
        <v>667</v>
      </c>
      <c r="J29" s="10">
        <f t="shared" si="3"/>
        <v>2944243474.4444938</v>
      </c>
      <c r="K29" s="11">
        <f t="shared" si="4"/>
        <v>3.9299999999999891E-2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11"/>
      <c r="H30" s="10"/>
      <c r="I30" s="10">
        <f t="shared" si="5"/>
        <v>667</v>
      </c>
      <c r="J30" s="10">
        <f t="shared" si="3"/>
        <v>2832910107.2303419</v>
      </c>
      <c r="K30" s="11">
        <f t="shared" si="4"/>
        <v>3.7099999999999689E-2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11"/>
      <c r="H31" s="10"/>
      <c r="I31" s="10">
        <f t="shared" si="5"/>
        <v>667</v>
      </c>
      <c r="J31" s="10">
        <f t="shared" si="3"/>
        <v>2731568901.0031266</v>
      </c>
      <c r="K31" s="11">
        <f t="shared" si="4"/>
        <v>3.400000000000003E-2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11"/>
      <c r="H32" s="10"/>
      <c r="I32" s="10">
        <f t="shared" si="5"/>
        <v>667</v>
      </c>
      <c r="J32" s="10">
        <f t="shared" si="3"/>
        <v>2641749420.6993489</v>
      </c>
      <c r="K32" s="11">
        <f t="shared" si="4"/>
        <v>3.1099999999999905E-2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11"/>
      <c r="H33" s="10"/>
      <c r="I33" s="10">
        <f t="shared" si="5"/>
        <v>667</v>
      </c>
      <c r="J33" s="10">
        <f t="shared" si="3"/>
        <v>2562069072.5432539</v>
      </c>
      <c r="K33" s="11">
        <f t="shared" si="4"/>
        <v>2.9099999999999904E-2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11"/>
      <c r="H34" s="10"/>
      <c r="I34" s="10">
        <f t="shared" si="5"/>
        <v>667</v>
      </c>
      <c r="J34" s="10">
        <f t="shared" ref="J34:J65" si="6">IF(I34="","",I34*C34)</f>
        <v>2489621098.5747294</v>
      </c>
      <c r="K34" s="11">
        <f t="shared" ref="K34:K65" si="7">IFERROR(J34/J35-1,"")</f>
        <v>2.7800000000000047E-2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11"/>
      <c r="H35" s="10"/>
      <c r="I35" s="10">
        <f t="shared" ref="I35:I66" si="8">IF(H35&lt;&gt;"",H35,I34/(1+IF(G34="",0,G34)))</f>
        <v>667</v>
      </c>
      <c r="J35" s="10">
        <f t="shared" si="6"/>
        <v>2422281668.1988025</v>
      </c>
      <c r="K35" s="11">
        <f t="shared" si="7"/>
        <v>2.6799999999999935E-2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11"/>
      <c r="H36" s="10"/>
      <c r="I36" s="10">
        <f t="shared" si="8"/>
        <v>667</v>
      </c>
      <c r="J36" s="10">
        <f t="shared" si="6"/>
        <v>2359058889.9481912</v>
      </c>
      <c r="K36" s="11">
        <f t="shared" si="7"/>
        <v>2.5900000000000034E-2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11"/>
      <c r="H37" s="10"/>
      <c r="I37" s="10">
        <f t="shared" si="8"/>
        <v>667</v>
      </c>
      <c r="J37" s="10">
        <f t="shared" si="6"/>
        <v>2299501793.4966283</v>
      </c>
      <c r="K37" s="11">
        <f t="shared" si="7"/>
        <v>2.5400000000000089E-2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11"/>
      <c r="H38" s="10"/>
      <c r="I38" s="10">
        <f t="shared" si="8"/>
        <v>667</v>
      </c>
      <c r="J38" s="10">
        <f t="shared" si="6"/>
        <v>2242541245.8519878</v>
      </c>
      <c r="K38" s="11">
        <f t="shared" si="7"/>
        <v>2.53000000000001E-2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11"/>
      <c r="H39" s="10"/>
      <c r="I39" s="10">
        <f t="shared" si="8"/>
        <v>667</v>
      </c>
      <c r="J39" s="10">
        <f t="shared" si="6"/>
        <v>2187204960.3550057</v>
      </c>
      <c r="K39" s="11">
        <f t="shared" si="7"/>
        <v>2.5199999999999889E-2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11"/>
      <c r="H40" s="10"/>
      <c r="I40" s="10">
        <f t="shared" si="8"/>
        <v>667</v>
      </c>
      <c r="J40" s="10">
        <f t="shared" si="6"/>
        <v>2133442216.4992256</v>
      </c>
      <c r="K40" s="11">
        <f t="shared" si="7"/>
        <v>2.53000000000001E-2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11"/>
      <c r="H41" s="10"/>
      <c r="I41" s="10">
        <f t="shared" si="8"/>
        <v>667</v>
      </c>
      <c r="J41" s="10">
        <f t="shared" si="6"/>
        <v>2080798026.4305329</v>
      </c>
      <c r="K41" s="11">
        <f t="shared" si="7"/>
        <v>2.5500000000000078E-2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11"/>
      <c r="H42" s="10"/>
      <c r="I42" s="10">
        <f t="shared" si="8"/>
        <v>667</v>
      </c>
      <c r="J42" s="10">
        <f t="shared" si="6"/>
        <v>2029057071.117048</v>
      </c>
      <c r="K42" s="11">
        <f t="shared" si="7"/>
        <v>2.5400000000000089E-2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11"/>
      <c r="H43" s="10"/>
      <c r="I43" s="10">
        <f t="shared" si="8"/>
        <v>667</v>
      </c>
      <c r="J43" s="10">
        <f t="shared" si="6"/>
        <v>1978795661.3195317</v>
      </c>
      <c r="K43" s="11">
        <f t="shared" si="7"/>
        <v>2.5199999999999889E-2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11"/>
      <c r="H44" s="10"/>
      <c r="I44" s="10">
        <f t="shared" si="8"/>
        <v>667</v>
      </c>
      <c r="J44" s="10">
        <f t="shared" si="6"/>
        <v>1930155736.7533476</v>
      </c>
      <c r="K44" s="11">
        <f t="shared" si="7"/>
        <v>2.4799999999999711E-2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11"/>
      <c r="H45" s="10"/>
      <c r="I45" s="10">
        <f t="shared" si="8"/>
        <v>667</v>
      </c>
      <c r="J45" s="10">
        <f t="shared" si="6"/>
        <v>1883446269.2753201</v>
      </c>
      <c r="K45" s="11">
        <f t="shared" si="7"/>
        <v>2.4399999999999977E-2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11"/>
      <c r="H46" s="10"/>
      <c r="I46" s="10">
        <f t="shared" si="8"/>
        <v>667</v>
      </c>
      <c r="J46" s="10">
        <f t="shared" si="6"/>
        <v>1838584800.1516206</v>
      </c>
      <c r="K46" s="11">
        <f t="shared" si="7"/>
        <v>2.3900000000000032E-2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11"/>
      <c r="H47" s="10"/>
      <c r="I47" s="10">
        <f t="shared" si="8"/>
        <v>667</v>
      </c>
      <c r="J47" s="10">
        <f t="shared" si="6"/>
        <v>1795668327.1331384</v>
      </c>
      <c r="K47" s="11">
        <f t="shared" si="7"/>
        <v>2.3300000000000098E-2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11"/>
      <c r="H48" s="10"/>
      <c r="I48" s="10">
        <f t="shared" si="8"/>
        <v>667</v>
      </c>
      <c r="J48" s="10">
        <f t="shared" si="6"/>
        <v>1754781908.6613293</v>
      </c>
      <c r="K48" s="11">
        <f t="shared" si="7"/>
        <v>2.2699999999999942E-2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11"/>
      <c r="H49" s="10"/>
      <c r="I49" s="10">
        <f t="shared" si="8"/>
        <v>667</v>
      </c>
      <c r="J49" s="10">
        <f t="shared" si="6"/>
        <v>1715832510.6691399</v>
      </c>
      <c r="K49" s="11">
        <f t="shared" si="7"/>
        <v>2.2299999999999986E-2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11"/>
      <c r="H50" s="10"/>
      <c r="I50" s="10">
        <f t="shared" si="8"/>
        <v>667</v>
      </c>
      <c r="J50" s="10">
        <f t="shared" si="6"/>
        <v>1678404099.2557371</v>
      </c>
      <c r="K50" s="11">
        <f t="shared" si="7"/>
        <v>2.2100000000000009E-2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11"/>
      <c r="H51" s="10"/>
      <c r="I51" s="10">
        <f t="shared" si="8"/>
        <v>667</v>
      </c>
      <c r="J51" s="10">
        <f t="shared" si="6"/>
        <v>1642113393.2645895</v>
      </c>
      <c r="K51" s="11">
        <f t="shared" si="7"/>
        <v>2.1900000000000031E-2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11"/>
      <c r="H52" s="10"/>
      <c r="I52" s="10">
        <f t="shared" si="8"/>
        <v>667</v>
      </c>
      <c r="J52" s="10">
        <f t="shared" si="6"/>
        <v>1606921805.719336</v>
      </c>
      <c r="K52" s="11">
        <f t="shared" si="7"/>
        <v>2.1800000000000042E-2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11"/>
      <c r="H53" s="10"/>
      <c r="I53" s="10">
        <f t="shared" si="8"/>
        <v>667</v>
      </c>
      <c r="J53" s="10">
        <f t="shared" si="6"/>
        <v>1572638290.9760578</v>
      </c>
      <c r="K53" s="11">
        <f t="shared" si="7"/>
        <v>2.1900000000000031E-2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11"/>
      <c r="H54" s="10"/>
      <c r="I54" s="10">
        <f t="shared" si="8"/>
        <v>667</v>
      </c>
      <c r="J54" s="10">
        <f t="shared" si="6"/>
        <v>1538935601.3074253</v>
      </c>
      <c r="K54" s="11">
        <f t="shared" si="7"/>
        <v>2.2100000000000009E-2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11"/>
      <c r="H55" s="10"/>
      <c r="I55" s="10">
        <f t="shared" si="8"/>
        <v>667</v>
      </c>
      <c r="J55" s="10">
        <f t="shared" si="6"/>
        <v>1505660504.1653707</v>
      </c>
      <c r="K55" s="11">
        <f t="shared" si="7"/>
        <v>2.2399999999999975E-2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11"/>
      <c r="H56" s="10"/>
      <c r="I56" s="10">
        <f t="shared" si="8"/>
        <v>667</v>
      </c>
      <c r="J56" s="10">
        <f t="shared" si="6"/>
        <v>1472672637.094455</v>
      </c>
      <c r="K56" s="11">
        <f t="shared" si="7"/>
        <v>2.2799999999999931E-2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11"/>
      <c r="H57" s="10"/>
      <c r="I57" s="10">
        <f t="shared" si="8"/>
        <v>667</v>
      </c>
      <c r="J57" s="10">
        <f t="shared" si="6"/>
        <v>1439844189.5722089</v>
      </c>
      <c r="K57" s="11">
        <f t="shared" si="7"/>
        <v>2.310000000000012E-2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11"/>
      <c r="H58" s="10"/>
      <c r="I58" s="10">
        <f t="shared" si="8"/>
        <v>667</v>
      </c>
      <c r="J58" s="10">
        <f t="shared" si="6"/>
        <v>1407334756.6926095</v>
      </c>
      <c r="K58" s="11">
        <f t="shared" si="7"/>
        <v>2.3099999999999676E-2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11"/>
      <c r="H59" s="10"/>
      <c r="I59" s="10">
        <f t="shared" si="8"/>
        <v>667</v>
      </c>
      <c r="J59" s="10">
        <f t="shared" si="6"/>
        <v>1375559336.0303099</v>
      </c>
      <c r="K59" s="11">
        <f t="shared" si="7"/>
        <v>2.2900000000000142E-2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11"/>
      <c r="H60" s="10"/>
      <c r="I60" s="10">
        <f t="shared" si="8"/>
        <v>667</v>
      </c>
      <c r="J60" s="10">
        <f t="shared" si="6"/>
        <v>1344764235.0477171</v>
      </c>
      <c r="K60" s="11">
        <f t="shared" si="7"/>
        <v>2.2599999999999953E-2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11"/>
      <c r="H61" s="10"/>
      <c r="I61" s="10">
        <f t="shared" si="8"/>
        <v>667</v>
      </c>
      <c r="J61" s="10">
        <f t="shared" si="6"/>
        <v>1315044235.3292756</v>
      </c>
      <c r="K61" s="11">
        <f t="shared" si="7"/>
        <v>2.2199999999999998E-2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11"/>
      <c r="H62" s="10"/>
      <c r="I62" s="10">
        <f t="shared" si="8"/>
        <v>667</v>
      </c>
      <c r="J62" s="10">
        <f t="shared" si="6"/>
        <v>1286484284.2196004</v>
      </c>
      <c r="K62" s="11">
        <f t="shared" si="7"/>
        <v>2.1600000000000064E-2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11"/>
      <c r="H63" s="10"/>
      <c r="I63" s="10">
        <f t="shared" si="8"/>
        <v>667</v>
      </c>
      <c r="J63" s="10">
        <f t="shared" si="6"/>
        <v>1259283755.1092408</v>
      </c>
      <c r="K63" s="11">
        <f t="shared" si="7"/>
        <v>2.1099999999999897E-2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11"/>
      <c r="H64" s="10"/>
      <c r="I64" s="10">
        <f t="shared" si="8"/>
        <v>667</v>
      </c>
      <c r="J64" s="10">
        <f t="shared" si="6"/>
        <v>1233261928.4195876</v>
      </c>
      <c r="K64" s="11">
        <f t="shared" si="7"/>
        <v>2.0599999999999952E-2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11"/>
      <c r="H65" s="10"/>
      <c r="I65" s="10">
        <f t="shared" si="8"/>
        <v>667</v>
      </c>
      <c r="J65" s="10">
        <f t="shared" si="6"/>
        <v>1208369516.3821161</v>
      </c>
      <c r="K65" s="11">
        <f t="shared" si="7"/>
        <v>2.0200000000000218E-2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6">
        <f>SUM(F2)</f>
        <v>9388939</v>
      </c>
      <c r="G66" s="11"/>
      <c r="H66" s="10"/>
      <c r="I66" s="10">
        <f t="shared" si="8"/>
        <v>667</v>
      </c>
      <c r="J66" s="10">
        <f t="shared" ref="J66:J97" si="9">IF(I66="","",I66*C66)</f>
        <v>1184443752.5799999</v>
      </c>
      <c r="K66" s="11">
        <f t="shared" ref="K66:K97" si="10">IFERROR(J66/J67-1,"")</f>
        <v>1.980000000000004E-2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11"/>
      <c r="H67" s="10"/>
      <c r="I67" s="10">
        <f t="shared" ref="I67:I98" si="11">IF(H67&lt;&gt;"",H67,I66/(1+IF(G66="",0,G66)))</f>
        <v>667</v>
      </c>
      <c r="J67" s="10">
        <f t="shared" si="9"/>
        <v>1161447100</v>
      </c>
      <c r="K67" s="11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5">
        <v>31644352</v>
      </c>
      <c r="G2" s="11"/>
      <c r="H2" s="10"/>
      <c r="I2" s="10">
        <f>IF(H2&lt;&gt;"",H2,6389)</f>
        <v>6389</v>
      </c>
      <c r="J2" s="10">
        <f t="shared" ref="J2:J33" si="3">IF(I2="","",I2*C2)</f>
        <v>202179658433.02756</v>
      </c>
      <c r="K2" s="11">
        <f t="shared" ref="K2:K33" si="4">IFERROR(J2/J3-1,"")</f>
        <v>1.639999999999997E-2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11"/>
      <c r="H3" s="10"/>
      <c r="I3" s="10">
        <f t="shared" ref="I3:I34" si="5">IF(H3&lt;&gt;"",H3,I2/(1+IF(G2="",0,G2)))</f>
        <v>6389</v>
      </c>
      <c r="J3" s="10">
        <f t="shared" si="3"/>
        <v>198917412862.08929</v>
      </c>
      <c r="K3" s="11">
        <f t="shared" si="4"/>
        <v>1.6899999999999915E-2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11"/>
      <c r="H4" s="10"/>
      <c r="I4" s="10">
        <f t="shared" si="5"/>
        <v>6389</v>
      </c>
      <c r="J4" s="10">
        <f t="shared" si="3"/>
        <v>195611577207.28616</v>
      </c>
      <c r="K4" s="11">
        <f t="shared" si="4"/>
        <v>1.7200000000000104E-2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11"/>
      <c r="H5" s="10"/>
      <c r="I5" s="10">
        <f t="shared" si="5"/>
        <v>6389</v>
      </c>
      <c r="J5" s="10">
        <f t="shared" si="3"/>
        <v>192303949279.67572</v>
      </c>
      <c r="K5" s="11">
        <f t="shared" si="4"/>
        <v>1.6799999999999926E-2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11"/>
      <c r="H6" s="10"/>
      <c r="I6" s="10">
        <f t="shared" si="5"/>
        <v>6389</v>
      </c>
      <c r="J6" s="10">
        <f t="shared" si="3"/>
        <v>189126622029.57883</v>
      </c>
      <c r="K6" s="11">
        <f t="shared" si="4"/>
        <v>1.5500000000000069E-2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11"/>
      <c r="H7" s="10"/>
      <c r="I7" s="10">
        <f t="shared" si="5"/>
        <v>6389</v>
      </c>
      <c r="J7" s="10">
        <f t="shared" si="3"/>
        <v>186239903524.9422</v>
      </c>
      <c r="K7" s="11">
        <f t="shared" si="4"/>
        <v>1.4100000000000001E-2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11"/>
      <c r="H8" s="10"/>
      <c r="I8" s="10">
        <f t="shared" si="5"/>
        <v>6389</v>
      </c>
      <c r="J8" s="10">
        <f t="shared" si="3"/>
        <v>183650432427.71149</v>
      </c>
      <c r="K8" s="11">
        <f t="shared" si="4"/>
        <v>1.3299999999999867E-2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11"/>
      <c r="H9" s="10"/>
      <c r="I9" s="10">
        <f t="shared" si="5"/>
        <v>6389</v>
      </c>
      <c r="J9" s="10">
        <f t="shared" si="3"/>
        <v>181239941209.6235</v>
      </c>
      <c r="K9" s="11">
        <f t="shared" si="4"/>
        <v>1.2999999999999901E-2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11"/>
      <c r="H10" s="10"/>
      <c r="I10" s="10">
        <f t="shared" si="5"/>
        <v>6389</v>
      </c>
      <c r="J10" s="10">
        <f t="shared" si="3"/>
        <v>178914058449.77643</v>
      </c>
      <c r="K10" s="11">
        <f t="shared" si="4"/>
        <v>1.2699999999999934E-2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11"/>
      <c r="H11" s="10"/>
      <c r="I11" s="10">
        <f t="shared" si="5"/>
        <v>6389</v>
      </c>
      <c r="J11" s="10">
        <f t="shared" si="3"/>
        <v>176670345067.4202</v>
      </c>
      <c r="K11" s="11">
        <f t="shared" si="4"/>
        <v>1.2499999999999956E-2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11"/>
      <c r="H12" s="10"/>
      <c r="I12" s="10">
        <f t="shared" si="5"/>
        <v>6389</v>
      </c>
      <c r="J12" s="10">
        <f t="shared" si="3"/>
        <v>174489229696.21747</v>
      </c>
      <c r="K12" s="11">
        <f t="shared" si="4"/>
        <v>1.2399999999999967E-2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11"/>
      <c r="H13" s="10"/>
      <c r="I13" s="10">
        <f t="shared" si="5"/>
        <v>6389</v>
      </c>
      <c r="J13" s="10">
        <f t="shared" si="3"/>
        <v>172352064101.3606</v>
      </c>
      <c r="K13" s="11">
        <f t="shared" si="4"/>
        <v>1.2599999999999945E-2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11"/>
      <c r="H14" s="10"/>
      <c r="I14" s="10">
        <f t="shared" si="5"/>
        <v>6389</v>
      </c>
      <c r="J14" s="10">
        <f t="shared" si="3"/>
        <v>170207450228.48175</v>
      </c>
      <c r="K14" s="11">
        <f t="shared" si="4"/>
        <v>1.3100000000000112E-2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11"/>
      <c r="H15" s="10"/>
      <c r="I15" s="10">
        <f t="shared" si="5"/>
        <v>6389</v>
      </c>
      <c r="J15" s="10">
        <f t="shared" si="3"/>
        <v>168006564236.97733</v>
      </c>
      <c r="K15" s="11">
        <f t="shared" si="4"/>
        <v>1.3600000000000056E-2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11"/>
      <c r="H16" s="10"/>
      <c r="I16" s="10">
        <f t="shared" si="5"/>
        <v>6389</v>
      </c>
      <c r="J16" s="10">
        <f t="shared" si="3"/>
        <v>165752332514.77637</v>
      </c>
      <c r="K16" s="11">
        <f t="shared" si="4"/>
        <v>1.4200000000000212E-2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11"/>
      <c r="H17" s="10"/>
      <c r="I17" s="10">
        <f t="shared" si="5"/>
        <v>6389</v>
      </c>
      <c r="J17" s="10">
        <f t="shared" si="3"/>
        <v>163431603741.64499</v>
      </c>
      <c r="K17" s="11">
        <f t="shared" si="4"/>
        <v>1.4499999999999957E-2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11"/>
      <c r="H18" s="10"/>
      <c r="I18" s="10">
        <f t="shared" si="5"/>
        <v>6389</v>
      </c>
      <c r="J18" s="10">
        <f t="shared" si="3"/>
        <v>161095715861.65106</v>
      </c>
      <c r="K18" s="11">
        <f t="shared" si="4"/>
        <v>1.4599999999999946E-2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11"/>
      <c r="H19" s="10"/>
      <c r="I19" s="10">
        <f t="shared" si="5"/>
        <v>6389</v>
      </c>
      <c r="J19" s="10">
        <f t="shared" si="3"/>
        <v>158777563435.49289</v>
      </c>
      <c r="K19" s="11">
        <f t="shared" si="4"/>
        <v>1.440000000000019E-2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11"/>
      <c r="H20" s="10"/>
      <c r="I20" s="10">
        <f t="shared" si="5"/>
        <v>6389</v>
      </c>
      <c r="J20" s="10">
        <f t="shared" si="3"/>
        <v>156523623260.54108</v>
      </c>
      <c r="K20" s="11">
        <f t="shared" si="4"/>
        <v>1.4099999999999779E-2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11"/>
      <c r="H21" s="10"/>
      <c r="I21" s="10">
        <f t="shared" si="5"/>
        <v>6389</v>
      </c>
      <c r="J21" s="10">
        <f t="shared" si="3"/>
        <v>154347325964.44247</v>
      </c>
      <c r="K21" s="11">
        <f t="shared" si="4"/>
        <v>1.4000000000000012E-2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11"/>
      <c r="H22" s="10"/>
      <c r="I22" s="10">
        <f t="shared" si="5"/>
        <v>6389</v>
      </c>
      <c r="J22" s="10">
        <f t="shared" si="3"/>
        <v>152216297795.30817</v>
      </c>
      <c r="K22" s="11">
        <f t="shared" si="4"/>
        <v>1.4300000000000201E-2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11"/>
      <c r="H23" s="10"/>
      <c r="I23" s="10">
        <f t="shared" si="5"/>
        <v>6389</v>
      </c>
      <c r="J23" s="10">
        <f t="shared" si="3"/>
        <v>150070292610.97125</v>
      </c>
      <c r="K23" s="11">
        <f t="shared" si="4"/>
        <v>1.4999999999999902E-2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11"/>
      <c r="H24" s="10"/>
      <c r="I24" s="10">
        <f t="shared" si="5"/>
        <v>6389</v>
      </c>
      <c r="J24" s="10">
        <f t="shared" si="3"/>
        <v>147852505035.43967</v>
      </c>
      <c r="K24" s="11">
        <f t="shared" si="4"/>
        <v>1.6000000000000014E-2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11"/>
      <c r="H25" s="10"/>
      <c r="I25" s="10">
        <f t="shared" si="5"/>
        <v>6389</v>
      </c>
      <c r="J25" s="10">
        <f t="shared" si="3"/>
        <v>145524119129.36975</v>
      </c>
      <c r="K25" s="11">
        <f t="shared" si="4"/>
        <v>1.7400000000000082E-2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11"/>
      <c r="H26" s="10"/>
      <c r="I26" s="10">
        <f t="shared" si="5"/>
        <v>6389</v>
      </c>
      <c r="J26" s="10">
        <f t="shared" si="3"/>
        <v>143035304825.40765</v>
      </c>
      <c r="K26" s="11">
        <f t="shared" si="4"/>
        <v>1.8899999999999917E-2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11"/>
      <c r="H27" s="10"/>
      <c r="I27" s="10">
        <f t="shared" si="5"/>
        <v>6389</v>
      </c>
      <c r="J27" s="10">
        <f t="shared" si="3"/>
        <v>140382083448.23599</v>
      </c>
      <c r="K27" s="11">
        <f t="shared" si="4"/>
        <v>2.0599999999999952E-2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11"/>
      <c r="H28" s="10"/>
      <c r="I28" s="10">
        <f t="shared" si="5"/>
        <v>6389</v>
      </c>
      <c r="J28" s="10">
        <f t="shared" si="3"/>
        <v>137548582645.73389</v>
      </c>
      <c r="K28" s="11">
        <f t="shared" si="4"/>
        <v>2.2399999999999975E-2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11"/>
      <c r="H29" s="10"/>
      <c r="I29" s="10">
        <f t="shared" si="5"/>
        <v>6389</v>
      </c>
      <c r="J29" s="10">
        <f t="shared" si="3"/>
        <v>134534998675.40482</v>
      </c>
      <c r="K29" s="11">
        <f t="shared" si="4"/>
        <v>2.410000000000001E-2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11"/>
      <c r="H30" s="10"/>
      <c r="I30" s="10">
        <f t="shared" si="5"/>
        <v>6389</v>
      </c>
      <c r="J30" s="10">
        <f t="shared" si="3"/>
        <v>131369005639.49303</v>
      </c>
      <c r="K30" s="11">
        <f t="shared" si="4"/>
        <v>2.5400000000000089E-2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11"/>
      <c r="H31" s="10"/>
      <c r="I31" s="10">
        <f t="shared" si="5"/>
        <v>6389</v>
      </c>
      <c r="J31" s="10">
        <f t="shared" si="3"/>
        <v>128114887497.0675</v>
      </c>
      <c r="K31" s="11">
        <f t="shared" si="4"/>
        <v>2.6100000000000012E-2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11"/>
      <c r="H32" s="10"/>
      <c r="I32" s="10">
        <f t="shared" si="5"/>
        <v>6389</v>
      </c>
      <c r="J32" s="10">
        <f t="shared" si="3"/>
        <v>124856142186.01259</v>
      </c>
      <c r="K32" s="11">
        <f t="shared" si="4"/>
        <v>2.5799999999999823E-2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11"/>
      <c r="H33" s="10"/>
      <c r="I33" s="10">
        <f t="shared" si="5"/>
        <v>6389</v>
      </c>
      <c r="J33" s="10">
        <f t="shared" si="3"/>
        <v>121715872671.09827</v>
      </c>
      <c r="K33" s="11">
        <f t="shared" si="4"/>
        <v>2.4700000000000166E-2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11"/>
      <c r="H34" s="10"/>
      <c r="I34" s="10">
        <f t="shared" si="5"/>
        <v>6389</v>
      </c>
      <c r="J34" s="10">
        <f t="shared" ref="J34:J65" si="6">IF(I34="","",I34*C34)</f>
        <v>118781958301.06203</v>
      </c>
      <c r="K34" s="11">
        <f t="shared" ref="K34:K65" si="7">IFERROR(J34/J35-1,"")</f>
        <v>2.3300000000000098E-2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11"/>
      <c r="H35" s="10"/>
      <c r="I35" s="10">
        <f t="shared" ref="I35:I66" si="8">IF(H35&lt;&gt;"",H35,I34/(1+IF(G34="",0,G34)))</f>
        <v>6389</v>
      </c>
      <c r="J35" s="10">
        <f t="shared" si="6"/>
        <v>116077355908.39638</v>
      </c>
      <c r="K35" s="11">
        <f t="shared" si="7"/>
        <v>2.2299999999999986E-2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11"/>
      <c r="H36" s="10"/>
      <c r="I36" s="10">
        <f t="shared" si="8"/>
        <v>6389</v>
      </c>
      <c r="J36" s="10">
        <f t="shared" si="6"/>
        <v>113545295811.7934</v>
      </c>
      <c r="K36" s="11">
        <f t="shared" si="7"/>
        <v>2.1900000000000031E-2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11"/>
      <c r="H37" s="10"/>
      <c r="I37" s="10">
        <f t="shared" si="8"/>
        <v>6389</v>
      </c>
      <c r="J37" s="10">
        <f t="shared" si="6"/>
        <v>111111944233.08875</v>
      </c>
      <c r="K37" s="11">
        <f t="shared" si="7"/>
        <v>2.2299999999999986E-2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11"/>
      <c r="H38" s="10"/>
      <c r="I38" s="10">
        <f t="shared" si="8"/>
        <v>6389</v>
      </c>
      <c r="J38" s="10">
        <f t="shared" si="6"/>
        <v>108688197430.39102</v>
      </c>
      <c r="K38" s="11">
        <f t="shared" si="7"/>
        <v>2.3399999999999865E-2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11"/>
      <c r="H39" s="10"/>
      <c r="I39" s="10">
        <f t="shared" si="8"/>
        <v>6389</v>
      </c>
      <c r="J39" s="10">
        <f t="shared" si="6"/>
        <v>106203046150.47003</v>
      </c>
      <c r="K39" s="11">
        <f t="shared" si="7"/>
        <v>2.4799999999999933E-2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11"/>
      <c r="H40" s="10"/>
      <c r="I40" s="10">
        <f t="shared" si="8"/>
        <v>6389</v>
      </c>
      <c r="J40" s="10">
        <f t="shared" si="6"/>
        <v>103632949014.9005</v>
      </c>
      <c r="K40" s="11">
        <f t="shared" si="7"/>
        <v>2.6200000000000001E-2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11"/>
      <c r="H41" s="10"/>
      <c r="I41" s="10">
        <f t="shared" si="8"/>
        <v>6389</v>
      </c>
      <c r="J41" s="10">
        <f t="shared" si="6"/>
        <v>100987087326.93481</v>
      </c>
      <c r="K41" s="11">
        <f t="shared" si="7"/>
        <v>2.7199999999999891E-2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11"/>
      <c r="H42" s="10"/>
      <c r="I42" s="10">
        <f t="shared" si="8"/>
        <v>6389</v>
      </c>
      <c r="J42" s="10">
        <f t="shared" si="6"/>
        <v>98312974422.639038</v>
      </c>
      <c r="K42" s="11">
        <f t="shared" si="7"/>
        <v>2.7600000000000069E-2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11"/>
      <c r="H43" s="10"/>
      <c r="I43" s="10">
        <f t="shared" si="8"/>
        <v>6389</v>
      </c>
      <c r="J43" s="10">
        <f t="shared" si="6"/>
        <v>95672415747.994385</v>
      </c>
      <c r="K43" s="11">
        <f t="shared" si="7"/>
        <v>2.7300000000000102E-2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11"/>
      <c r="H44" s="10"/>
      <c r="I44" s="10">
        <f t="shared" si="8"/>
        <v>6389</v>
      </c>
      <c r="J44" s="10">
        <f t="shared" si="6"/>
        <v>93129967631.65033</v>
      </c>
      <c r="K44" s="11">
        <f t="shared" si="7"/>
        <v>2.6599999999999957E-2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11"/>
      <c r="H45" s="10"/>
      <c r="I45" s="10">
        <f t="shared" si="8"/>
        <v>6389</v>
      </c>
      <c r="J45" s="10">
        <f t="shared" si="6"/>
        <v>90716898141.097153</v>
      </c>
      <c r="K45" s="11">
        <f t="shared" si="7"/>
        <v>2.5700000000000056E-2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11"/>
      <c r="H46" s="10"/>
      <c r="I46" s="10">
        <f t="shared" si="8"/>
        <v>6389</v>
      </c>
      <c r="J46" s="10">
        <f t="shared" si="6"/>
        <v>88443890163.8853</v>
      </c>
      <c r="K46" s="11">
        <f t="shared" si="7"/>
        <v>2.50999999999999E-2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11"/>
      <c r="H47" s="10"/>
      <c r="I47" s="10">
        <f t="shared" si="8"/>
        <v>6389</v>
      </c>
      <c r="J47" s="10">
        <f t="shared" si="6"/>
        <v>86278304715.52562</v>
      </c>
      <c r="K47" s="11">
        <f t="shared" si="7"/>
        <v>2.4899999999999922E-2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11"/>
      <c r="H48" s="10"/>
      <c r="I48" s="10">
        <f t="shared" si="8"/>
        <v>6389</v>
      </c>
      <c r="J48" s="10">
        <f t="shared" si="6"/>
        <v>84182168714.533737</v>
      </c>
      <c r="K48" s="11">
        <f t="shared" si="7"/>
        <v>2.50999999999999E-2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11"/>
      <c r="H49" s="10"/>
      <c r="I49" s="10">
        <f t="shared" si="8"/>
        <v>6389</v>
      </c>
      <c r="J49" s="10">
        <f t="shared" si="6"/>
        <v>82120933288.980331</v>
      </c>
      <c r="K49" s="11">
        <f t="shared" si="7"/>
        <v>2.53000000000001E-2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11"/>
      <c r="H50" s="10"/>
      <c r="I50" s="10">
        <f t="shared" si="8"/>
        <v>6389</v>
      </c>
      <c r="J50" s="10">
        <f t="shared" si="6"/>
        <v>80094541391.768585</v>
      </c>
      <c r="K50" s="11">
        <f t="shared" si="7"/>
        <v>2.5500000000000078E-2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11"/>
      <c r="H51" s="10"/>
      <c r="I51" s="10">
        <f t="shared" si="8"/>
        <v>6389</v>
      </c>
      <c r="J51" s="10">
        <f t="shared" si="6"/>
        <v>78102917008.062973</v>
      </c>
      <c r="K51" s="11">
        <f t="shared" si="7"/>
        <v>2.5600000000000289E-2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11"/>
      <c r="H52" s="10"/>
      <c r="I52" s="10">
        <f t="shared" si="8"/>
        <v>6389</v>
      </c>
      <c r="J52" s="10">
        <f t="shared" si="6"/>
        <v>76153390218.470123</v>
      </c>
      <c r="K52" s="11">
        <f t="shared" si="7"/>
        <v>2.5600000000000067E-2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11"/>
      <c r="H53" s="10"/>
      <c r="I53" s="10">
        <f t="shared" si="8"/>
        <v>6389</v>
      </c>
      <c r="J53" s="10">
        <f t="shared" si="6"/>
        <v>74252525564.03093</v>
      </c>
      <c r="K53" s="11">
        <f t="shared" si="7"/>
        <v>2.5600000000000067E-2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11"/>
      <c r="H54" s="10"/>
      <c r="I54" s="10">
        <f t="shared" si="8"/>
        <v>6389</v>
      </c>
      <c r="J54" s="10">
        <f t="shared" si="6"/>
        <v>72399108389.265717</v>
      </c>
      <c r="K54" s="11">
        <f t="shared" si="7"/>
        <v>2.5499999999999856E-2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11"/>
      <c r="H55" s="10"/>
      <c r="I55" s="10">
        <f t="shared" si="8"/>
        <v>6389</v>
      </c>
      <c r="J55" s="10">
        <f t="shared" si="6"/>
        <v>70598838019.761795</v>
      </c>
      <c r="K55" s="11">
        <f t="shared" si="7"/>
        <v>2.5600000000000289E-2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11"/>
      <c r="H56" s="10"/>
      <c r="I56" s="10">
        <f t="shared" si="8"/>
        <v>6389</v>
      </c>
      <c r="J56" s="10">
        <f t="shared" si="6"/>
        <v>68836620534.089096</v>
      </c>
      <c r="K56" s="11">
        <f t="shared" si="7"/>
        <v>2.5699999999999834E-2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11"/>
      <c r="H57" s="10"/>
      <c r="I57" s="10">
        <f t="shared" si="8"/>
        <v>6389</v>
      </c>
      <c r="J57" s="10">
        <f t="shared" si="6"/>
        <v>67111846089.586723</v>
      </c>
      <c r="K57" s="11">
        <f t="shared" si="7"/>
        <v>2.6000000000000023E-2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11"/>
      <c r="H58" s="10"/>
      <c r="I58" s="10">
        <f t="shared" si="8"/>
        <v>6389</v>
      </c>
      <c r="J58" s="10">
        <f t="shared" si="6"/>
        <v>65411156032.735596</v>
      </c>
      <c r="K58" s="11">
        <f t="shared" si="7"/>
        <v>2.6600000000000179E-2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11"/>
      <c r="H59" s="10"/>
      <c r="I59" s="10">
        <f t="shared" si="8"/>
        <v>6389</v>
      </c>
      <c r="J59" s="10">
        <f t="shared" si="6"/>
        <v>63716302389.183311</v>
      </c>
      <c r="K59" s="11">
        <f t="shared" si="7"/>
        <v>2.7400000000000091E-2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11"/>
      <c r="H60" s="10"/>
      <c r="I60" s="10">
        <f t="shared" si="8"/>
        <v>6389</v>
      </c>
      <c r="J60" s="10">
        <f t="shared" si="6"/>
        <v>62017035613.376785</v>
      </c>
      <c r="K60" s="11">
        <f t="shared" si="7"/>
        <v>2.8100000000000236E-2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11"/>
      <c r="H61" s="10"/>
      <c r="I61" s="10">
        <f t="shared" si="8"/>
        <v>6389</v>
      </c>
      <c r="J61" s="10">
        <f t="shared" si="6"/>
        <v>60321987757.394005</v>
      </c>
      <c r="K61" s="11">
        <f t="shared" si="7"/>
        <v>2.8399999999999981E-2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11"/>
      <c r="H62" s="10"/>
      <c r="I62" s="10">
        <f t="shared" si="8"/>
        <v>6389</v>
      </c>
      <c r="J62" s="10">
        <f t="shared" si="6"/>
        <v>58656153011.857262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G63" s="11"/>
      <c r="H63" s="10"/>
      <c r="I63" s="10">
        <f t="shared" si="8"/>
        <v>6389</v>
      </c>
      <c r="J63" s="10">
        <f t="shared" si="6"/>
        <v>57058514602.973984</v>
      </c>
      <c r="K63" s="11">
        <f t="shared" si="7"/>
        <v>2.7300000000000102E-2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11"/>
      <c r="H64" s="10"/>
      <c r="I64" s="10">
        <f t="shared" si="8"/>
        <v>6389</v>
      </c>
      <c r="J64" s="10">
        <f t="shared" si="6"/>
        <v>55542212209.65052</v>
      </c>
      <c r="K64" s="11">
        <f t="shared" si="7"/>
        <v>2.6499999999999746E-2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11"/>
      <c r="H65" s="10"/>
      <c r="I65" s="10">
        <f t="shared" si="8"/>
        <v>6389</v>
      </c>
      <c r="J65" s="10">
        <f t="shared" si="6"/>
        <v>54108341168.680496</v>
      </c>
      <c r="K65" s="11">
        <f t="shared" si="7"/>
        <v>2.5700000000000056E-2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6">
        <f>SUM(F2)</f>
        <v>31644352</v>
      </c>
      <c r="G66" s="11"/>
      <c r="H66" s="10"/>
      <c r="I66" s="10">
        <f t="shared" si="8"/>
        <v>6389</v>
      </c>
      <c r="J66" s="10">
        <f t="shared" ref="J66:J97" si="9">IF(I66="","",I66*C66)</f>
        <v>52752599364.999992</v>
      </c>
      <c r="K66" s="11">
        <f t="shared" ref="K66:K97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11"/>
      <c r="H67" s="10"/>
      <c r="I67" s="10">
        <f t="shared" ref="I67:I98" si="11">IF(H67&lt;&gt;"",H67,I66/(1+IF(G66="",0,G66)))</f>
        <v>6389</v>
      </c>
      <c r="J67" s="10">
        <f t="shared" si="9"/>
        <v>51465950600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5">
        <v>71957346</v>
      </c>
      <c r="G2" s="11"/>
      <c r="H2" s="10"/>
      <c r="I2" s="10">
        <f>IF(H2&lt;&gt;"",H2,10992)</f>
        <v>10992</v>
      </c>
      <c r="J2" s="10">
        <f t="shared" ref="J2:J33" si="3">IF(I2="","",I2*C2)</f>
        <v>790955934675.02002</v>
      </c>
      <c r="K2" s="11">
        <f t="shared" ref="K2:K33" si="4">IFERROR(J2/J3-1,"")</f>
        <v>8.0000000000000071E-3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11"/>
      <c r="H3" s="10"/>
      <c r="I3" s="10">
        <f t="shared" ref="I3:I34" si="5">IF(H3&lt;&gt;"",H3,I2/(1+IF(G2="",0,G2)))</f>
        <v>10992</v>
      </c>
      <c r="J3" s="10">
        <f t="shared" si="3"/>
        <v>784678506622.0437</v>
      </c>
      <c r="K3" s="11">
        <f t="shared" si="4"/>
        <v>8.3000000000001961E-3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11"/>
      <c r="H4" s="10"/>
      <c r="I4" s="10">
        <f t="shared" si="5"/>
        <v>10992</v>
      </c>
      <c r="J4" s="10">
        <f t="shared" si="3"/>
        <v>778219286543.73059</v>
      </c>
      <c r="K4" s="11">
        <f t="shared" si="4"/>
        <v>8.69999999999993E-3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11"/>
      <c r="H5" s="10"/>
      <c r="I5" s="10">
        <f t="shared" si="5"/>
        <v>10992</v>
      </c>
      <c r="J5" s="10">
        <f t="shared" si="3"/>
        <v>771507174128.81006</v>
      </c>
      <c r="K5" s="11">
        <f t="shared" si="4"/>
        <v>8.899999999999908E-3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11"/>
      <c r="H6" s="10"/>
      <c r="I6" s="10">
        <f t="shared" si="5"/>
        <v>10992</v>
      </c>
      <c r="J6" s="10">
        <f t="shared" si="3"/>
        <v>764701332271.5929</v>
      </c>
      <c r="K6" s="11">
        <f t="shared" si="4"/>
        <v>8.999999999999897E-3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11"/>
      <c r="H7" s="10"/>
      <c r="I7" s="10">
        <f t="shared" si="5"/>
        <v>10992</v>
      </c>
      <c r="J7" s="10">
        <f t="shared" si="3"/>
        <v>757880408594.24475</v>
      </c>
      <c r="K7" s="11">
        <f t="shared" si="4"/>
        <v>9.4999999999998419E-3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11"/>
      <c r="H8" s="10"/>
      <c r="I8" s="10">
        <f t="shared" si="5"/>
        <v>10992</v>
      </c>
      <c r="J8" s="10">
        <f t="shared" si="3"/>
        <v>750748299746.65161</v>
      </c>
      <c r="K8" s="11">
        <f t="shared" si="4"/>
        <v>1.010000000000022E-2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11"/>
      <c r="H9" s="10"/>
      <c r="I9" s="10">
        <f t="shared" si="5"/>
        <v>10992</v>
      </c>
      <c r="J9" s="10">
        <f t="shared" si="3"/>
        <v>743241559990.745</v>
      </c>
      <c r="K9" s="11">
        <f t="shared" si="4"/>
        <v>1.0299999999999976E-2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11"/>
      <c r="H10" s="10"/>
      <c r="I10" s="10">
        <f t="shared" si="5"/>
        <v>10992</v>
      </c>
      <c r="J10" s="10">
        <f t="shared" si="3"/>
        <v>735664218539.78516</v>
      </c>
      <c r="K10" s="11">
        <f t="shared" si="4"/>
        <v>1.0699999999999932E-2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11"/>
      <c r="H11" s="10"/>
      <c r="I11" s="10">
        <f t="shared" si="5"/>
        <v>10992</v>
      </c>
      <c r="J11" s="10">
        <f t="shared" si="3"/>
        <v>727875945918.45776</v>
      </c>
      <c r="K11" s="11">
        <f t="shared" si="4"/>
        <v>1.1200000000000099E-2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11"/>
      <c r="H12" s="10"/>
      <c r="I12" s="10">
        <f t="shared" si="5"/>
        <v>10992</v>
      </c>
      <c r="J12" s="10">
        <f t="shared" si="3"/>
        <v>719814028795.94312</v>
      </c>
      <c r="K12" s="11">
        <f t="shared" si="4"/>
        <v>1.1500000000000066E-2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11"/>
      <c r="H13" s="10"/>
      <c r="I13" s="10">
        <f t="shared" si="5"/>
        <v>10992</v>
      </c>
      <c r="J13" s="10">
        <f t="shared" si="3"/>
        <v>711630280569.39502</v>
      </c>
      <c r="K13" s="11">
        <f t="shared" si="4"/>
        <v>1.1700000000000044E-2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11"/>
      <c r="H14" s="10"/>
      <c r="I14" s="10">
        <f t="shared" si="5"/>
        <v>10992</v>
      </c>
      <c r="J14" s="10">
        <f t="shared" si="3"/>
        <v>703400494780.46362</v>
      </c>
      <c r="K14" s="11">
        <f t="shared" si="4"/>
        <v>1.2000000000000011E-2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11"/>
      <c r="H15" s="10"/>
      <c r="I15" s="10">
        <f t="shared" si="5"/>
        <v>10992</v>
      </c>
      <c r="J15" s="10">
        <f t="shared" si="3"/>
        <v>695059777451.05103</v>
      </c>
      <c r="K15" s="11">
        <f t="shared" si="4"/>
        <v>1.2599999999999945E-2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11"/>
      <c r="H16" s="10"/>
      <c r="I16" s="10">
        <f t="shared" si="5"/>
        <v>10992</v>
      </c>
      <c r="J16" s="10">
        <f t="shared" si="3"/>
        <v>686410998865.34766</v>
      </c>
      <c r="K16" s="11">
        <f t="shared" si="4"/>
        <v>1.3400000000000079E-2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11"/>
      <c r="H17" s="10"/>
      <c r="I17" s="10">
        <f t="shared" si="5"/>
        <v>10992</v>
      </c>
      <c r="J17" s="10">
        <f t="shared" si="3"/>
        <v>677334713701.74426</v>
      </c>
      <c r="K17" s="11">
        <f t="shared" si="4"/>
        <v>1.4299999999999979E-2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11"/>
      <c r="H18" s="10"/>
      <c r="I18" s="10">
        <f t="shared" si="5"/>
        <v>10992</v>
      </c>
      <c r="J18" s="10">
        <f t="shared" si="3"/>
        <v>667785382728.72351</v>
      </c>
      <c r="K18" s="11">
        <f t="shared" si="4"/>
        <v>1.5099999999999891E-2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11"/>
      <c r="H19" s="10"/>
      <c r="I19" s="10">
        <f t="shared" si="5"/>
        <v>10992</v>
      </c>
      <c r="J19" s="10">
        <f t="shared" si="3"/>
        <v>657851820243.05347</v>
      </c>
      <c r="K19" s="11">
        <f t="shared" si="4"/>
        <v>1.5900000000000025E-2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11"/>
      <c r="H20" s="10"/>
      <c r="I20" s="10">
        <f t="shared" si="5"/>
        <v>10992</v>
      </c>
      <c r="J20" s="10">
        <f t="shared" si="3"/>
        <v>647555684853.87683</v>
      </c>
      <c r="K20" s="11">
        <f t="shared" si="4"/>
        <v>1.6799999999999926E-2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11"/>
      <c r="H21" s="10"/>
      <c r="I21" s="10">
        <f t="shared" si="5"/>
        <v>10992</v>
      </c>
      <c r="J21" s="10">
        <f t="shared" si="3"/>
        <v>636856495725.6853</v>
      </c>
      <c r="K21" s="11">
        <f t="shared" si="4"/>
        <v>1.7900000000000027E-2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11"/>
      <c r="H22" s="10"/>
      <c r="I22" s="10">
        <f t="shared" si="5"/>
        <v>10992</v>
      </c>
      <c r="J22" s="10">
        <f t="shared" si="3"/>
        <v>625657231285.67175</v>
      </c>
      <c r="K22" s="11">
        <f t="shared" si="4"/>
        <v>1.9099999999999895E-2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11"/>
      <c r="H23" s="10"/>
      <c r="I23" s="10">
        <f t="shared" si="5"/>
        <v>10992</v>
      </c>
      <c r="J23" s="10">
        <f t="shared" si="3"/>
        <v>613931146389.62988</v>
      </c>
      <c r="K23" s="11">
        <f t="shared" si="4"/>
        <v>2.0199999999999996E-2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11"/>
      <c r="H24" s="10"/>
      <c r="I24" s="10">
        <f t="shared" si="5"/>
        <v>10992</v>
      </c>
      <c r="J24" s="10">
        <f t="shared" si="3"/>
        <v>601775285620.10376</v>
      </c>
      <c r="K24" s="11">
        <f t="shared" si="4"/>
        <v>2.1200000000000108E-2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11"/>
      <c r="H25" s="10"/>
      <c r="I25" s="10">
        <f t="shared" si="5"/>
        <v>10992</v>
      </c>
      <c r="J25" s="10">
        <f t="shared" si="3"/>
        <v>589282496690.27002</v>
      </c>
      <c r="K25" s="11">
        <f t="shared" si="4"/>
        <v>2.1900000000000031E-2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11"/>
      <c r="H26" s="10"/>
      <c r="I26" s="10">
        <f t="shared" si="5"/>
        <v>10992</v>
      </c>
      <c r="J26" s="10">
        <f t="shared" si="3"/>
        <v>576653778931.6665</v>
      </c>
      <c r="K26" s="11">
        <f t="shared" si="4"/>
        <v>2.2400000000000198E-2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11"/>
      <c r="H27" s="10"/>
      <c r="I27" s="10">
        <f t="shared" si="5"/>
        <v>10992</v>
      </c>
      <c r="J27" s="10">
        <f t="shared" si="3"/>
        <v>564019736826.74731</v>
      </c>
      <c r="K27" s="11">
        <f t="shared" si="4"/>
        <v>2.2799999999999931E-2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11"/>
      <c r="H28" s="10"/>
      <c r="I28" s="10">
        <f t="shared" si="5"/>
        <v>10992</v>
      </c>
      <c r="J28" s="10">
        <f t="shared" si="3"/>
        <v>551446750906.0885</v>
      </c>
      <c r="K28" s="11">
        <f t="shared" si="4"/>
        <v>2.3300000000000098E-2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11"/>
      <c r="H29" s="10"/>
      <c r="I29" s="10">
        <f t="shared" si="5"/>
        <v>10992</v>
      </c>
      <c r="J29" s="10">
        <f t="shared" si="3"/>
        <v>538890599927.77142</v>
      </c>
      <c r="K29" s="11">
        <f t="shared" si="4"/>
        <v>2.3900000000000032E-2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11"/>
      <c r="H30" s="10"/>
      <c r="I30" s="10">
        <f t="shared" si="5"/>
        <v>10992</v>
      </c>
      <c r="J30" s="10">
        <f t="shared" si="3"/>
        <v>526311749123.7146</v>
      </c>
      <c r="K30" s="11">
        <f t="shared" si="4"/>
        <v>2.4499999999999966E-2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11"/>
      <c r="H31" s="10"/>
      <c r="I31" s="10">
        <f t="shared" si="5"/>
        <v>10992</v>
      </c>
      <c r="J31" s="10">
        <f t="shared" si="3"/>
        <v>513725474986.54425</v>
      </c>
      <c r="K31" s="11">
        <f t="shared" si="4"/>
        <v>2.50999999999999E-2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11"/>
      <c r="H32" s="10"/>
      <c r="I32" s="10">
        <f t="shared" si="5"/>
        <v>10992</v>
      </c>
      <c r="J32" s="10">
        <f t="shared" si="3"/>
        <v>501146692992.4342</v>
      </c>
      <c r="K32" s="11">
        <f t="shared" si="4"/>
        <v>2.5800000000000045E-2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11"/>
      <c r="H33" s="10"/>
      <c r="I33" s="10">
        <f t="shared" si="5"/>
        <v>10992</v>
      </c>
      <c r="J33" s="10">
        <f t="shared" si="3"/>
        <v>488542301610.87366</v>
      </c>
      <c r="K33" s="11">
        <f t="shared" si="4"/>
        <v>2.6399999999999979E-2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11"/>
      <c r="H34" s="10"/>
      <c r="I34" s="10">
        <f t="shared" si="5"/>
        <v>10992</v>
      </c>
      <c r="J34" s="10">
        <f t="shared" ref="J34:J65" si="6">IF(I34="","",I34*C34)</f>
        <v>475976521444.73273</v>
      </c>
      <c r="K34" s="11">
        <f t="shared" ref="K34:K65" si="7">IFERROR(J34/J35-1,"")</f>
        <v>2.6799999999999935E-2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11"/>
      <c r="H35" s="10"/>
      <c r="I35" s="10">
        <f t="shared" ref="I35:I66" si="8">IF(H35&lt;&gt;"",H35,I34/(1+IF(G34="",0,G34)))</f>
        <v>10992</v>
      </c>
      <c r="J35" s="10">
        <f t="shared" si="6"/>
        <v>463553293187.31281</v>
      </c>
      <c r="K35" s="11">
        <f t="shared" si="7"/>
        <v>2.7099999999999902E-2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11"/>
      <c r="H36" s="10"/>
      <c r="I36" s="10">
        <f t="shared" si="8"/>
        <v>10992</v>
      </c>
      <c r="J36" s="10">
        <f t="shared" si="6"/>
        <v>451322454665.8678</v>
      </c>
      <c r="K36" s="11">
        <f t="shared" si="7"/>
        <v>2.7199999999999891E-2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11"/>
      <c r="H37" s="10"/>
      <c r="I37" s="10">
        <f t="shared" si="8"/>
        <v>10992</v>
      </c>
      <c r="J37" s="10">
        <f t="shared" si="6"/>
        <v>439371548545.43207</v>
      </c>
      <c r="K37" s="11">
        <f t="shared" si="7"/>
        <v>2.7300000000000102E-2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11"/>
      <c r="H38" s="10"/>
      <c r="I38" s="10">
        <f t="shared" si="8"/>
        <v>10992</v>
      </c>
      <c r="J38" s="10">
        <f t="shared" si="6"/>
        <v>427695462421.32971</v>
      </c>
      <c r="K38" s="11">
        <f t="shared" si="7"/>
        <v>2.7600000000000291E-2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11"/>
      <c r="H39" s="10"/>
      <c r="I39" s="10">
        <f t="shared" si="8"/>
        <v>10992</v>
      </c>
      <c r="J39" s="10">
        <f t="shared" si="6"/>
        <v>416208118354.73883</v>
      </c>
      <c r="K39" s="11">
        <f t="shared" si="7"/>
        <v>2.8099999999999792E-2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11"/>
      <c r="H40" s="10"/>
      <c r="I40" s="10">
        <f t="shared" si="8"/>
        <v>10992</v>
      </c>
      <c r="J40" s="10">
        <f t="shared" si="6"/>
        <v>404832329884.97119</v>
      </c>
      <c r="K40" s="11">
        <f t="shared" si="7"/>
        <v>2.8800000000000159E-2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11"/>
      <c r="H41" s="10"/>
      <c r="I41" s="10">
        <f t="shared" si="8"/>
        <v>10992</v>
      </c>
      <c r="J41" s="10">
        <f t="shared" si="6"/>
        <v>393499543045.26746</v>
      </c>
      <c r="K41" s="11">
        <f t="shared" si="7"/>
        <v>2.970000000000006E-2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11"/>
      <c r="H42" s="10"/>
      <c r="I42" s="10">
        <f t="shared" si="8"/>
        <v>10992</v>
      </c>
      <c r="J42" s="10">
        <f t="shared" si="6"/>
        <v>382149697043.08777</v>
      </c>
      <c r="K42" s="11">
        <f t="shared" si="7"/>
        <v>3.0499999999999972E-2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11"/>
      <c r="H43" s="10"/>
      <c r="I43" s="10">
        <f t="shared" si="8"/>
        <v>10992</v>
      </c>
      <c r="J43" s="10">
        <f t="shared" si="6"/>
        <v>370839104360.10455</v>
      </c>
      <c r="K43" s="11">
        <f t="shared" si="7"/>
        <v>3.1300000000000106E-2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11"/>
      <c r="H44" s="10"/>
      <c r="I44" s="10">
        <f t="shared" si="8"/>
        <v>10992</v>
      </c>
      <c r="J44" s="10">
        <f t="shared" si="6"/>
        <v>359584121361.48987</v>
      </c>
      <c r="K44" s="11">
        <f t="shared" si="7"/>
        <v>3.2100000000000017E-2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11"/>
      <c r="H45" s="10"/>
      <c r="I45" s="10">
        <f t="shared" si="8"/>
        <v>10992</v>
      </c>
      <c r="J45" s="10">
        <f t="shared" si="6"/>
        <v>348400466390.35931</v>
      </c>
      <c r="K45" s="11">
        <f t="shared" si="7"/>
        <v>3.2699999999999951E-2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11"/>
      <c r="H46" s="10"/>
      <c r="I46" s="10">
        <f t="shared" si="8"/>
        <v>10992</v>
      </c>
      <c r="J46" s="10">
        <f t="shared" si="6"/>
        <v>337368515919.78247</v>
      </c>
      <c r="K46" s="11">
        <f t="shared" si="7"/>
        <v>3.3300000000000107E-2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11"/>
      <c r="H47" s="10"/>
      <c r="I47" s="10">
        <f t="shared" si="8"/>
        <v>10992</v>
      </c>
      <c r="J47" s="10">
        <f t="shared" si="6"/>
        <v>326496192702.77985</v>
      </c>
      <c r="K47" s="11">
        <f t="shared" si="7"/>
        <v>3.3800000000000052E-2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11"/>
      <c r="H48" s="10"/>
      <c r="I48" s="10">
        <f t="shared" si="8"/>
        <v>10992</v>
      </c>
      <c r="J48" s="10">
        <f t="shared" si="6"/>
        <v>315821428422.11243</v>
      </c>
      <c r="K48" s="11">
        <f t="shared" si="7"/>
        <v>3.4200000000000008E-2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11"/>
      <c r="H49" s="10"/>
      <c r="I49" s="10">
        <f t="shared" si="8"/>
        <v>10992</v>
      </c>
      <c r="J49" s="10">
        <f t="shared" si="6"/>
        <v>305377517329.44537</v>
      </c>
      <c r="K49" s="11">
        <f t="shared" si="7"/>
        <v>3.4299999999999997E-2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11"/>
      <c r="H50" s="10"/>
      <c r="I50" s="10">
        <f t="shared" si="8"/>
        <v>10992</v>
      </c>
      <c r="J50" s="10">
        <f t="shared" si="6"/>
        <v>295250427660.6839</v>
      </c>
      <c r="K50" s="11">
        <f t="shared" si="7"/>
        <v>3.4000000000000252E-2</v>
      </c>
      <c r="L50" t="inlineStr">
        <is>
          <t xml:space="preserve">Seytinemasi Civil War (1717-19).</t>
        </is>
      </c>
      <c r="M50" t="inlineStr">
        <is>
          <t xml:space="preserve">Seytinemasi Civil War (1717-19): an internal conflict.</t>
        </is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11"/>
      <c r="H51" s="10"/>
      <c r="I51" s="10">
        <f t="shared" si="8"/>
        <v>10992</v>
      </c>
      <c r="J51" s="10">
        <f t="shared" si="6"/>
        <v>285541999671.84125</v>
      </c>
      <c r="K51" s="11">
        <f t="shared" si="7"/>
        <v>3.3400000000000096E-2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11"/>
      <c r="H52" s="10"/>
      <c r="I52" s="10">
        <f t="shared" si="8"/>
        <v>10992</v>
      </c>
      <c r="J52" s="10">
        <f t="shared" si="6"/>
        <v>276313140770.11926</v>
      </c>
      <c r="K52" s="11">
        <f t="shared" si="7"/>
        <v>3.2599999999999962E-2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11"/>
      <c r="H53" s="10"/>
      <c r="I53" s="10">
        <f t="shared" si="8"/>
        <v>10992</v>
      </c>
      <c r="J53" s="10">
        <f t="shared" si="6"/>
        <v>267589716027.6189</v>
      </c>
      <c r="K53" s="11">
        <f t="shared" si="7"/>
        <v>3.180000000000005E-2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11"/>
      <c r="H54" s="10"/>
      <c r="I54" s="10">
        <f t="shared" si="8"/>
        <v>10992</v>
      </c>
      <c r="J54" s="10">
        <f t="shared" si="6"/>
        <v>259342620689.68686</v>
      </c>
      <c r="K54" s="11">
        <f t="shared" si="7"/>
        <v>3.1100000000000128E-2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11"/>
      <c r="H55" s="10"/>
      <c r="I55" s="10">
        <f t="shared" si="8"/>
        <v>10992</v>
      </c>
      <c r="J55" s="10">
        <f t="shared" si="6"/>
        <v>251520338172.52142</v>
      </c>
      <c r="K55" s="11">
        <f t="shared" si="7"/>
        <v>3.0599999999999739E-2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11"/>
      <c r="H56" s="10"/>
      <c r="I56" s="10">
        <f t="shared" si="8"/>
        <v>10992</v>
      </c>
      <c r="J56" s="10">
        <f t="shared" si="6"/>
        <v>244052336670.40701</v>
      </c>
      <c r="K56" s="11">
        <f t="shared" si="7"/>
        <v>3.0600000000000183E-2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11"/>
      <c r="H57" s="10"/>
      <c r="I57" s="10">
        <f t="shared" si="8"/>
        <v>10992</v>
      </c>
      <c r="J57" s="10">
        <f t="shared" si="6"/>
        <v>236806070900.84125</v>
      </c>
      <c r="K57" s="11">
        <f t="shared" si="7"/>
        <v>3.1199999999999894E-2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11"/>
      <c r="H58" s="10"/>
      <c r="I58" s="10">
        <f t="shared" si="8"/>
        <v>10992</v>
      </c>
      <c r="J58" s="10">
        <f t="shared" si="6"/>
        <v>229641263480.25726</v>
      </c>
      <c r="K58" s="11">
        <f t="shared" si="7"/>
        <v>3.2399999999999984E-2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11"/>
      <c r="H59" s="10"/>
      <c r="I59" s="10">
        <f t="shared" si="8"/>
        <v>10992</v>
      </c>
      <c r="J59" s="10">
        <f t="shared" si="6"/>
        <v>222434389267.97488</v>
      </c>
      <c r="K59" s="11">
        <f t="shared" si="7"/>
        <v>3.3700000000000063E-2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11"/>
      <c r="H60" s="10"/>
      <c r="I60" s="10">
        <f t="shared" si="8"/>
        <v>10992</v>
      </c>
      <c r="J60" s="10">
        <f t="shared" si="6"/>
        <v>215182731225.6698</v>
      </c>
      <c r="K60" s="11">
        <f t="shared" si="7"/>
        <v>3.4699999999999953E-2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11"/>
      <c r="H61" s="10"/>
      <c r="I61" s="10">
        <f t="shared" si="8"/>
        <v>10992</v>
      </c>
      <c r="J61" s="10">
        <f t="shared" si="6"/>
        <v>207966300595.02252</v>
      </c>
      <c r="K61" s="11">
        <f t="shared" si="7"/>
        <v>3.5099999999999909E-2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11"/>
      <c r="H62" s="10"/>
      <c r="I62" s="10">
        <f t="shared" si="8"/>
        <v>10992</v>
      </c>
      <c r="J62" s="10">
        <f t="shared" si="6"/>
        <v>200914211762.17038</v>
      </c>
      <c r="K62" s="11">
        <f t="shared" si="7"/>
        <v>3.4700000000000175E-2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11"/>
      <c r="H63" s="10"/>
      <c r="I63" s="10">
        <f t="shared" si="8"/>
        <v>10992</v>
      </c>
      <c r="J63" s="10">
        <f t="shared" si="6"/>
        <v>194176294348.28488</v>
      </c>
      <c r="K63" s="11">
        <f t="shared" si="7"/>
        <v>3.3400000000000318E-2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11"/>
      <c r="H64" s="10"/>
      <c r="I64" s="10">
        <f t="shared" si="8"/>
        <v>10992</v>
      </c>
      <c r="J64" s="10">
        <f t="shared" si="6"/>
        <v>187900420309.93307</v>
      </c>
      <c r="K64" s="11">
        <f t="shared" si="7"/>
        <v>3.1400000000000095E-2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11"/>
      <c r="H65" s="10"/>
      <c r="I65" s="10">
        <f t="shared" si="8"/>
        <v>10992</v>
      </c>
      <c r="J65" s="10">
        <f t="shared" si="6"/>
        <v>182179969274.70724</v>
      </c>
      <c r="K65" s="11">
        <f t="shared" si="7"/>
        <v>2.9400000000000093E-2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6">
        <f>SUM(F2)</f>
        <v>71957346</v>
      </c>
      <c r="G66" s="11"/>
      <c r="H66" s="10"/>
      <c r="I66" s="10">
        <f t="shared" si="8"/>
        <v>10992</v>
      </c>
      <c r="J66" s="10">
        <f t="shared" ref="J66:J97" si="9">IF(I66="","",I66*C66)</f>
        <v>176976849888.00003</v>
      </c>
      <c r="K66" s="11">
        <f t="shared" ref="K66:K97" si="10">IFERROR(J66/J67-1,"")</f>
        <v>2.750000000000008E-2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11"/>
      <c r="H67" s="10"/>
      <c r="I67" s="10">
        <f t="shared" ref="I67:I98" si="11">IF(H67&lt;&gt;"",H67,I66/(1+IF(G66="",0,G66)))</f>
        <v>10992</v>
      </c>
      <c r="J67" s="10">
        <f t="shared" si="9"/>
        <v>172240243200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5">
        <v>31948027</v>
      </c>
      <c r="G2" s="11"/>
      <c r="H2" s="10"/>
      <c r="I2" s="10">
        <f>IF(H2&lt;&gt;"",H2,492)</f>
        <v>492</v>
      </c>
      <c r="J2" s="10">
        <f t="shared" ref="J2:J33" si="3">IF(I2="","",I2*C2)</f>
        <v>15718621002.536705</v>
      </c>
      <c r="K2" s="11">
        <f t="shared" ref="K2:K33" si="4">IFERROR(J2/J3-1,"")</f>
        <v>2.9400000000000093E-2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11"/>
      <c r="H3" s="10"/>
      <c r="I3" s="10">
        <f t="shared" ref="I3:I34" si="5">IF(H3&lt;&gt;"",H3,I2/(1+IF(G2="",0,G2)))</f>
        <v>492</v>
      </c>
      <c r="J3" s="10">
        <f t="shared" si="3"/>
        <v>15269692056.087725</v>
      </c>
      <c r="K3" s="11">
        <f t="shared" si="4"/>
        <v>2.9500000000000082E-2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11"/>
      <c r="H4" s="10"/>
      <c r="I4" s="10">
        <f t="shared" si="5"/>
        <v>492</v>
      </c>
      <c r="J4" s="10">
        <f t="shared" si="3"/>
        <v>14832143813.586908</v>
      </c>
      <c r="K4" s="11">
        <f t="shared" si="4"/>
        <v>2.9600000000000071E-2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11"/>
      <c r="H5" s="10"/>
      <c r="I5" s="10">
        <f t="shared" si="5"/>
        <v>492</v>
      </c>
      <c r="J5" s="10">
        <f t="shared" si="3"/>
        <v>14405734084.680368</v>
      </c>
      <c r="K5" s="11">
        <f t="shared" si="4"/>
        <v>2.970000000000006E-2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11"/>
      <c r="H6" s="10"/>
      <c r="I6" s="10">
        <f t="shared" si="5"/>
        <v>492</v>
      </c>
      <c r="J6" s="10">
        <f t="shared" si="3"/>
        <v>13990224419.423491</v>
      </c>
      <c r="K6" s="11">
        <f t="shared" si="4"/>
        <v>2.9900000000000038E-2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11"/>
      <c r="H7" s="10"/>
      <c r="I7" s="10">
        <f t="shared" si="5"/>
        <v>492</v>
      </c>
      <c r="J7" s="10">
        <f t="shared" si="3"/>
        <v>13584060995.653452</v>
      </c>
      <c r="K7" s="11">
        <f t="shared" si="4"/>
        <v>3.0200000000000005E-2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11"/>
      <c r="H8" s="10"/>
      <c r="I8" s="10">
        <f t="shared" si="5"/>
        <v>492</v>
      </c>
      <c r="J8" s="10">
        <f t="shared" si="3"/>
        <v>13185848374.736412</v>
      </c>
      <c r="K8" s="11">
        <f t="shared" si="4"/>
        <v>3.0600000000000183E-2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11"/>
      <c r="H9" s="10"/>
      <c r="I9" s="10">
        <f t="shared" si="5"/>
        <v>492</v>
      </c>
      <c r="J9" s="10">
        <f t="shared" si="3"/>
        <v>12794341524.098982</v>
      </c>
      <c r="K9" s="11">
        <f t="shared" si="4"/>
        <v>3.1099999999999905E-2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11"/>
      <c r="H10" s="10"/>
      <c r="I10" s="10">
        <f t="shared" si="5"/>
        <v>492</v>
      </c>
      <c r="J10" s="10">
        <f t="shared" si="3"/>
        <v>12408439069.051483</v>
      </c>
      <c r="K10" s="11">
        <f t="shared" si="4"/>
        <v>3.1600000000000072E-2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11"/>
      <c r="H11" s="10"/>
      <c r="I11" s="10">
        <f t="shared" si="5"/>
        <v>492</v>
      </c>
      <c r="J11" s="10">
        <f t="shared" si="3"/>
        <v>12028343417.072006</v>
      </c>
      <c r="K11" s="11">
        <f t="shared" si="4"/>
        <v>3.2100000000000017E-2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11"/>
      <c r="H12" s="10"/>
      <c r="I12" s="10">
        <f t="shared" si="5"/>
        <v>492</v>
      </c>
      <c r="J12" s="10">
        <f t="shared" si="3"/>
        <v>11654242241.13168</v>
      </c>
      <c r="K12" s="11">
        <f t="shared" si="4"/>
        <v>3.2599999999999962E-2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11"/>
      <c r="H13" s="10"/>
      <c r="I13" s="10">
        <f t="shared" si="5"/>
        <v>492</v>
      </c>
      <c r="J13" s="10">
        <f t="shared" si="3"/>
        <v>11286308581.378733</v>
      </c>
      <c r="K13" s="11">
        <f t="shared" si="4"/>
        <v>3.2999999999999918E-2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11"/>
      <c r="H14" s="10"/>
      <c r="I14" s="10">
        <f t="shared" si="5"/>
        <v>492</v>
      </c>
      <c r="J14" s="10">
        <f t="shared" si="3"/>
        <v>10925758549.253372</v>
      </c>
      <c r="K14" s="11">
        <f t="shared" si="4"/>
        <v>3.3300000000000107E-2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11"/>
      <c r="H15" s="10"/>
      <c r="I15" s="10">
        <f t="shared" si="5"/>
        <v>492</v>
      </c>
      <c r="J15" s="10">
        <f t="shared" si="3"/>
        <v>10573655810.755222</v>
      </c>
      <c r="K15" s="11">
        <f t="shared" si="4"/>
        <v>3.3400000000000096E-2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11"/>
      <c r="H16" s="10"/>
      <c r="I16" s="10">
        <f t="shared" si="5"/>
        <v>492</v>
      </c>
      <c r="J16" s="10">
        <f t="shared" si="3"/>
        <v>10231910016.213684</v>
      </c>
      <c r="K16" s="11">
        <f t="shared" si="4"/>
        <v>3.3199999999999896E-2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11"/>
      <c r="H17" s="10"/>
      <c r="I17" s="10">
        <f t="shared" si="5"/>
        <v>492</v>
      </c>
      <c r="J17" s="10">
        <f t="shared" si="3"/>
        <v>9903126225.5262146</v>
      </c>
      <c r="K17" s="11">
        <f t="shared" si="4"/>
        <v>3.2899999999999929E-2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11"/>
      <c r="H18" s="10"/>
      <c r="I18" s="10">
        <f t="shared" si="5"/>
        <v>492</v>
      </c>
      <c r="J18" s="10">
        <f t="shared" si="3"/>
        <v>9587691185.5225239</v>
      </c>
      <c r="K18" s="11">
        <f t="shared" si="4"/>
        <v>3.2499999999999973E-2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11"/>
      <c r="H19" s="10"/>
      <c r="I19" s="10">
        <f t="shared" si="5"/>
        <v>492</v>
      </c>
      <c r="J19" s="10">
        <f t="shared" si="3"/>
        <v>9285899453.2905807</v>
      </c>
      <c r="K19" s="11">
        <f t="shared" si="4"/>
        <v>3.2100000000000017E-2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11"/>
      <c r="H20" s="10"/>
      <c r="I20" s="10">
        <f t="shared" si="5"/>
        <v>492</v>
      </c>
      <c r="J20" s="10">
        <f t="shared" si="3"/>
        <v>8997092775.2064533</v>
      </c>
      <c r="K20" s="11">
        <f t="shared" si="4"/>
        <v>3.1600000000000072E-2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11"/>
      <c r="H21" s="10"/>
      <c r="I21" s="10">
        <f t="shared" si="5"/>
        <v>492</v>
      </c>
      <c r="J21" s="10">
        <f t="shared" si="3"/>
        <v>8721493578.1373138</v>
      </c>
      <c r="K21" s="11">
        <f t="shared" si="4"/>
        <v>3.1099999999999905E-2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11"/>
      <c r="H22" s="10"/>
      <c r="I22" s="10">
        <f t="shared" si="5"/>
        <v>492</v>
      </c>
      <c r="J22" s="10">
        <f t="shared" si="3"/>
        <v>8458436211.9458008</v>
      </c>
      <c r="K22" s="11">
        <f t="shared" si="4"/>
        <v>3.0599999999999961E-2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11"/>
      <c r="H23" s="10"/>
      <c r="I23" s="10">
        <f t="shared" si="5"/>
        <v>492</v>
      </c>
      <c r="J23" s="10">
        <f t="shared" si="3"/>
        <v>8207293044.7756653</v>
      </c>
      <c r="K23" s="11">
        <f t="shared" si="4"/>
        <v>3.0299999999999994E-2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11"/>
      <c r="H24" s="10"/>
      <c r="I24" s="10">
        <f t="shared" si="5"/>
        <v>492</v>
      </c>
      <c r="J24" s="10">
        <f t="shared" si="3"/>
        <v>7965925502.0631514</v>
      </c>
      <c r="K24" s="11">
        <f t="shared" si="4"/>
        <v>3.0200000000000005E-2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11"/>
      <c r="H25" s="10"/>
      <c r="I25" s="10">
        <f t="shared" si="5"/>
        <v>492</v>
      </c>
      <c r="J25" s="10">
        <f t="shared" si="3"/>
        <v>7732406816.2135038</v>
      </c>
      <c r="K25" s="11">
        <f t="shared" si="4"/>
        <v>3.0499999999999972E-2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11"/>
      <c r="H26" s="10"/>
      <c r="I26" s="10">
        <f t="shared" si="5"/>
        <v>492</v>
      </c>
      <c r="J26" s="10">
        <f t="shared" si="3"/>
        <v>7503548584.3896208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11"/>
      <c r="H27" s="10"/>
      <c r="I27" s="10">
        <f t="shared" si="5"/>
        <v>492</v>
      </c>
      <c r="J27" s="10">
        <f t="shared" si="3"/>
        <v>7277226829.9773273</v>
      </c>
      <c r="K27" s="11">
        <f t="shared" si="4"/>
        <v>3.2200000000000006E-2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11"/>
      <c r="H28" s="10"/>
      <c r="I28" s="10">
        <f t="shared" si="5"/>
        <v>492</v>
      </c>
      <c r="J28" s="10">
        <f t="shared" si="3"/>
        <v>7050210065.85674</v>
      </c>
      <c r="K28" s="11">
        <f t="shared" si="4"/>
        <v>3.3600000000000074E-2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11"/>
      <c r="H29" s="10"/>
      <c r="I29" s="10">
        <f t="shared" si="5"/>
        <v>492</v>
      </c>
      <c r="J29" s="10">
        <f t="shared" si="3"/>
        <v>6821023670.5270309</v>
      </c>
      <c r="K29" s="11">
        <f t="shared" si="4"/>
        <v>3.5099999999999909E-2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11"/>
      <c r="H30" s="10"/>
      <c r="I30" s="10">
        <f t="shared" si="5"/>
        <v>492</v>
      </c>
      <c r="J30" s="10">
        <f t="shared" si="3"/>
        <v>6589724345.9830275</v>
      </c>
      <c r="K30" s="11">
        <f t="shared" si="4"/>
        <v>3.6599999999999966E-2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11"/>
      <c r="H31" s="10"/>
      <c r="I31" s="10">
        <f t="shared" si="5"/>
        <v>492</v>
      </c>
      <c r="J31" s="10">
        <f t="shared" si="3"/>
        <v>6357056092.9799614</v>
      </c>
      <c r="K31" s="11">
        <f t="shared" si="4"/>
        <v>3.8100000000000023E-2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11"/>
      <c r="H32" s="10"/>
      <c r="I32" s="10">
        <f t="shared" si="5"/>
        <v>492</v>
      </c>
      <c r="J32" s="10">
        <f t="shared" si="3"/>
        <v>6123741540.2947321</v>
      </c>
      <c r="K32" s="11">
        <f t="shared" si="4"/>
        <v>3.9400000000000102E-2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11"/>
      <c r="H33" s="10"/>
      <c r="I33" s="10">
        <f t="shared" si="5"/>
        <v>492</v>
      </c>
      <c r="J33" s="10">
        <f t="shared" si="3"/>
        <v>5891612026.4525032</v>
      </c>
      <c r="K33" s="11">
        <f t="shared" si="4"/>
        <v>4.0300000000000002E-2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11"/>
      <c r="H34" s="10"/>
      <c r="I34" s="10">
        <f t="shared" si="5"/>
        <v>492</v>
      </c>
      <c r="J34" s="10">
        <f t="shared" ref="J34:J65" si="6">IF(I34="","",I34*C34)</f>
        <v>5663377897.1955233</v>
      </c>
      <c r="K34" s="11">
        <f t="shared" ref="K34:K65" si="7">IFERROR(J34/J35-1,"")</f>
        <v>4.0699999999999958E-2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11"/>
      <c r="H35" s="10"/>
      <c r="I35" s="10">
        <f t="shared" ref="I35:I66" si="8">IF(H35&lt;&gt;"",H35,I34/(1+IF(G34="",0,G34)))</f>
        <v>492</v>
      </c>
      <c r="J35" s="10">
        <f t="shared" si="6"/>
        <v>5441892857.8798151</v>
      </c>
      <c r="K35" s="11">
        <f t="shared" si="7"/>
        <v>4.070000000000018E-2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11"/>
      <c r="H36" s="10"/>
      <c r="I36" s="10">
        <f t="shared" si="8"/>
        <v>492</v>
      </c>
      <c r="J36" s="10">
        <f t="shared" si="6"/>
        <v>5229069720.265028</v>
      </c>
      <c r="K36" s="11">
        <f t="shared" si="7"/>
        <v>4.0399999999999991E-2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11"/>
      <c r="H37" s="10"/>
      <c r="I37" s="10">
        <f t="shared" si="8"/>
        <v>492</v>
      </c>
      <c r="J37" s="10">
        <f t="shared" si="6"/>
        <v>5026018570.0355902</v>
      </c>
      <c r="K37" s="11">
        <f t="shared" si="7"/>
        <v>3.9700000000000069E-2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11"/>
      <c r="H38" s="10"/>
      <c r="I38" s="10">
        <f t="shared" si="8"/>
        <v>492</v>
      </c>
      <c r="J38" s="10">
        <f t="shared" si="6"/>
        <v>4834104616.7505913</v>
      </c>
      <c r="K38" s="11">
        <f t="shared" si="7"/>
        <v>3.8899999999999935E-2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11"/>
      <c r="H39" s="10"/>
      <c r="I39" s="10">
        <f t="shared" si="8"/>
        <v>492</v>
      </c>
      <c r="J39" s="10">
        <f t="shared" si="6"/>
        <v>4653099063.1924067</v>
      </c>
      <c r="K39" s="11">
        <f t="shared" si="7"/>
        <v>3.8100000000000023E-2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11"/>
      <c r="H40" s="10"/>
      <c r="I40" s="10">
        <f t="shared" si="8"/>
        <v>492</v>
      </c>
      <c r="J40" s="10">
        <f t="shared" si="6"/>
        <v>4482322573.1551933</v>
      </c>
      <c r="K40" s="11">
        <f t="shared" si="7"/>
        <v>3.7300000000000111E-2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11"/>
      <c r="H41" s="10"/>
      <c r="I41" s="10">
        <f t="shared" si="8"/>
        <v>492</v>
      </c>
      <c r="J41" s="10">
        <f t="shared" si="6"/>
        <v>4321143905.4807606</v>
      </c>
      <c r="K41" s="11">
        <f t="shared" si="7"/>
        <v>3.6499999999999977E-2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11"/>
      <c r="H42" s="10"/>
      <c r="I42" s="10">
        <f t="shared" si="8"/>
        <v>492</v>
      </c>
      <c r="J42" s="10">
        <f t="shared" si="6"/>
        <v>4168976271.5685101</v>
      </c>
      <c r="K42" s="11">
        <f t="shared" si="7"/>
        <v>3.5800000000000054E-2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11"/>
      <c r="H43" s="10"/>
      <c r="I43" s="10">
        <f t="shared" si="8"/>
        <v>492</v>
      </c>
      <c r="J43" s="10">
        <f t="shared" si="6"/>
        <v>4024885375.1385498</v>
      </c>
      <c r="K43" s="11">
        <f t="shared" si="7"/>
        <v>3.5199999999999898E-2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11"/>
      <c r="H44" s="10"/>
      <c r="I44" s="10">
        <f t="shared" si="8"/>
        <v>492</v>
      </c>
      <c r="J44" s="10">
        <f t="shared" si="6"/>
        <v>3888026830.6979814</v>
      </c>
      <c r="K44" s="11">
        <f t="shared" si="7"/>
        <v>3.4699999999999953E-2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11"/>
      <c r="H45" s="10"/>
      <c r="I45" s="10">
        <f t="shared" si="8"/>
        <v>492</v>
      </c>
      <c r="J45" s="10">
        <f t="shared" si="6"/>
        <v>3757636832.6065345</v>
      </c>
      <c r="K45" s="11">
        <f t="shared" si="7"/>
        <v>3.4299999999999997E-2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11"/>
      <c r="H46" s="10"/>
      <c r="I46" s="10">
        <f t="shared" si="8"/>
        <v>492</v>
      </c>
      <c r="J46" s="10">
        <f t="shared" si="6"/>
        <v>3633024105.7783375</v>
      </c>
      <c r="K46" s="11">
        <f t="shared" si="7"/>
        <v>3.3900000000000041E-2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11"/>
      <c r="H47" s="10"/>
      <c r="I47" s="10">
        <f t="shared" si="8"/>
        <v>492</v>
      </c>
      <c r="J47" s="10">
        <f t="shared" si="6"/>
        <v>3513902800.8301935</v>
      </c>
      <c r="K47" s="11">
        <f t="shared" si="7"/>
        <v>3.3199999999999896E-2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11"/>
      <c r="H48" s="10"/>
      <c r="I48" s="10">
        <f t="shared" si="8"/>
        <v>492</v>
      </c>
      <c r="J48" s="10">
        <f t="shared" si="6"/>
        <v>3400989934.9885731</v>
      </c>
      <c r="K48" s="11">
        <f t="shared" si="7"/>
        <v>3.2100000000000017E-2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11"/>
      <c r="H49" s="10"/>
      <c r="I49" s="10">
        <f t="shared" si="8"/>
        <v>492</v>
      </c>
      <c r="J49" s="10">
        <f t="shared" si="6"/>
        <v>3295213579.0994797</v>
      </c>
      <c r="K49" s="11">
        <f t="shared" si="7"/>
        <v>3.069999999999995E-2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11"/>
      <c r="H50" s="10"/>
      <c r="I50" s="10">
        <f t="shared" si="8"/>
        <v>492</v>
      </c>
      <c r="J50" s="10">
        <f t="shared" si="6"/>
        <v>3197063722.8092365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11"/>
      <c r="H51" s="10"/>
      <c r="I51" s="10">
        <f t="shared" si="8"/>
        <v>492</v>
      </c>
      <c r="J51" s="10">
        <f t="shared" si="6"/>
        <v>3106659919.1616335</v>
      </c>
      <c r="K51" s="11">
        <f t="shared" si="7"/>
        <v>2.750000000000008E-2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11"/>
      <c r="H52" s="10"/>
      <c r="I52" s="10">
        <f t="shared" si="8"/>
        <v>492</v>
      </c>
      <c r="J52" s="10">
        <f t="shared" si="6"/>
        <v>3023513303.3203244</v>
      </c>
      <c r="K52" s="11">
        <f t="shared" si="7"/>
        <v>2.6100000000000012E-2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11"/>
      <c r="H53" s="10"/>
      <c r="I53" s="10">
        <f t="shared" si="8"/>
        <v>492</v>
      </c>
      <c r="J53" s="10">
        <f t="shared" si="6"/>
        <v>2946606864.1656022</v>
      </c>
      <c r="K53" s="11">
        <f t="shared" si="7"/>
        <v>2.4899999999999922E-2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11"/>
      <c r="H54" s="10"/>
      <c r="I54" s="10">
        <f t="shared" si="8"/>
        <v>492</v>
      </c>
      <c r="J54" s="10">
        <f t="shared" si="6"/>
        <v>2875018893.7121692</v>
      </c>
      <c r="K54" s="11">
        <f t="shared" si="7"/>
        <v>2.410000000000001E-2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11"/>
      <c r="H55" s="10"/>
      <c r="I55" s="10">
        <f t="shared" si="8"/>
        <v>492</v>
      </c>
      <c r="J55" s="10">
        <f t="shared" si="6"/>
        <v>2807361481.9960642</v>
      </c>
      <c r="K55" s="11">
        <f t="shared" si="7"/>
        <v>2.3600000000000065E-2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11"/>
      <c r="H56" s="10"/>
      <c r="I56" s="10">
        <f t="shared" si="8"/>
        <v>492</v>
      </c>
      <c r="J56" s="10">
        <f t="shared" si="6"/>
        <v>2742635289.1716137</v>
      </c>
      <c r="K56" s="11">
        <f t="shared" si="7"/>
        <v>2.3400000000000087E-2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11"/>
      <c r="H57" s="10"/>
      <c r="I57" s="10">
        <f t="shared" si="8"/>
        <v>492</v>
      </c>
      <c r="J57" s="10">
        <f t="shared" si="6"/>
        <v>2679925043.1616311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11"/>
      <c r="H58" s="10"/>
      <c r="I58" s="10">
        <f t="shared" si="8"/>
        <v>492</v>
      </c>
      <c r="J58" s="10">
        <f t="shared" si="6"/>
        <v>2618648664.4143353</v>
      </c>
      <c r="K58" s="11">
        <f t="shared" si="7"/>
        <v>2.3400000000000087E-2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11"/>
      <c r="H59" s="10"/>
      <c r="I59" s="10">
        <f t="shared" si="8"/>
        <v>492</v>
      </c>
      <c r="J59" s="10">
        <f t="shared" si="6"/>
        <v>2558773367.6122093</v>
      </c>
      <c r="K59" s="11">
        <f t="shared" si="7"/>
        <v>2.3400000000000087E-2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11"/>
      <c r="H60" s="10"/>
      <c r="I60" s="10">
        <f t="shared" si="8"/>
        <v>492</v>
      </c>
      <c r="J60" s="10">
        <f t="shared" si="6"/>
        <v>2500267117.0727077</v>
      </c>
      <c r="K60" s="11">
        <f t="shared" si="7"/>
        <v>2.3299999999999876E-2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11"/>
      <c r="H61" s="10"/>
      <c r="I61" s="10">
        <f t="shared" si="8"/>
        <v>492</v>
      </c>
      <c r="J61" s="10">
        <f t="shared" si="6"/>
        <v>2443337356.6624722</v>
      </c>
      <c r="K61" s="11">
        <f t="shared" si="7"/>
        <v>2.289999999999992E-2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11"/>
      <c r="H62" s="10"/>
      <c r="I62" s="10">
        <f t="shared" si="8"/>
        <v>492</v>
      </c>
      <c r="J62" s="10">
        <f t="shared" si="6"/>
        <v>2388637556.6159668</v>
      </c>
      <c r="K62" s="11">
        <f t="shared" si="7"/>
        <v>2.2399999999999975E-2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11"/>
      <c r="H63" s="10"/>
      <c r="I63" s="10">
        <f t="shared" si="8"/>
        <v>492</v>
      </c>
      <c r="J63" s="10">
        <f t="shared" si="6"/>
        <v>2336304339.4131131</v>
      </c>
      <c r="K63" s="11">
        <f t="shared" si="7"/>
        <v>2.1700000000000275E-2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11"/>
      <c r="H64" s="10"/>
      <c r="I64" s="10">
        <f t="shared" si="8"/>
        <v>492</v>
      </c>
      <c r="J64" s="10">
        <f t="shared" si="6"/>
        <v>2286683311.5524249</v>
      </c>
      <c r="K64" s="11">
        <f t="shared" si="7"/>
        <v>2.0999999999999686E-2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11"/>
      <c r="H65" s="10"/>
      <c r="I65" s="10">
        <f t="shared" si="8"/>
        <v>492</v>
      </c>
      <c r="J65" s="10">
        <f t="shared" si="6"/>
        <v>2239650647.9455686</v>
      </c>
      <c r="K65" s="11">
        <f t="shared" si="7"/>
        <v>2.0299999999999985E-2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6">
        <f>SUM(F2)</f>
        <v>31948027</v>
      </c>
      <c r="G66" s="11"/>
      <c r="H66" s="10"/>
      <c r="I66" s="10">
        <f t="shared" si="8"/>
        <v>492</v>
      </c>
      <c r="J66" s="10">
        <f t="shared" ref="J66:J97" si="9">IF(I66="","",I66*C66)</f>
        <v>2195090314.5600004</v>
      </c>
      <c r="K66" s="11">
        <f t="shared" ref="K66:K97" si="10">IFERROR(J66/J67-1,"")</f>
        <v>1.9600000000000284E-2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11"/>
      <c r="H67" s="10"/>
      <c r="I67" s="10">
        <f t="shared" ref="I67:I98" si="11">IF(H67&lt;&gt;"",H67,I66/(1+IF(G66="",0,G66)))</f>
        <v>492</v>
      </c>
      <c r="J67" s="10">
        <f t="shared" si="9"/>
        <v>2152893600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5">
        <v>2898502</v>
      </c>
      <c r="G2" s="11"/>
      <c r="H2" s="10"/>
      <c r="I2" s="10">
        <f>IF(H2&lt;&gt;"",H2,397)</f>
        <v>397</v>
      </c>
      <c r="J2" s="10">
        <f t="shared" ref="J2:J33" si="3">IF(I2="","",I2*C2)</f>
        <v>1150741708.1159565</v>
      </c>
      <c r="K2" s="11">
        <f t="shared" ref="K2:K33" si="4">IFERROR(J2/J3-1,"")</f>
        <v>2.0999999999999908E-2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11"/>
      <c r="H3" s="10"/>
      <c r="I3" s="10">
        <f t="shared" ref="I3:I34" si="5">IF(H3&lt;&gt;"",H3,I2/(1+IF(G2="",0,G2)))</f>
        <v>397</v>
      </c>
      <c r="J3" s="10">
        <f t="shared" si="3"/>
        <v>1127073171.5141592</v>
      </c>
      <c r="K3" s="11">
        <f t="shared" si="4"/>
        <v>2.1100000000000119E-2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11"/>
      <c r="H4" s="10"/>
      <c r="I4" s="10">
        <f t="shared" si="5"/>
        <v>397</v>
      </c>
      <c r="J4" s="10">
        <f t="shared" si="3"/>
        <v>1103783342.9773374</v>
      </c>
      <c r="K4" s="11">
        <f t="shared" si="4"/>
        <v>2.1399999999999864E-2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11"/>
      <c r="H5" s="10"/>
      <c r="I5" s="10">
        <f t="shared" si="5"/>
        <v>397</v>
      </c>
      <c r="J5" s="10">
        <f t="shared" si="3"/>
        <v>1080657277.2443092</v>
      </c>
      <c r="K5" s="11">
        <f t="shared" si="4"/>
        <v>2.1700000000000053E-2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11"/>
      <c r="H6" s="10"/>
      <c r="I6" s="10">
        <f t="shared" si="5"/>
        <v>397</v>
      </c>
      <c r="J6" s="10">
        <f t="shared" si="3"/>
        <v>1057705077.0718499</v>
      </c>
      <c r="K6" s="11">
        <f t="shared" si="4"/>
        <v>2.2100000000000009E-2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11"/>
      <c r="H7" s="10"/>
      <c r="I7" s="10">
        <f t="shared" si="5"/>
        <v>397</v>
      </c>
      <c r="J7" s="10">
        <f t="shared" si="3"/>
        <v>1034835218.7377458</v>
      </c>
      <c r="K7" s="11">
        <f t="shared" si="4"/>
        <v>2.2599999999999953E-2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11"/>
      <c r="H8" s="10"/>
      <c r="I8" s="10">
        <f t="shared" si="5"/>
        <v>397</v>
      </c>
      <c r="J8" s="10">
        <f t="shared" si="3"/>
        <v>1011964813.9426421</v>
      </c>
      <c r="K8" s="11">
        <f t="shared" si="4"/>
        <v>2.2999999999999909E-2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11"/>
      <c r="H9" s="10"/>
      <c r="I9" s="10">
        <f t="shared" si="5"/>
        <v>397</v>
      </c>
      <c r="J9" s="10">
        <f t="shared" si="3"/>
        <v>989212916.85497773</v>
      </c>
      <c r="K9" s="11">
        <f t="shared" si="4"/>
        <v>2.3500000000000298E-2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11"/>
      <c r="H10" s="10"/>
      <c r="I10" s="10">
        <f t="shared" si="5"/>
        <v>397</v>
      </c>
      <c r="J10" s="10">
        <f t="shared" si="3"/>
        <v>966500163.02391553</v>
      </c>
      <c r="K10" s="11">
        <f t="shared" si="4"/>
        <v>2.3999999999999799E-2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11"/>
      <c r="H11" s="10"/>
      <c r="I11" s="10">
        <f t="shared" si="5"/>
        <v>397</v>
      </c>
      <c r="J11" s="10">
        <f t="shared" si="3"/>
        <v>943847815.45304263</v>
      </c>
      <c r="K11" s="11">
        <f t="shared" si="4"/>
        <v>2.4499999999999966E-2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11"/>
      <c r="H12" s="10"/>
      <c r="I12" s="10">
        <f t="shared" si="5"/>
        <v>397</v>
      </c>
      <c r="J12" s="10">
        <f t="shared" si="3"/>
        <v>921276540.21770871</v>
      </c>
      <c r="K12" s="11">
        <f t="shared" si="4"/>
        <v>2.4899999999999922E-2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11"/>
      <c r="H13" s="10"/>
      <c r="I13" s="10">
        <f t="shared" si="5"/>
        <v>397</v>
      </c>
      <c r="J13" s="10">
        <f t="shared" si="3"/>
        <v>898894077.68339229</v>
      </c>
      <c r="K13" s="11">
        <f t="shared" si="4"/>
        <v>2.53000000000001E-2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11"/>
      <c r="H14" s="10"/>
      <c r="I14" s="10">
        <f t="shared" si="5"/>
        <v>397</v>
      </c>
      <c r="J14" s="10">
        <f t="shared" si="3"/>
        <v>876713232.8912437</v>
      </c>
      <c r="K14" s="11">
        <f t="shared" si="4"/>
        <v>2.5700000000000056E-2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11"/>
      <c r="H15" s="10"/>
      <c r="I15" s="10">
        <f t="shared" si="5"/>
        <v>397</v>
      </c>
      <c r="J15" s="10">
        <f t="shared" si="3"/>
        <v>854746254.15934837</v>
      </c>
      <c r="K15" s="11">
        <f t="shared" si="4"/>
        <v>2.6100000000000012E-2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11"/>
      <c r="H16" s="10"/>
      <c r="I16" s="10">
        <f t="shared" si="5"/>
        <v>397</v>
      </c>
      <c r="J16" s="10">
        <f t="shared" si="3"/>
        <v>833004828.14476991</v>
      </c>
      <c r="K16" s="11">
        <f t="shared" si="4"/>
        <v>2.6599999999999957E-2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11"/>
      <c r="H17" s="10"/>
      <c r="I17" s="10">
        <f t="shared" si="5"/>
        <v>397</v>
      </c>
      <c r="J17" s="10">
        <f t="shared" si="3"/>
        <v>811421028.77924204</v>
      </c>
      <c r="K17" s="11">
        <f t="shared" si="4"/>
        <v>2.7199999999999891E-2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11"/>
      <c r="H18" s="10"/>
      <c r="I18" s="10">
        <f t="shared" si="5"/>
        <v>397</v>
      </c>
      <c r="J18" s="10">
        <f t="shared" si="3"/>
        <v>789934802.16047716</v>
      </c>
      <c r="K18" s="11">
        <f t="shared" si="4"/>
        <v>2.7900000000000036E-2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11"/>
      <c r="H19" s="10"/>
      <c r="I19" s="10">
        <f t="shared" si="5"/>
        <v>397</v>
      </c>
      <c r="J19" s="10">
        <f t="shared" si="3"/>
        <v>768493824.45809627</v>
      </c>
      <c r="K19" s="11">
        <f t="shared" si="4"/>
        <v>2.8699999999999948E-2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11"/>
      <c r="H20" s="10"/>
      <c r="I20" s="10">
        <f t="shared" si="5"/>
        <v>397</v>
      </c>
      <c r="J20" s="10">
        <f t="shared" si="3"/>
        <v>747053392.10469162</v>
      </c>
      <c r="K20" s="11">
        <f t="shared" si="4"/>
        <v>2.9500000000000082E-2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11"/>
      <c r="H21" s="10"/>
      <c r="I21" s="10">
        <f t="shared" si="5"/>
        <v>397</v>
      </c>
      <c r="J21" s="10">
        <f t="shared" si="3"/>
        <v>725646811.1750282</v>
      </c>
      <c r="K21" s="11">
        <f t="shared" si="4"/>
        <v>3.0299999999999994E-2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11"/>
      <c r="H22" s="10"/>
      <c r="I22" s="10">
        <f t="shared" si="5"/>
        <v>397</v>
      </c>
      <c r="J22" s="10">
        <f t="shared" si="3"/>
        <v>704306329.39437854</v>
      </c>
      <c r="K22" s="11">
        <f t="shared" si="4"/>
        <v>3.1199999999999894E-2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11"/>
      <c r="H23" s="10"/>
      <c r="I23" s="10">
        <f t="shared" si="5"/>
        <v>397</v>
      </c>
      <c r="J23" s="10">
        <f t="shared" si="3"/>
        <v>682996828.34986293</v>
      </c>
      <c r="K23" s="11">
        <f t="shared" si="4"/>
        <v>3.2100000000000017E-2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11"/>
      <c r="H24" s="10"/>
      <c r="I24" s="10">
        <f t="shared" si="5"/>
        <v>397</v>
      </c>
      <c r="J24" s="10">
        <f t="shared" si="3"/>
        <v>661754508.62306261</v>
      </c>
      <c r="K24" s="11">
        <f t="shared" si="4"/>
        <v>3.2899999999999929E-2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11"/>
      <c r="H25" s="10"/>
      <c r="I25" s="10">
        <f t="shared" si="5"/>
        <v>397</v>
      </c>
      <c r="J25" s="10">
        <f t="shared" si="3"/>
        <v>640676259.6796037</v>
      </c>
      <c r="K25" s="11">
        <f t="shared" si="4"/>
        <v>3.3700000000000063E-2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11"/>
      <c r="H26" s="10"/>
      <c r="I26" s="10">
        <f t="shared" si="5"/>
        <v>397</v>
      </c>
      <c r="J26" s="10">
        <f t="shared" si="3"/>
        <v>619789358.30473411</v>
      </c>
      <c r="K26" s="11">
        <f t="shared" si="4"/>
        <v>3.4200000000000008E-2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11"/>
      <c r="H27" s="10"/>
      <c r="I27" s="10">
        <f t="shared" si="5"/>
        <v>397</v>
      </c>
      <c r="J27" s="10">
        <f t="shared" si="3"/>
        <v>599293519.92335534</v>
      </c>
      <c r="K27" s="11">
        <f t="shared" si="4"/>
        <v>3.4399999999999986E-2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11"/>
      <c r="H28" s="10"/>
      <c r="I28" s="10">
        <f t="shared" si="5"/>
        <v>397</v>
      </c>
      <c r="J28" s="10">
        <f t="shared" si="3"/>
        <v>579363418.33271015</v>
      </c>
      <c r="K28" s="11">
        <f t="shared" si="4"/>
        <v>3.4200000000000008E-2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11"/>
      <c r="H29" s="10"/>
      <c r="I29" s="10">
        <f t="shared" si="5"/>
        <v>397</v>
      </c>
      <c r="J29" s="10">
        <f t="shared" si="3"/>
        <v>560204426.93164778</v>
      </c>
      <c r="K29" s="11">
        <f t="shared" si="4"/>
        <v>3.3700000000000063E-2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11"/>
      <c r="H30" s="10"/>
      <c r="I30" s="10">
        <f t="shared" si="5"/>
        <v>397</v>
      </c>
      <c r="J30" s="10">
        <f t="shared" si="3"/>
        <v>541941014.73507571</v>
      </c>
      <c r="K30" s="11">
        <f t="shared" si="4"/>
        <v>3.3099999999999907E-2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11"/>
      <c r="H31" s="10"/>
      <c r="I31" s="10">
        <f t="shared" si="5"/>
        <v>397</v>
      </c>
      <c r="J31" s="10">
        <f t="shared" si="3"/>
        <v>524577499.50157368</v>
      </c>
      <c r="K31" s="11">
        <f t="shared" si="4"/>
        <v>3.2599999999999962E-2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11"/>
      <c r="H32" s="10"/>
      <c r="I32" s="10">
        <f t="shared" si="5"/>
        <v>397</v>
      </c>
      <c r="J32" s="10">
        <f t="shared" si="3"/>
        <v>508016172.28508008</v>
      </c>
      <c r="K32" s="11">
        <f t="shared" si="4"/>
        <v>3.2100000000000017E-2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11"/>
      <c r="H33" s="10"/>
      <c r="I33" s="10">
        <f t="shared" si="5"/>
        <v>397</v>
      </c>
      <c r="J33" s="10">
        <f t="shared" si="3"/>
        <v>492216037.48191071</v>
      </c>
      <c r="K33" s="11">
        <f t="shared" si="4"/>
        <v>3.180000000000005E-2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11"/>
      <c r="H34" s="10"/>
      <c r="I34" s="10">
        <f t="shared" si="5"/>
        <v>397</v>
      </c>
      <c r="J34" s="10">
        <f t="shared" ref="J34:J65" si="6">IF(I34="","",I34*C34)</f>
        <v>477045975.46221232</v>
      </c>
      <c r="K34" s="11">
        <f t="shared" ref="K34:K65" si="7">IFERROR(J34/J35-1,"")</f>
        <v>3.1400000000000095E-2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11"/>
      <c r="H35" s="10"/>
      <c r="I35" s="10">
        <f t="shared" ref="I35:I66" si="8">IF(H35&lt;&gt;"",H35,I34/(1+IF(G34="",0,G34)))</f>
        <v>397</v>
      </c>
      <c r="J35" s="10">
        <f t="shared" si="6"/>
        <v>462522760.77391142</v>
      </c>
      <c r="K35" s="11">
        <f t="shared" si="7"/>
        <v>3.0899999999999928E-2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11"/>
      <c r="H36" s="10"/>
      <c r="I36" s="10">
        <f t="shared" si="8"/>
        <v>397</v>
      </c>
      <c r="J36" s="10">
        <f t="shared" si="6"/>
        <v>448659191.74887133</v>
      </c>
      <c r="K36" s="11">
        <f t="shared" si="7"/>
        <v>3.0199999999999783E-2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11"/>
      <c r="H37" s="10"/>
      <c r="I37" s="10">
        <f t="shared" si="8"/>
        <v>397</v>
      </c>
      <c r="J37" s="10">
        <f t="shared" si="6"/>
        <v>435506883.85640788</v>
      </c>
      <c r="K37" s="11">
        <f t="shared" si="7"/>
        <v>2.9200000000000115E-2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11"/>
      <c r="H38" s="10"/>
      <c r="I38" s="10">
        <f t="shared" si="8"/>
        <v>397</v>
      </c>
      <c r="J38" s="10">
        <f t="shared" si="6"/>
        <v>423150878.21259993</v>
      </c>
      <c r="K38" s="11">
        <f t="shared" si="7"/>
        <v>2.8100000000000014E-2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11"/>
      <c r="H39" s="10"/>
      <c r="I39" s="10">
        <f t="shared" si="8"/>
        <v>397</v>
      </c>
      <c r="J39" s="10">
        <f t="shared" si="6"/>
        <v>411585330.42758483</v>
      </c>
      <c r="K39" s="11">
        <f t="shared" si="7"/>
        <v>2.7199999999999891E-2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11"/>
      <c r="H40" s="10"/>
      <c r="I40" s="10">
        <f t="shared" si="8"/>
        <v>397</v>
      </c>
      <c r="J40" s="10">
        <f t="shared" si="6"/>
        <v>400686653.45364571</v>
      </c>
      <c r="K40" s="11">
        <f t="shared" si="7"/>
        <v>2.6599999999999957E-2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11"/>
      <c r="H41" s="10"/>
      <c r="I41" s="10">
        <f t="shared" si="8"/>
        <v>397</v>
      </c>
      <c r="J41" s="10">
        <f t="shared" si="6"/>
        <v>390304552.36084718</v>
      </c>
      <c r="K41" s="11">
        <f t="shared" si="7"/>
        <v>2.6399999999999979E-2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11"/>
      <c r="H42" s="10"/>
      <c r="I42" s="10">
        <f t="shared" si="8"/>
        <v>397</v>
      </c>
      <c r="J42" s="10">
        <f t="shared" si="6"/>
        <v>380265542.05070847</v>
      </c>
      <c r="K42" s="11">
        <f t="shared" si="7"/>
        <v>2.6699999999999946E-2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11"/>
      <c r="H43" s="10"/>
      <c r="I43" s="10">
        <f t="shared" si="8"/>
        <v>397</v>
      </c>
      <c r="J43" s="10">
        <f t="shared" si="6"/>
        <v>370376489.77374941</v>
      </c>
      <c r="K43" s="11">
        <f t="shared" si="7"/>
        <v>2.7300000000000102E-2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11"/>
      <c r="H44" s="10"/>
      <c r="I44" s="10">
        <f t="shared" si="8"/>
        <v>397</v>
      </c>
      <c r="J44" s="10">
        <f t="shared" si="6"/>
        <v>360533913.92363417</v>
      </c>
      <c r="K44" s="11">
        <f t="shared" si="7"/>
        <v>2.8100000000000236E-2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11"/>
      <c r="H45" s="10"/>
      <c r="I45" s="10">
        <f t="shared" si="8"/>
        <v>397</v>
      </c>
      <c r="J45" s="10">
        <f t="shared" si="6"/>
        <v>350679811.22812384</v>
      </c>
      <c r="K45" s="11">
        <f t="shared" si="7"/>
        <v>2.8699999999999948E-2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11"/>
      <c r="H46" s="10"/>
      <c r="I46" s="10">
        <f t="shared" si="8"/>
        <v>397</v>
      </c>
      <c r="J46" s="10">
        <f t="shared" si="6"/>
        <v>340896093.34900737</v>
      </c>
      <c r="K46" s="11">
        <f t="shared" si="7"/>
        <v>2.9199999999999893E-2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11"/>
      <c r="H47" s="10"/>
      <c r="I47" s="10">
        <f t="shared" si="8"/>
        <v>397</v>
      </c>
      <c r="J47" s="10">
        <f t="shared" si="6"/>
        <v>331224342.54664534</v>
      </c>
      <c r="K47" s="11">
        <f t="shared" si="7"/>
        <v>2.9500000000000082E-2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11"/>
      <c r="H48" s="10"/>
      <c r="I48" s="10">
        <f t="shared" si="8"/>
        <v>397</v>
      </c>
      <c r="J48" s="10">
        <f t="shared" si="6"/>
        <v>321733212.76993233</v>
      </c>
      <c r="K48" s="11">
        <f t="shared" si="7"/>
        <v>2.9400000000000093E-2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11"/>
      <c r="H49" s="10"/>
      <c r="I49" s="10">
        <f t="shared" si="8"/>
        <v>397</v>
      </c>
      <c r="J49" s="10">
        <f t="shared" si="6"/>
        <v>312544407.19830221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11"/>
      <c r="H50" s="10"/>
      <c r="I50" s="10">
        <f t="shared" si="8"/>
        <v>397</v>
      </c>
      <c r="J50" s="10">
        <f t="shared" si="6"/>
        <v>303706546.68963391</v>
      </c>
      <c r="K50" s="11">
        <f t="shared" si="7"/>
        <v>2.8699999999999948E-2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11"/>
      <c r="H51" s="10"/>
      <c r="I51" s="10">
        <f t="shared" si="8"/>
        <v>397</v>
      </c>
      <c r="J51" s="10">
        <f t="shared" si="6"/>
        <v>295233349.5573383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11"/>
      <c r="H52" s="10"/>
      <c r="I52" s="10">
        <f t="shared" si="8"/>
        <v>397</v>
      </c>
      <c r="J52" s="10">
        <f t="shared" si="6"/>
        <v>287080269.8923943</v>
      </c>
      <c r="K52" s="11">
        <f t="shared" si="7"/>
        <v>2.8299999999999992E-2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11"/>
      <c r="H53" s="10"/>
      <c r="I53" s="10">
        <f t="shared" si="8"/>
        <v>397</v>
      </c>
      <c r="J53" s="10">
        <f t="shared" si="6"/>
        <v>279179490.31643909</v>
      </c>
      <c r="K53" s="11">
        <f t="shared" si="7"/>
        <v>2.8200000000000003E-2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11"/>
      <c r="H54" s="10"/>
      <c r="I54" s="10">
        <f t="shared" si="8"/>
        <v>397</v>
      </c>
      <c r="J54" s="10">
        <f t="shared" si="6"/>
        <v>271522554.28558558</v>
      </c>
      <c r="K54" s="11">
        <f t="shared" si="7"/>
        <v>2.8000000000000025E-2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11"/>
      <c r="H55" s="10"/>
      <c r="I55" s="10">
        <f t="shared" si="8"/>
        <v>397</v>
      </c>
      <c r="J55" s="10">
        <f t="shared" si="6"/>
        <v>264126998.33228168</v>
      </c>
      <c r="K55" s="11">
        <f t="shared" si="7"/>
        <v>2.7700000000000058E-2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11"/>
      <c r="H56" s="10"/>
      <c r="I56" s="10">
        <f t="shared" si="8"/>
        <v>397</v>
      </c>
      <c r="J56" s="10">
        <f t="shared" si="6"/>
        <v>257007880.05476469</v>
      </c>
      <c r="K56" s="11">
        <f t="shared" si="7"/>
        <v>2.7199999999999891E-2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11"/>
      <c r="H57" s="10"/>
      <c r="I57" s="10">
        <f t="shared" si="8"/>
        <v>397</v>
      </c>
      <c r="J57" s="10">
        <f t="shared" si="6"/>
        <v>250202375.44272265</v>
      </c>
      <c r="K57" s="11">
        <f t="shared" si="7"/>
        <v>2.6499999999999968E-2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11"/>
      <c r="H58" s="10"/>
      <c r="I58" s="10">
        <f t="shared" si="8"/>
        <v>397</v>
      </c>
      <c r="J58" s="10">
        <f t="shared" si="6"/>
        <v>243743181.1424478</v>
      </c>
      <c r="K58" s="11">
        <f t="shared" si="7"/>
        <v>2.5800000000000045E-2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11"/>
      <c r="H59" s="10"/>
      <c r="I59" s="10">
        <f t="shared" si="8"/>
        <v>397</v>
      </c>
      <c r="J59" s="10">
        <f t="shared" si="6"/>
        <v>237612771.6342833</v>
      </c>
      <c r="K59" s="11">
        <f t="shared" si="7"/>
        <v>2.5100000000000122E-2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11"/>
      <c r="H60" s="10"/>
      <c r="I60" s="10">
        <f t="shared" si="8"/>
        <v>397</v>
      </c>
      <c r="J60" s="10">
        <f t="shared" si="6"/>
        <v>231794724.06036806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11"/>
      <c r="H61" s="10"/>
      <c r="I61" s="10">
        <f t="shared" si="8"/>
        <v>397</v>
      </c>
      <c r="J61" s="10">
        <f t="shared" si="6"/>
        <v>226251560.82027143</v>
      </c>
      <c r="K61" s="11">
        <f t="shared" si="7"/>
        <v>2.3800000000000043E-2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11"/>
      <c r="H62" s="10"/>
      <c r="I62" s="10">
        <f t="shared" si="8"/>
        <v>397</v>
      </c>
      <c r="J62" s="10">
        <f t="shared" si="6"/>
        <v>220991952.35424048</v>
      </c>
      <c r="K62" s="11">
        <f t="shared" si="7"/>
        <v>2.3099999999999898E-2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11"/>
      <c r="H63" s="10"/>
      <c r="I63" s="10">
        <f t="shared" si="8"/>
        <v>397</v>
      </c>
      <c r="J63" s="10">
        <f t="shared" si="6"/>
        <v>216002299.24175593</v>
      </c>
      <c r="K63" s="11">
        <f t="shared" si="7"/>
        <v>2.2399999999999753E-2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11"/>
      <c r="H64" s="10"/>
      <c r="I64" s="10">
        <f t="shared" si="8"/>
        <v>397</v>
      </c>
      <c r="J64" s="10">
        <f t="shared" si="6"/>
        <v>211269854.50093502</v>
      </c>
      <c r="K64" s="11">
        <f t="shared" si="7"/>
        <v>2.1700000000000275E-2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11"/>
      <c r="H65" s="10"/>
      <c r="I65" s="10">
        <f t="shared" si="8"/>
        <v>397</v>
      </c>
      <c r="J65" s="10">
        <f t="shared" si="6"/>
        <v>206782670.54999998</v>
      </c>
      <c r="K65" s="11">
        <f t="shared" si="7"/>
        <v>2.0999999999999908E-2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6">
        <f>SUM(F2)</f>
        <v>2898502</v>
      </c>
      <c r="G66" s="11"/>
      <c r="H66" s="10"/>
      <c r="I66" s="10">
        <f t="shared" si="8"/>
        <v>397</v>
      </c>
      <c r="J66" s="10">
        <f t="shared" ref="J66:J97" si="9">IF(I66="","",I66*C66)</f>
        <v>202529550</v>
      </c>
      <c r="K66" s="11">
        <f t="shared" ref="K66:K97" si="10">IFERROR(J66/J67-1,"")</f>
        <v>2.0299999999999985E-2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11"/>
      <c r="H67" s="10"/>
      <c r="I67" s="10">
        <f t="shared" ref="I67:I98" si="11">IF(H67&lt;&gt;"",H67,I66/(1+IF(G66="",0,G66)))</f>
        <v>397</v>
      </c>
      <c r="J67" s="10">
        <f t="shared" si="9"/>
        <v>198500000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5">
        <v>39335005</v>
      </c>
      <c r="G2" s="11"/>
      <c r="H2" s="10"/>
      <c r="I2" s="10">
        <f>IF(H2&lt;&gt;"",H2,19087)</f>
        <v>19087</v>
      </c>
      <c r="J2" s="10">
        <f t="shared" ref="J2:J33" si="3">IF(I2="","",I2*C2)</f>
        <v>750805526026.35083</v>
      </c>
      <c r="K2" s="11">
        <f t="shared" ref="K2:K33" si="4">IFERROR(J2/J3-1,"")</f>
        <v>6.6999999999999282E-3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11"/>
      <c r="H3" s="10"/>
      <c r="I3" s="10">
        <f t="shared" ref="I3:I34" si="5">IF(H3&lt;&gt;"",H3,I2/(1+IF(G2="",0,G2)))</f>
        <v>19087</v>
      </c>
      <c r="J3" s="10">
        <f t="shared" si="3"/>
        <v>745808608350.4032</v>
      </c>
      <c r="K3" s="11">
        <f t="shared" si="4"/>
        <v>5.8999999999997943E-3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11"/>
      <c r="H4" s="10"/>
      <c r="I4" s="10">
        <f t="shared" si="5"/>
        <v>19087</v>
      </c>
      <c r="J4" s="10">
        <f t="shared" si="3"/>
        <v>741434146883.78894</v>
      </c>
      <c r="K4" s="11">
        <f t="shared" si="4"/>
        <v>4.3000000000001926E-3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11"/>
      <c r="H5" s="10"/>
      <c r="I5" s="10">
        <f t="shared" si="5"/>
        <v>19087</v>
      </c>
      <c r="J5" s="10">
        <f t="shared" si="3"/>
        <v>738259630472.75598</v>
      </c>
      <c r="K5" s="11">
        <f t="shared" si="4"/>
        <v>4.0000000000000036E-3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11"/>
      <c r="H6" s="10"/>
      <c r="I6" s="10">
        <f t="shared" si="5"/>
        <v>19087</v>
      </c>
      <c r="J6" s="10">
        <f t="shared" si="3"/>
        <v>735318357044.57764</v>
      </c>
      <c r="K6" s="11">
        <f t="shared" si="4"/>
        <v>4.0999999999999925E-3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11"/>
      <c r="H7" s="10"/>
      <c r="I7" s="10">
        <f t="shared" si="5"/>
        <v>19087</v>
      </c>
      <c r="J7" s="10">
        <f t="shared" si="3"/>
        <v>732315862010.33521</v>
      </c>
      <c r="K7" s="11">
        <f t="shared" si="4"/>
        <v>4.8999999999999044E-3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11"/>
      <c r="H8" s="10"/>
      <c r="I8" s="10">
        <f t="shared" si="5"/>
        <v>19087</v>
      </c>
      <c r="J8" s="10">
        <f t="shared" si="3"/>
        <v>728745011454.20972</v>
      </c>
      <c r="K8" s="11">
        <f t="shared" si="4"/>
        <v>4.5999999999999375E-3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11"/>
      <c r="H9" s="10"/>
      <c r="I9" s="10">
        <f t="shared" si="5"/>
        <v>19087</v>
      </c>
      <c r="J9" s="10">
        <f t="shared" si="3"/>
        <v>725408134037.6366</v>
      </c>
      <c r="K9" s="11">
        <f t="shared" si="4"/>
        <v>4.0000000000002256E-3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11"/>
      <c r="H10" s="10"/>
      <c r="I10" s="10">
        <f t="shared" si="5"/>
        <v>19087</v>
      </c>
      <c r="J10" s="10">
        <f t="shared" si="3"/>
        <v>722518061790.47461</v>
      </c>
      <c r="K10" s="11">
        <f t="shared" si="4"/>
        <v>4.3999999999999595E-3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11"/>
      <c r="H11" s="10"/>
      <c r="I11" s="10">
        <f t="shared" si="5"/>
        <v>19087</v>
      </c>
      <c r="J11" s="10">
        <f t="shared" si="3"/>
        <v>719352908990.91467</v>
      </c>
      <c r="K11" s="11">
        <f t="shared" si="4"/>
        <v>4.1999999999999815E-3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11"/>
      <c r="H12" s="10"/>
      <c r="I12" s="10">
        <f t="shared" si="5"/>
        <v>19087</v>
      </c>
      <c r="J12" s="10">
        <f t="shared" si="3"/>
        <v>716344263085.95361</v>
      </c>
      <c r="K12" s="11">
        <f t="shared" si="4"/>
        <v>4.5999999999999375E-3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11"/>
      <c r="H13" s="10"/>
      <c r="I13" s="10">
        <f t="shared" si="5"/>
        <v>19087</v>
      </c>
      <c r="J13" s="10">
        <f t="shared" si="3"/>
        <v>713064167913.55139</v>
      </c>
      <c r="K13" s="11">
        <f t="shared" si="4"/>
        <v>5.2000000000000934E-3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11"/>
      <c r="H14" s="10"/>
      <c r="I14" s="10">
        <f t="shared" si="5"/>
        <v>19087</v>
      </c>
      <c r="J14" s="10">
        <f t="shared" si="3"/>
        <v>709375415751.64282</v>
      </c>
      <c r="K14" s="11">
        <f t="shared" si="4"/>
        <v>6.5000000000001723E-3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11"/>
      <c r="H15" s="10"/>
      <c r="I15" s="10">
        <f t="shared" si="5"/>
        <v>19087</v>
      </c>
      <c r="J15" s="10">
        <f t="shared" si="3"/>
        <v>704794253106.45081</v>
      </c>
      <c r="K15" s="11">
        <f t="shared" si="4"/>
        <v>6.0999999999999943E-3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11"/>
      <c r="H16" s="10"/>
      <c r="I16" s="10">
        <f t="shared" si="5"/>
        <v>19087</v>
      </c>
      <c r="J16" s="10">
        <f t="shared" si="3"/>
        <v>700521074551.68555</v>
      </c>
      <c r="K16" s="11">
        <f t="shared" si="4"/>
        <v>4.3000000000001926E-3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11"/>
      <c r="H17" s="10"/>
      <c r="I17" s="10">
        <f t="shared" si="5"/>
        <v>19087</v>
      </c>
      <c r="J17" s="10">
        <f t="shared" si="3"/>
        <v>697521731107.92139</v>
      </c>
      <c r="K17" s="11">
        <f t="shared" si="4"/>
        <v>4.8999999999999044E-3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11"/>
      <c r="H18" s="10"/>
      <c r="I18" s="10">
        <f t="shared" si="5"/>
        <v>19087</v>
      </c>
      <c r="J18" s="10">
        <f t="shared" si="3"/>
        <v>694120540459.66907</v>
      </c>
      <c r="K18" s="11">
        <f t="shared" si="4"/>
        <v>3.6000000000000476E-3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11"/>
      <c r="H19" s="10"/>
      <c r="I19" s="10">
        <f t="shared" si="5"/>
        <v>19087</v>
      </c>
      <c r="J19" s="10">
        <f t="shared" si="3"/>
        <v>691630670047.49805</v>
      </c>
      <c r="K19" s="11">
        <f t="shared" si="4"/>
        <v>4.7999999999999154E-3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11"/>
      <c r="H20" s="10"/>
      <c r="I20" s="10">
        <f t="shared" si="5"/>
        <v>19087</v>
      </c>
      <c r="J20" s="10">
        <f t="shared" si="3"/>
        <v>688326701878.48132</v>
      </c>
      <c r="K20" s="11">
        <f t="shared" si="4"/>
        <v>4.3999999999999595E-3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11"/>
      <c r="H21" s="10"/>
      <c r="I21" s="10">
        <f t="shared" si="5"/>
        <v>19087</v>
      </c>
      <c r="J21" s="10">
        <f t="shared" si="3"/>
        <v>685311332017.60388</v>
      </c>
      <c r="K21" s="11">
        <f t="shared" si="4"/>
        <v>2.0999999999999908E-3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11"/>
      <c r="H22" s="10"/>
      <c r="I22" s="10">
        <f t="shared" si="5"/>
        <v>19087</v>
      </c>
      <c r="J22" s="10">
        <f t="shared" si="3"/>
        <v>683875194109.9729</v>
      </c>
      <c r="K22" s="11">
        <f t="shared" si="4"/>
        <v>2.1999999999997577E-3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11"/>
      <c r="H23" s="10"/>
      <c r="I23" s="10">
        <f t="shared" si="5"/>
        <v>19087</v>
      </c>
      <c r="J23" s="10">
        <f t="shared" si="3"/>
        <v>682373971372.95251</v>
      </c>
      <c r="K23" s="11">
        <f t="shared" si="4"/>
        <v>2.5999999999999357E-3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11"/>
      <c r="H24" s="10"/>
      <c r="I24" s="10">
        <f t="shared" si="5"/>
        <v>19087</v>
      </c>
      <c r="J24" s="10">
        <f t="shared" si="3"/>
        <v>680604399933.12646</v>
      </c>
      <c r="K24" s="11">
        <f t="shared" si="4"/>
        <v>2.8999999999999027E-3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11"/>
      <c r="H25" s="10"/>
      <c r="I25" s="10">
        <f t="shared" si="5"/>
        <v>19087</v>
      </c>
      <c r="J25" s="10">
        <f t="shared" si="3"/>
        <v>678636354505.06189</v>
      </c>
      <c r="K25" s="11">
        <f t="shared" si="4"/>
        <v>2.9999999999996696E-3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11"/>
      <c r="H26" s="10"/>
      <c r="I26" s="10">
        <f t="shared" si="5"/>
        <v>19087</v>
      </c>
      <c r="J26" s="10">
        <f t="shared" si="3"/>
        <v>676606534900.36096</v>
      </c>
      <c r="K26" s="11">
        <f t="shared" si="4"/>
        <v>3.1000000000001027E-3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11"/>
      <c r="H27" s="10"/>
      <c r="I27" s="10">
        <f t="shared" si="5"/>
        <v>19087</v>
      </c>
      <c r="J27" s="10">
        <f t="shared" si="3"/>
        <v>674515536736.47778</v>
      </c>
      <c r="K27" s="11">
        <f t="shared" si="4"/>
        <v>3.0999999999998806E-3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11"/>
      <c r="H28" s="10"/>
      <c r="I28" s="10">
        <f t="shared" si="5"/>
        <v>19087</v>
      </c>
      <c r="J28" s="10">
        <f t="shared" si="3"/>
        <v>672431000634.51086</v>
      </c>
      <c r="K28" s="11">
        <f t="shared" si="4"/>
        <v>2.8000000000001357E-3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11"/>
      <c r="H29" s="10"/>
      <c r="I29" s="10">
        <f t="shared" si="5"/>
        <v>19087</v>
      </c>
      <c r="J29" s="10">
        <f t="shared" si="3"/>
        <v>670553450971.78979</v>
      </c>
      <c r="K29" s="11">
        <f t="shared" si="4"/>
        <v>2.5999999999999357E-3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11"/>
      <c r="H30" s="10"/>
      <c r="I30" s="10">
        <f t="shared" si="5"/>
        <v>19087</v>
      </c>
      <c r="J30" s="10">
        <f t="shared" si="3"/>
        <v>668814533185.50745</v>
      </c>
      <c r="K30" s="11">
        <f t="shared" si="4"/>
        <v>2.9999999999996696E-3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11"/>
      <c r="H31" s="10"/>
      <c r="I31" s="10">
        <f t="shared" si="5"/>
        <v>19087</v>
      </c>
      <c r="J31" s="10">
        <f t="shared" si="3"/>
        <v>666814090912.76929</v>
      </c>
      <c r="K31" s="11">
        <f t="shared" si="4"/>
        <v>4.0999999999999925E-3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11"/>
      <c r="H32" s="10"/>
      <c r="I32" s="10">
        <f t="shared" si="5"/>
        <v>19087</v>
      </c>
      <c r="J32" s="10">
        <f t="shared" si="3"/>
        <v>664091316515.0575</v>
      </c>
      <c r="K32" s="11">
        <f t="shared" si="4"/>
        <v>5.6000000000000494E-3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11"/>
      <c r="H33" s="10"/>
      <c r="I33" s="10">
        <f t="shared" si="5"/>
        <v>19087</v>
      </c>
      <c r="J33" s="10">
        <f t="shared" si="3"/>
        <v>660393115070.66174</v>
      </c>
      <c r="K33" s="11">
        <f t="shared" si="4"/>
        <v>4.6999999999999265E-3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11"/>
      <c r="H34" s="10"/>
      <c r="I34" s="10">
        <f t="shared" si="5"/>
        <v>19087</v>
      </c>
      <c r="J34" s="10">
        <f t="shared" ref="J34:J65" si="6">IF(I34="","",I34*C34)</f>
        <v>657303787270.49048</v>
      </c>
      <c r="K34" s="11">
        <f t="shared" ref="K34:K65" si="7">IFERROR(J34/J35-1,"")</f>
        <v>5.4000000000002935E-3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11"/>
      <c r="H35" s="10"/>
      <c r="I35" s="10">
        <f t="shared" ref="I35:I66" si="8">IF(H35&lt;&gt;"",H35,I34/(1+IF(G34="",0,G34)))</f>
        <v>19087</v>
      </c>
      <c r="J35" s="10">
        <f t="shared" si="6"/>
        <v>653773410851.89014</v>
      </c>
      <c r="K35" s="11">
        <f t="shared" si="7"/>
        <v>5.5000000000000604E-3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11"/>
      <c r="H36" s="10"/>
      <c r="I36" s="10">
        <f t="shared" si="8"/>
        <v>19087</v>
      </c>
      <c r="J36" s="10">
        <f t="shared" si="6"/>
        <v>650197325561.30298</v>
      </c>
      <c r="K36" s="11">
        <f t="shared" si="7"/>
        <v>5.8000000000000274E-3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11"/>
      <c r="H37" s="10"/>
      <c r="I37" s="10">
        <f t="shared" si="8"/>
        <v>19087</v>
      </c>
      <c r="J37" s="10">
        <f t="shared" si="6"/>
        <v>646447927581.33118</v>
      </c>
      <c r="K37" s="11">
        <f t="shared" si="7"/>
        <v>6.2999999999999723E-3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11"/>
      <c r="H38" s="10"/>
      <c r="I38" s="10">
        <f t="shared" si="8"/>
        <v>19087</v>
      </c>
      <c r="J38" s="10">
        <f t="shared" si="6"/>
        <v>642400802525.42102</v>
      </c>
      <c r="K38" s="11">
        <f t="shared" si="7"/>
        <v>6.8999999999999062E-3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11"/>
      <c r="H39" s="10"/>
      <c r="I39" s="10">
        <f t="shared" si="8"/>
        <v>19087</v>
      </c>
      <c r="J39" s="10">
        <f t="shared" si="6"/>
        <v>637998612101.91785</v>
      </c>
      <c r="K39" s="11">
        <f t="shared" si="7"/>
        <v>7.4000000000000732E-3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11"/>
      <c r="H40" s="10"/>
      <c r="I40" s="10">
        <f t="shared" si="8"/>
        <v>19087</v>
      </c>
      <c r="J40" s="10">
        <f t="shared" si="6"/>
        <v>633312102543.09888</v>
      </c>
      <c r="K40" s="11">
        <f t="shared" si="7"/>
        <v>7.7000000000000401E-3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11"/>
      <c r="H41" s="10"/>
      <c r="I41" s="10">
        <f t="shared" si="8"/>
        <v>19087</v>
      </c>
      <c r="J41" s="10">
        <f t="shared" si="6"/>
        <v>628472861509.47583</v>
      </c>
      <c r="K41" s="11">
        <f t="shared" si="7"/>
        <v>8.0999999999999961E-3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11"/>
      <c r="H42" s="10"/>
      <c r="I42" s="10">
        <f t="shared" si="8"/>
        <v>19087</v>
      </c>
      <c r="J42" s="10">
        <f t="shared" si="6"/>
        <v>623423134123.07886</v>
      </c>
      <c r="K42" s="11">
        <f t="shared" si="7"/>
        <v>8.499999999999952E-3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11"/>
      <c r="H43" s="10"/>
      <c r="I43" s="10">
        <f t="shared" si="8"/>
        <v>19087</v>
      </c>
      <c r="J43" s="10">
        <f t="shared" si="6"/>
        <v>618168700171.62012</v>
      </c>
      <c r="K43" s="11">
        <f t="shared" si="7"/>
        <v>9.100000000000108E-3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11"/>
      <c r="H44" s="10"/>
      <c r="I44" s="10">
        <f t="shared" si="8"/>
        <v>19087</v>
      </c>
      <c r="J44" s="10">
        <f t="shared" si="6"/>
        <v>612594093916.97559</v>
      </c>
      <c r="K44" s="11">
        <f t="shared" si="7"/>
        <v>9.100000000000108E-3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11"/>
      <c r="H45" s="10"/>
      <c r="I45" s="10">
        <f t="shared" si="8"/>
        <v>19087</v>
      </c>
      <c r="J45" s="10">
        <f t="shared" si="6"/>
        <v>607069759109.08289</v>
      </c>
      <c r="K45" s="11">
        <f t="shared" si="7"/>
        <v>1.0199999999999987E-2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11"/>
      <c r="H46" s="10"/>
      <c r="I46" s="10">
        <f t="shared" si="8"/>
        <v>19087</v>
      </c>
      <c r="J46" s="10">
        <f t="shared" si="6"/>
        <v>600940169381.3927</v>
      </c>
      <c r="K46" s="11">
        <f t="shared" si="7"/>
        <v>9.6000000000000529E-3</v>
      </c>
      <c r="L46" t="inlineStr">
        <is>
          <t xml:space="preserve">Sokato Spice Bubble bursts - colonial spice-trade mania &amp; crash.</t>
        </is>
      </c>
      <c r="M46" t="inlineStr">
        <is>
          <t xml:space="preserve">Sokato Spice Bubble (1719-21): a speculative mania in colonial spice-trade companies after Oyreain's independence broke Siana's Sokato monopoly - ending in a crash.</t>
        </is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11"/>
      <c r="H47" s="10"/>
      <c r="I47" s="10">
        <f t="shared" si="8"/>
        <v>19087</v>
      </c>
      <c r="J47" s="10">
        <f t="shared" si="6"/>
        <v>595225999783.47131</v>
      </c>
      <c r="K47" s="11">
        <f t="shared" si="7"/>
        <v>1.0099999999999998E-2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11"/>
      <c r="H48" s="10"/>
      <c r="I48" s="10">
        <f t="shared" si="8"/>
        <v>19087</v>
      </c>
      <c r="J48" s="10">
        <f t="shared" si="6"/>
        <v>589274329059.9657</v>
      </c>
      <c r="K48" s="11">
        <f t="shared" si="7"/>
        <v>9.6000000000000529E-3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11"/>
      <c r="H49" s="10"/>
      <c r="I49" s="10">
        <f t="shared" si="8"/>
        <v>19087</v>
      </c>
      <c r="J49" s="10">
        <f t="shared" si="6"/>
        <v>583671086628.33362</v>
      </c>
      <c r="K49" s="11">
        <f t="shared" si="7"/>
        <v>8.9999999999996749E-3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11"/>
      <c r="H50" s="10"/>
      <c r="I50" s="10">
        <f t="shared" si="8"/>
        <v>19087</v>
      </c>
      <c r="J50" s="10">
        <f t="shared" si="6"/>
        <v>578464902505.78174</v>
      </c>
      <c r="K50" s="11">
        <f t="shared" si="7"/>
        <v>8.4000000000001851E-3</v>
      </c>
      <c r="L50" t="inlineStr">
        <is>
          <t xml:space="preserve">Sinian Collapse - treasury ruin, loss of colonies, surrender of its nuclear arsenal.</t>
        </is>
      </c>
      <c r="M50" t="inlineStr">
        <is>
          <t xml:space="preserve">Sinian Collapse (1716-17): the war-finance ruin of Siana during the Sinian Revolution, worsened by the nuclear bombing of Minalu.</t>
        </is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11"/>
      <c r="H51" s="10"/>
      <c r="I51" s="10">
        <f t="shared" si="8"/>
        <v>19087</v>
      </c>
      <c r="J51" s="10">
        <f t="shared" si="6"/>
        <v>573646273805.81287</v>
      </c>
      <c r="K51" s="11">
        <f t="shared" si="7"/>
        <v>8.0000000000000071E-3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11"/>
      <c r="H52" s="10"/>
      <c r="I52" s="10">
        <f t="shared" si="8"/>
        <v>19087</v>
      </c>
      <c r="J52" s="10">
        <f t="shared" si="6"/>
        <v>569093525601.00488</v>
      </c>
      <c r="K52" s="11">
        <f t="shared" si="7"/>
        <v>8.599999999999941E-3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11"/>
      <c r="H53" s="10"/>
      <c r="I53" s="10">
        <f t="shared" si="8"/>
        <v>19087</v>
      </c>
      <c r="J53" s="10">
        <f t="shared" si="6"/>
        <v>564241052549.08276</v>
      </c>
      <c r="K53" s="11">
        <f t="shared" si="7"/>
        <v>8.0999999999999961E-3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11"/>
      <c r="H54" s="10"/>
      <c r="I54" s="10">
        <f t="shared" si="8"/>
        <v>19087</v>
      </c>
      <c r="J54" s="10">
        <f t="shared" si="6"/>
        <v>559707422427.42065</v>
      </c>
      <c r="K54" s="11">
        <f t="shared" si="7"/>
        <v>8.0999999999999961E-3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11"/>
      <c r="H55" s="10"/>
      <c r="I55" s="10">
        <f t="shared" si="8"/>
        <v>19087</v>
      </c>
      <c r="J55" s="10">
        <f t="shared" si="6"/>
        <v>555210219648.26965</v>
      </c>
      <c r="K55" s="11">
        <f t="shared" si="7"/>
        <v>8.0000000000000071E-3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11"/>
      <c r="H56" s="10"/>
      <c r="I56" s="10">
        <f t="shared" si="8"/>
        <v>19087</v>
      </c>
      <c r="J56" s="10">
        <f t="shared" si="6"/>
        <v>550803789333.60083</v>
      </c>
      <c r="K56" s="11">
        <f t="shared" si="7"/>
        <v>7.8000000000000291E-3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11"/>
      <c r="H57" s="10"/>
      <c r="I57" s="10">
        <f t="shared" si="8"/>
        <v>19087</v>
      </c>
      <c r="J57" s="10">
        <f t="shared" si="6"/>
        <v>546540771317.32568</v>
      </c>
      <c r="K57" s="11">
        <f t="shared" si="7"/>
        <v>8.0999999999999961E-3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11"/>
      <c r="H58" s="10"/>
      <c r="I58" s="10">
        <f t="shared" si="8"/>
        <v>19087</v>
      </c>
      <c r="J58" s="10">
        <f t="shared" si="6"/>
        <v>542149361489.2627</v>
      </c>
      <c r="K58" s="11">
        <f t="shared" si="7"/>
        <v>8.0999999999999961E-3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11"/>
      <c r="H59" s="10"/>
      <c r="I59" s="10">
        <f t="shared" si="8"/>
        <v>19087</v>
      </c>
      <c r="J59" s="10">
        <f t="shared" si="6"/>
        <v>537793236275.4317</v>
      </c>
      <c r="K59" s="11">
        <f t="shared" si="7"/>
        <v>8.0000000000000071E-3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11"/>
      <c r="H60" s="10"/>
      <c r="I60" s="10">
        <f t="shared" si="8"/>
        <v>19087</v>
      </c>
      <c r="J60" s="10">
        <f t="shared" si="6"/>
        <v>533525035987.53143</v>
      </c>
      <c r="K60" s="11">
        <f t="shared" si="7"/>
        <v>7.7999999999998071E-3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11"/>
      <c r="H61" s="10"/>
      <c r="I61" s="10">
        <f t="shared" si="8"/>
        <v>19087</v>
      </c>
      <c r="J61" s="10">
        <f t="shared" si="6"/>
        <v>529395749144.20667</v>
      </c>
      <c r="K61" s="11">
        <f t="shared" si="7"/>
        <v>7.4000000000000732E-3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11"/>
      <c r="H62" s="10"/>
      <c r="I62" s="10">
        <f t="shared" si="8"/>
        <v>19087</v>
      </c>
      <c r="J62" s="10">
        <f t="shared" si="6"/>
        <v>525506997363.71515</v>
      </c>
      <c r="K62" s="11">
        <f t="shared" si="7"/>
        <v>6.9999999999998952E-3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11"/>
      <c r="H63" s="10"/>
      <c r="I63" s="10">
        <f t="shared" si="8"/>
        <v>19087</v>
      </c>
      <c r="J63" s="10">
        <f t="shared" si="6"/>
        <v>521854019229.11139</v>
      </c>
      <c r="K63" s="11">
        <f t="shared" si="7"/>
        <v>7.7000000000000401E-3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11"/>
      <c r="H64" s="10"/>
      <c r="I64" s="10">
        <f t="shared" si="8"/>
        <v>19087</v>
      </c>
      <c r="J64" s="10">
        <f t="shared" si="6"/>
        <v>517866447582.72443</v>
      </c>
      <c r="K64" s="11">
        <f t="shared" si="7"/>
        <v>7.4000000000000732E-3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11"/>
      <c r="H65" s="10"/>
      <c r="I65" s="10">
        <f t="shared" si="8"/>
        <v>19087</v>
      </c>
      <c r="J65" s="10">
        <f t="shared" si="6"/>
        <v>514062385926.8656</v>
      </c>
      <c r="K65" s="11">
        <f t="shared" si="7"/>
        <v>8.1999999999999851E-3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6">
        <f>SUM(F2)</f>
        <v>39335005</v>
      </c>
      <c r="G66" s="11"/>
      <c r="H66" s="10"/>
      <c r="I66" s="10">
        <f t="shared" si="8"/>
        <v>19087</v>
      </c>
      <c r="J66" s="10">
        <f t="shared" ref="J66:J97" si="9">IF(I66="","",I66*C66)</f>
        <v>509881358784.83002</v>
      </c>
      <c r="K66" s="11">
        <f t="shared" ref="K66:K97" si="10">IFERROR(J66/J67-1,"")</f>
        <v>8.0999999999999961E-3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11"/>
      <c r="H67" s="10"/>
      <c r="I67" s="10">
        <f t="shared" ref="I67:I98" si="11">IF(H67&lt;&gt;"",H67,I66/(1+IF(G66="",0,G66)))</f>
        <v>19087</v>
      </c>
      <c r="J67" s="10">
        <f t="shared" si="9"/>
        <v>505784504300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5">
        <v>21995119</v>
      </c>
      <c r="G2" s="11"/>
      <c r="H2" s="10"/>
      <c r="I2" s="10">
        <f>IF(H2&lt;&gt;"",H2,3702)</f>
        <v>3702</v>
      </c>
      <c r="J2" s="10">
        <f t="shared" ref="J2:J33" si="3">IF(I2="","",I2*C2)</f>
        <v>81426720515.911224</v>
      </c>
      <c r="K2" s="11">
        <f t="shared" ref="K2:K33" si="4">IFERROR(J2/J3-1,"")</f>
        <v>1.7000000000000348E-3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11"/>
      <c r="H3" s="10"/>
      <c r="I3" s="10">
        <f t="shared" ref="I3:I34" si="5">IF(H3&lt;&gt;"",H3,I2/(1+IF(G2="",0,G2)))</f>
        <v>3702</v>
      </c>
      <c r="J3" s="10">
        <f t="shared" si="3"/>
        <v>81288530014.88591</v>
      </c>
      <c r="K3" s="11">
        <f t="shared" si="4"/>
        <v>1.6000000000000458E-3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11"/>
      <c r="H4" s="10"/>
      <c r="I4" s="10">
        <f t="shared" si="5"/>
        <v>3702</v>
      </c>
      <c r="J4" s="10">
        <f t="shared" si="3"/>
        <v>81158676133.072983</v>
      </c>
      <c r="K4" s="11">
        <f t="shared" si="4"/>
        <v>1.9999999999997797E-3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11"/>
      <c r="H5" s="10"/>
      <c r="I5" s="10">
        <f t="shared" si="5"/>
        <v>3702</v>
      </c>
      <c r="J5" s="10">
        <f t="shared" si="3"/>
        <v>80996682767.537918</v>
      </c>
      <c r="K5" s="11">
        <f t="shared" si="4"/>
        <v>2.9999999999998916E-3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11"/>
      <c r="H6" s="10"/>
      <c r="I6" s="10">
        <f t="shared" si="5"/>
        <v>3702</v>
      </c>
      <c r="J6" s="10">
        <f t="shared" si="3"/>
        <v>80754419509.010895</v>
      </c>
      <c r="K6" s="11">
        <f t="shared" si="4"/>
        <v>4.0999999999999925E-3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11"/>
      <c r="H7" s="10"/>
      <c r="I7" s="10">
        <f t="shared" si="5"/>
        <v>3702</v>
      </c>
      <c r="J7" s="10">
        <f t="shared" si="3"/>
        <v>80424678327.866638</v>
      </c>
      <c r="K7" s="11">
        <f t="shared" si="4"/>
        <v>5.1000000000001044E-3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11"/>
      <c r="H8" s="10"/>
      <c r="I8" s="10">
        <f t="shared" si="5"/>
        <v>3702</v>
      </c>
      <c r="J8" s="10">
        <f t="shared" si="3"/>
        <v>80016593699.996643</v>
      </c>
      <c r="K8" s="11">
        <f t="shared" si="4"/>
        <v>6.1999999999999833E-3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11"/>
      <c r="H9" s="10"/>
      <c r="I9" s="10">
        <f t="shared" si="5"/>
        <v>3702</v>
      </c>
      <c r="J9" s="10">
        <f t="shared" si="3"/>
        <v>79523547704.230408</v>
      </c>
      <c r="K9" s="11">
        <f t="shared" si="4"/>
        <v>6.4999999999999503E-3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11"/>
      <c r="H10" s="10"/>
      <c r="I10" s="10">
        <f t="shared" si="5"/>
        <v>3702</v>
      </c>
      <c r="J10" s="10">
        <f t="shared" si="3"/>
        <v>79009982815.926895</v>
      </c>
      <c r="K10" s="11">
        <f t="shared" si="4"/>
        <v>6.3999999999999613E-3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11"/>
      <c r="H11" s="10"/>
      <c r="I11" s="10">
        <f t="shared" si="5"/>
        <v>3702</v>
      </c>
      <c r="J11" s="10">
        <f t="shared" si="3"/>
        <v>78507534594.521957</v>
      </c>
      <c r="K11" s="11">
        <f t="shared" si="4"/>
        <v>6.0000000000002274E-3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11"/>
      <c r="H12" s="10"/>
      <c r="I12" s="10">
        <f t="shared" si="5"/>
        <v>3702</v>
      </c>
      <c r="J12" s="10">
        <f t="shared" si="3"/>
        <v>78039298801.71167</v>
      </c>
      <c r="K12" s="11">
        <f t="shared" si="4"/>
        <v>5.7000000000000384E-3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11"/>
      <c r="H13" s="10"/>
      <c r="I13" s="10">
        <f t="shared" si="5"/>
        <v>3702</v>
      </c>
      <c r="J13" s="10">
        <f t="shared" si="3"/>
        <v>77596995924.939514</v>
      </c>
      <c r="K13" s="11">
        <f t="shared" si="4"/>
        <v>4.8999999999999044E-3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11"/>
      <c r="H14" s="10"/>
      <c r="I14" s="10">
        <f t="shared" si="5"/>
        <v>3702</v>
      </c>
      <c r="J14" s="10">
        <f t="shared" si="3"/>
        <v>77218624664.08551</v>
      </c>
      <c r="K14" s="11">
        <f t="shared" si="4"/>
        <v>3.4000000000000696E-3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11"/>
      <c r="H15" s="10"/>
      <c r="I15" s="10">
        <f t="shared" si="5"/>
        <v>3702</v>
      </c>
      <c r="J15" s="10">
        <f t="shared" si="3"/>
        <v>76956970962.811951</v>
      </c>
      <c r="K15" s="11">
        <f t="shared" si="4"/>
        <v>1.9000000000000128E-3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11"/>
      <c r="H16" s="10"/>
      <c r="I16" s="10">
        <f t="shared" si="5"/>
        <v>3702</v>
      </c>
      <c r="J16" s="10">
        <f t="shared" si="3"/>
        <v>76811030005.800934</v>
      </c>
      <c r="K16" s="11">
        <f t="shared" si="4"/>
        <v>1.1000000000001009E-3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11"/>
      <c r="H17" s="10"/>
      <c r="I17" s="10">
        <f t="shared" si="5"/>
        <v>3702</v>
      </c>
      <c r="J17" s="10">
        <f t="shared" si="3"/>
        <v>76726630712.0177</v>
      </c>
      <c r="K17" s="11">
        <f t="shared" si="4"/>
        <v>1.2000000000000899E-3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11"/>
      <c r="H18" s="10"/>
      <c r="I18" s="10">
        <f t="shared" si="5"/>
        <v>3702</v>
      </c>
      <c r="J18" s="10">
        <f t="shared" si="3"/>
        <v>76634669109.086792</v>
      </c>
      <c r="K18" s="11">
        <f t="shared" si="4"/>
        <v>1.7999999999998018E-3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11"/>
      <c r="H19" s="10"/>
      <c r="I19" s="10">
        <f t="shared" si="5"/>
        <v>3702</v>
      </c>
      <c r="J19" s="10">
        <f t="shared" si="3"/>
        <v>76496974554.888</v>
      </c>
      <c r="K19" s="11">
        <f t="shared" si="4"/>
        <v>2.8999999999999027E-3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11"/>
      <c r="H20" s="10"/>
      <c r="I20" s="10">
        <f t="shared" si="5"/>
        <v>3702</v>
      </c>
      <c r="J20" s="10">
        <f t="shared" si="3"/>
        <v>76275774807.944962</v>
      </c>
      <c r="K20" s="11">
        <f t="shared" si="4"/>
        <v>3.7000000000000366E-3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11"/>
      <c r="H21" s="10"/>
      <c r="I21" s="10">
        <f t="shared" si="5"/>
        <v>3702</v>
      </c>
      <c r="J21" s="10">
        <f t="shared" si="3"/>
        <v>75994594807.158478</v>
      </c>
      <c r="K21" s="11">
        <f t="shared" si="4"/>
        <v>4.0000000000002256E-3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11"/>
      <c r="H22" s="10"/>
      <c r="I22" s="10">
        <f t="shared" si="5"/>
        <v>3702</v>
      </c>
      <c r="J22" s="10">
        <f t="shared" si="3"/>
        <v>75691827497.169785</v>
      </c>
      <c r="K22" s="11">
        <f t="shared" si="4"/>
        <v>5.4000000000000714E-3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11"/>
      <c r="H23" s="10"/>
      <c r="I23" s="10">
        <f t="shared" si="5"/>
        <v>3702</v>
      </c>
      <c r="J23" s="10">
        <f t="shared" si="3"/>
        <v>75285286947.652451</v>
      </c>
      <c r="K23" s="11">
        <f t="shared" si="4"/>
        <v>1.3900000000000023E-2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11"/>
      <c r="H24" s="10"/>
      <c r="I24" s="10">
        <f t="shared" si="5"/>
        <v>3702</v>
      </c>
      <c r="J24" s="10">
        <f t="shared" si="3"/>
        <v>74253167913.652679</v>
      </c>
      <c r="K24" s="11">
        <f t="shared" si="4"/>
        <v>2.9099999999999904E-2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11"/>
      <c r="H25" s="10"/>
      <c r="I25" s="10">
        <f t="shared" si="5"/>
        <v>3702</v>
      </c>
      <c r="J25" s="10">
        <f t="shared" si="3"/>
        <v>72153501033.575638</v>
      </c>
      <c r="K25" s="11">
        <f t="shared" si="4"/>
        <v>4.1400000000000325E-2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11"/>
      <c r="H26" s="10"/>
      <c r="I26" s="10">
        <f t="shared" si="5"/>
        <v>3702</v>
      </c>
      <c r="J26" s="10">
        <f t="shared" si="3"/>
        <v>69285097977.314789</v>
      </c>
      <c r="K26" s="11">
        <f t="shared" si="4"/>
        <v>1.4699999999999935E-2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11"/>
      <c r="H27" s="10"/>
      <c r="I27" s="10">
        <f t="shared" si="5"/>
        <v>3702</v>
      </c>
      <c r="J27" s="10">
        <f t="shared" si="3"/>
        <v>68281361956.553459</v>
      </c>
      <c r="K27" s="11">
        <f t="shared" si="4"/>
        <v>1.4100000000000001E-2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11"/>
      <c r="H28" s="10"/>
      <c r="I28" s="10">
        <f t="shared" si="5"/>
        <v>3702</v>
      </c>
      <c r="J28" s="10">
        <f t="shared" si="3"/>
        <v>67331981024.113457</v>
      </c>
      <c r="K28" s="11">
        <f t="shared" si="4"/>
        <v>2.0599999999999952E-2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11"/>
      <c r="H29" s="10"/>
      <c r="I29" s="10">
        <f t="shared" si="5"/>
        <v>3702</v>
      </c>
      <c r="J29" s="10">
        <f t="shared" si="3"/>
        <v>65972938491.194847</v>
      </c>
      <c r="K29" s="11">
        <f t="shared" si="4"/>
        <v>2.1499999999999853E-2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11"/>
      <c r="H30" s="10"/>
      <c r="I30" s="10">
        <f t="shared" si="5"/>
        <v>3702</v>
      </c>
      <c r="J30" s="10">
        <f t="shared" si="3"/>
        <v>64584374440.719383</v>
      </c>
      <c r="K30" s="11">
        <f t="shared" si="4"/>
        <v>2.2399999999999975E-2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11"/>
      <c r="H31" s="10"/>
      <c r="I31" s="10">
        <f t="shared" si="5"/>
        <v>3702</v>
      </c>
      <c r="J31" s="10">
        <f t="shared" si="3"/>
        <v>63169380321.517395</v>
      </c>
      <c r="K31" s="11">
        <f t="shared" si="4"/>
        <v>2.289999999999992E-2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11"/>
      <c r="H32" s="10"/>
      <c r="I32" s="10">
        <f t="shared" si="5"/>
        <v>3702</v>
      </c>
      <c r="J32" s="10">
        <f t="shared" si="3"/>
        <v>61755186549.533089</v>
      </c>
      <c r="K32" s="11">
        <f t="shared" si="4"/>
        <v>2.2399999999999975E-2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11"/>
      <c r="H33" s="10"/>
      <c r="I33" s="10">
        <f t="shared" si="5"/>
        <v>3702</v>
      </c>
      <c r="J33" s="10">
        <f t="shared" si="3"/>
        <v>60402177767.540192</v>
      </c>
      <c r="K33" s="11">
        <f t="shared" si="4"/>
        <v>2.1500000000000075E-2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11"/>
      <c r="H34" s="10"/>
      <c r="I34" s="10">
        <f t="shared" si="5"/>
        <v>3702</v>
      </c>
      <c r="J34" s="10">
        <f t="shared" ref="J34:J65" si="6">IF(I34="","",I34*C34)</f>
        <v>59130864187.508751</v>
      </c>
      <c r="K34" s="11">
        <f t="shared" ref="K34:K65" si="7">IFERROR(J34/J35-1,"")</f>
        <v>2.0499999999999963E-2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11"/>
      <c r="H35" s="10"/>
      <c r="I35" s="10">
        <f t="shared" ref="I35:I66" si="8">IF(H35&lt;&gt;"",H35,I34/(1+IF(G34="",0,G34)))</f>
        <v>3702</v>
      </c>
      <c r="J35" s="10">
        <f t="shared" si="6"/>
        <v>57943032030.875801</v>
      </c>
      <c r="K35" s="11">
        <f t="shared" si="7"/>
        <v>1.9500000000000295E-2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11"/>
      <c r="H36" s="10"/>
      <c r="I36" s="10">
        <f t="shared" si="8"/>
        <v>3702</v>
      </c>
      <c r="J36" s="10">
        <f t="shared" si="6"/>
        <v>56834754321.6045</v>
      </c>
      <c r="K36" s="11">
        <f t="shared" si="7"/>
        <v>1.8499999999999739E-2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11"/>
      <c r="H37" s="10"/>
      <c r="I37" s="10">
        <f t="shared" si="8"/>
        <v>3702</v>
      </c>
      <c r="J37" s="10">
        <f t="shared" si="6"/>
        <v>55802409741.388817</v>
      </c>
      <c r="K37" s="11">
        <f t="shared" si="7"/>
        <v>1.760000000000006E-2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11"/>
      <c r="H38" s="10"/>
      <c r="I38" s="10">
        <f t="shared" si="8"/>
        <v>3702</v>
      </c>
      <c r="J38" s="10">
        <f t="shared" si="6"/>
        <v>54837273723.849075</v>
      </c>
      <c r="K38" s="11">
        <f t="shared" si="7"/>
        <v>1.6900000000000137E-2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11"/>
      <c r="H39" s="10"/>
      <c r="I39" s="10">
        <f t="shared" si="8"/>
        <v>3702</v>
      </c>
      <c r="J39" s="10">
        <f t="shared" si="6"/>
        <v>53925925581.521362</v>
      </c>
      <c r="K39" s="11">
        <f t="shared" si="7"/>
        <v>1.639999999999997E-2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11"/>
      <c r="H40" s="10"/>
      <c r="I40" s="10">
        <f t="shared" si="8"/>
        <v>3702</v>
      </c>
      <c r="J40" s="10">
        <f t="shared" si="6"/>
        <v>53055810292.720749</v>
      </c>
      <c r="K40" s="11">
        <f t="shared" si="7"/>
        <v>1.6199999999999992E-2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11"/>
      <c r="H41" s="10"/>
      <c r="I41" s="10">
        <f t="shared" si="8"/>
        <v>3702</v>
      </c>
      <c r="J41" s="10">
        <f t="shared" si="6"/>
        <v>52210008160.520317</v>
      </c>
      <c r="K41" s="11">
        <f t="shared" si="7"/>
        <v>1.6299999999999981E-2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11"/>
      <c r="H42" s="10"/>
      <c r="I42" s="10">
        <f t="shared" si="8"/>
        <v>3702</v>
      </c>
      <c r="J42" s="10">
        <f t="shared" si="6"/>
        <v>51372634222.690468</v>
      </c>
      <c r="K42" s="11">
        <f t="shared" si="7"/>
        <v>1.6899999999999915E-2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11"/>
      <c r="H43" s="10"/>
      <c r="I43" s="10">
        <f t="shared" si="8"/>
        <v>3702</v>
      </c>
      <c r="J43" s="10">
        <f t="shared" si="6"/>
        <v>50518865397.473175</v>
      </c>
      <c r="K43" s="11">
        <f t="shared" si="7"/>
        <v>1.7900000000000027E-2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11"/>
      <c r="H44" s="10"/>
      <c r="I44" s="10">
        <f t="shared" si="8"/>
        <v>3702</v>
      </c>
      <c r="J44" s="10">
        <f t="shared" si="6"/>
        <v>49630479808.893967</v>
      </c>
      <c r="K44" s="11">
        <f t="shared" si="7"/>
        <v>1.9199999999999884E-2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11"/>
      <c r="H45" s="10"/>
      <c r="I45" s="10">
        <f t="shared" si="8"/>
        <v>3702</v>
      </c>
      <c r="J45" s="10">
        <f t="shared" si="6"/>
        <v>48695525715.162842</v>
      </c>
      <c r="K45" s="11">
        <f t="shared" si="7"/>
        <v>2.0500000000000185E-2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11"/>
      <c r="H46" s="10"/>
      <c r="I46" s="10">
        <f t="shared" si="8"/>
        <v>3702</v>
      </c>
      <c r="J46" s="10">
        <f t="shared" si="6"/>
        <v>47717320642.001801</v>
      </c>
      <c r="K46" s="11">
        <f t="shared" si="7"/>
        <v>2.1700000000000053E-2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11"/>
      <c r="H47" s="10"/>
      <c r="I47" s="10">
        <f t="shared" si="8"/>
        <v>3702</v>
      </c>
      <c r="J47" s="10">
        <f t="shared" si="6"/>
        <v>46703847158.658897</v>
      </c>
      <c r="K47" s="11">
        <f t="shared" si="7"/>
        <v>2.289999999999992E-2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11"/>
      <c r="H48" s="10"/>
      <c r="I48" s="10">
        <f t="shared" si="8"/>
        <v>3702</v>
      </c>
      <c r="J48" s="10">
        <f t="shared" si="6"/>
        <v>45658272713.51931</v>
      </c>
      <c r="K48" s="11">
        <f t="shared" si="7"/>
        <v>2.3900000000000032E-2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11"/>
      <c r="H49" s="10"/>
      <c r="I49" s="10">
        <f t="shared" si="8"/>
        <v>3702</v>
      </c>
      <c r="J49" s="10">
        <f t="shared" si="6"/>
        <v>44592511684.265366</v>
      </c>
      <c r="K49" s="11">
        <f t="shared" si="7"/>
        <v>2.4899999999999922E-2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11"/>
      <c r="H50" s="10"/>
      <c r="I50" s="10">
        <f t="shared" si="8"/>
        <v>3702</v>
      </c>
      <c r="J50" s="10">
        <f t="shared" si="6"/>
        <v>43509134241.648323</v>
      </c>
      <c r="K50" s="11">
        <f t="shared" si="7"/>
        <v>2.5899999999999812E-2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11"/>
      <c r="H51" s="10"/>
      <c r="I51" s="10">
        <f t="shared" si="8"/>
        <v>3702</v>
      </c>
      <c r="J51" s="10">
        <f t="shared" si="6"/>
        <v>42410697184.568016</v>
      </c>
      <c r="K51" s="11">
        <f t="shared" si="7"/>
        <v>2.6799999999999935E-2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11"/>
      <c r="H52" s="10"/>
      <c r="I52" s="10">
        <f t="shared" si="8"/>
        <v>3702</v>
      </c>
      <c r="J52" s="10">
        <f t="shared" si="6"/>
        <v>41303756510.097404</v>
      </c>
      <c r="K52" s="11">
        <f t="shared" si="7"/>
        <v>2.7700000000000058E-2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11"/>
      <c r="H53" s="10"/>
      <c r="I53" s="10">
        <f t="shared" si="8"/>
        <v>3702</v>
      </c>
      <c r="J53" s="10">
        <f t="shared" si="6"/>
        <v>40190480208.326752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11"/>
      <c r="H54" s="10"/>
      <c r="I54" s="10">
        <f t="shared" si="8"/>
        <v>3702</v>
      </c>
      <c r="J54" s="10">
        <f t="shared" si="6"/>
        <v>39080591412.219711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11"/>
      <c r="H55" s="10"/>
      <c r="I55" s="10">
        <f t="shared" si="8"/>
        <v>3702</v>
      </c>
      <c r="J55" s="10">
        <f t="shared" si="6"/>
        <v>37971814430.839211</v>
      </c>
      <c r="K55" s="11">
        <f t="shared" si="7"/>
        <v>2.9899999999999816E-2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11"/>
      <c r="H56" s="10"/>
      <c r="I56" s="10">
        <f t="shared" si="8"/>
        <v>3702</v>
      </c>
      <c r="J56" s="10">
        <f t="shared" si="6"/>
        <v>36869418808.46608</v>
      </c>
      <c r="K56" s="11">
        <f t="shared" si="7"/>
        <v>3.069999999999995E-2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11"/>
      <c r="H57" s="10"/>
      <c r="I57" s="10">
        <f t="shared" si="8"/>
        <v>3702</v>
      </c>
      <c r="J57" s="10">
        <f t="shared" si="6"/>
        <v>35771241688.625282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11"/>
      <c r="H58" s="10"/>
      <c r="I58" s="10">
        <f t="shared" si="8"/>
        <v>3702</v>
      </c>
      <c r="J58" s="10">
        <f t="shared" si="6"/>
        <v>34675496014.565025</v>
      </c>
      <c r="K58" s="11">
        <f t="shared" si="7"/>
        <v>3.2499999999999973E-2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11"/>
      <c r="H59" s="10"/>
      <c r="I59" s="10">
        <f t="shared" si="8"/>
        <v>3702</v>
      </c>
      <c r="J59" s="10">
        <f t="shared" si="6"/>
        <v>33584015510.474602</v>
      </c>
      <c r="K59" s="11">
        <f t="shared" si="7"/>
        <v>3.3500000000000085E-2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11"/>
      <c r="H60" s="10"/>
      <c r="I60" s="10">
        <f t="shared" si="8"/>
        <v>3702</v>
      </c>
      <c r="J60" s="10">
        <f t="shared" si="6"/>
        <v>32495418974.818192</v>
      </c>
      <c r="K60" s="11">
        <f t="shared" si="7"/>
        <v>3.4499999999999975E-2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11"/>
      <c r="H61" s="10"/>
      <c r="I61" s="10">
        <f t="shared" si="8"/>
        <v>3702</v>
      </c>
      <c r="J61" s="10">
        <f t="shared" si="6"/>
        <v>31411714813.744026</v>
      </c>
      <c r="K61" s="11">
        <f t="shared" si="7"/>
        <v>3.5499999999999865E-2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11"/>
      <c r="H62" s="10"/>
      <c r="I62" s="10">
        <f t="shared" si="8"/>
        <v>3702</v>
      </c>
      <c r="J62" s="10">
        <f t="shared" si="6"/>
        <v>30334828405.353962</v>
      </c>
      <c r="K62" s="11">
        <f t="shared" si="7"/>
        <v>3.6299999999999999E-2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11"/>
      <c r="H63" s="10"/>
      <c r="I63" s="10">
        <f t="shared" si="8"/>
        <v>3702</v>
      </c>
      <c r="J63" s="10">
        <f t="shared" si="6"/>
        <v>29272245879.913116</v>
      </c>
      <c r="K63" s="11">
        <f t="shared" si="7"/>
        <v>3.6699999999999955E-2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11"/>
      <c r="H64" s="10"/>
      <c r="I64" s="10">
        <f t="shared" si="8"/>
        <v>3702</v>
      </c>
      <c r="J64" s="10">
        <f t="shared" si="6"/>
        <v>28235985222.25631</v>
      </c>
      <c r="K64" s="11">
        <f t="shared" si="7"/>
        <v>3.6499999999999977E-2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11"/>
      <c r="H65" s="10"/>
      <c r="I65" s="10">
        <f t="shared" si="8"/>
        <v>3702</v>
      </c>
      <c r="J65" s="10">
        <f t="shared" si="6"/>
        <v>27241664469.132957</v>
      </c>
      <c r="K65" s="11">
        <f t="shared" si="7"/>
        <v>3.5099999999999909E-2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6">
        <f>SUM(F2)</f>
        <v>21995119</v>
      </c>
      <c r="G66" s="11"/>
      <c r="H66" s="10"/>
      <c r="I66" s="10">
        <f t="shared" si="8"/>
        <v>3702</v>
      </c>
      <c r="J66" s="10">
        <f t="shared" ref="J66:J97" si="9">IF(I66="","",I66*C66)</f>
        <v>26317905969.599998</v>
      </c>
      <c r="K66" s="11">
        <f t="shared" ref="K66:K97" si="10">IFERROR(J66/J67-1,"")</f>
        <v>3.2100000000000017E-2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11"/>
      <c r="H67" s="10"/>
      <c r="I67" s="10">
        <f t="shared" ref="I67:I98" si="11">IF(H67&lt;&gt;"",H67,I66/(1+IF(G66="",0,G66)))</f>
        <v>3702</v>
      </c>
      <c r="J67" s="10">
        <f t="shared" si="9"/>
        <v>25499376000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5">
        <v>2166683</v>
      </c>
      <c r="G2" s="11"/>
      <c r="H2" s="10"/>
      <c r="I2" s="10">
        <f>IF(H2&lt;&gt;"",H2,4008)</f>
        <v>4008</v>
      </c>
      <c r="J2" s="10">
        <f t="shared" ref="J2:J33" si="3">IF(I2="","",I2*C2)</f>
        <v>8682633181.4606628</v>
      </c>
      <c r="K2" s="11">
        <f t="shared" ref="K2:K33" si="4">IFERROR(J2/J3-1,"")</f>
        <v>5.5000000000000604E-3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11"/>
      <c r="H3" s="10"/>
      <c r="I3" s="10">
        <f t="shared" ref="I3:I34" si="5">IF(H3&lt;&gt;"",H3,I2/(1+IF(G2="",0,G2)))</f>
        <v>4008</v>
      </c>
      <c r="J3" s="10">
        <f t="shared" si="3"/>
        <v>8635139911.9449654</v>
      </c>
      <c r="K3" s="11">
        <f t="shared" si="4"/>
        <v>5.6000000000000494E-3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11"/>
      <c r="H4" s="10"/>
      <c r="I4" s="10">
        <f t="shared" si="5"/>
        <v>4008</v>
      </c>
      <c r="J4" s="10">
        <f t="shared" si="3"/>
        <v>8587052418.4019136</v>
      </c>
      <c r="K4" s="11">
        <f t="shared" si="4"/>
        <v>5.9000000000000163E-3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11"/>
      <c r="H5" s="10"/>
      <c r="I5" s="10">
        <f t="shared" si="5"/>
        <v>4008</v>
      </c>
      <c r="J5" s="10">
        <f t="shared" si="3"/>
        <v>8536685971.171998</v>
      </c>
      <c r="K5" s="11">
        <f t="shared" si="4"/>
        <v>6.1999999999999833E-3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11"/>
      <c r="H6" s="10"/>
      <c r="I6" s="10">
        <f t="shared" si="5"/>
        <v>4008</v>
      </c>
      <c r="J6" s="10">
        <f t="shared" si="3"/>
        <v>8484084646.3645372</v>
      </c>
      <c r="K6" s="11">
        <f t="shared" si="4"/>
        <v>6.0999999999999943E-3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11"/>
      <c r="H7" s="10"/>
      <c r="I7" s="10">
        <f t="shared" si="5"/>
        <v>4008</v>
      </c>
      <c r="J7" s="10">
        <f t="shared" si="3"/>
        <v>8432645508.7610941</v>
      </c>
      <c r="K7" s="11">
        <f t="shared" si="4"/>
        <v>5.7000000000000384E-3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11"/>
      <c r="H8" s="10"/>
      <c r="I8" s="10">
        <f t="shared" si="5"/>
        <v>4008</v>
      </c>
      <c r="J8" s="10">
        <f t="shared" si="3"/>
        <v>8384851853.1978655</v>
      </c>
      <c r="K8" s="11">
        <f t="shared" si="4"/>
        <v>5.1000000000001044E-3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11"/>
      <c r="H9" s="10"/>
      <c r="I9" s="10">
        <f t="shared" si="5"/>
        <v>4008</v>
      </c>
      <c r="J9" s="10">
        <f t="shared" si="3"/>
        <v>8342306092.1280117</v>
      </c>
      <c r="K9" s="11">
        <f t="shared" si="4"/>
        <v>4.3999999999999595E-3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11"/>
      <c r="H10" s="10"/>
      <c r="I10" s="10">
        <f t="shared" si="5"/>
        <v>4008</v>
      </c>
      <c r="J10" s="10">
        <f t="shared" si="3"/>
        <v>8305760744.8506689</v>
      </c>
      <c r="K10" s="11">
        <f t="shared" si="4"/>
        <v>4.0999999999999925E-3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11"/>
      <c r="H11" s="10"/>
      <c r="I11" s="10">
        <f t="shared" si="5"/>
        <v>4008</v>
      </c>
      <c r="J11" s="10">
        <f t="shared" si="3"/>
        <v>8271846175.5309925</v>
      </c>
      <c r="K11" s="11">
        <f t="shared" si="4"/>
        <v>4.0999999999999925E-3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11"/>
      <c r="H12" s="10"/>
      <c r="I12" s="10">
        <f t="shared" si="5"/>
        <v>4008</v>
      </c>
      <c r="J12" s="10">
        <f t="shared" si="3"/>
        <v>8238070088.1694975</v>
      </c>
      <c r="K12" s="11">
        <f t="shared" si="4"/>
        <v>4.4999999999999485E-3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11"/>
      <c r="H13" s="10"/>
      <c r="I13" s="10">
        <f t="shared" si="5"/>
        <v>4008</v>
      </c>
      <c r="J13" s="10">
        <f t="shared" si="3"/>
        <v>8201164846.3608732</v>
      </c>
      <c r="K13" s="11">
        <f t="shared" si="4"/>
        <v>4.9999999999998934E-3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11"/>
      <c r="H14" s="10"/>
      <c r="I14" s="10">
        <f t="shared" si="5"/>
        <v>4008</v>
      </c>
      <c r="J14" s="10">
        <f t="shared" si="3"/>
        <v>8160363031.2048502</v>
      </c>
      <c r="K14" s="11">
        <f t="shared" si="4"/>
        <v>5.3000000000000824E-3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11"/>
      <c r="H15" s="10"/>
      <c r="I15" s="10">
        <f t="shared" si="5"/>
        <v>4008</v>
      </c>
      <c r="J15" s="10">
        <f t="shared" si="3"/>
        <v>8117341123.2516165</v>
      </c>
      <c r="K15" s="11">
        <f t="shared" si="4"/>
        <v>5.3000000000000824E-3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11"/>
      <c r="H16" s="10"/>
      <c r="I16" s="10">
        <f t="shared" si="5"/>
        <v>4008</v>
      </c>
      <c r="J16" s="10">
        <f t="shared" si="3"/>
        <v>8074546029.2963457</v>
      </c>
      <c r="K16" s="11">
        <f t="shared" si="4"/>
        <v>4.9999999999998934E-3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11"/>
      <c r="H17" s="10"/>
      <c r="I17" s="10">
        <f t="shared" si="5"/>
        <v>4008</v>
      </c>
      <c r="J17" s="10">
        <f t="shared" si="3"/>
        <v>8034374158.5038271</v>
      </c>
      <c r="K17" s="11">
        <f t="shared" si="4"/>
        <v>4.5999999999999375E-3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11"/>
      <c r="H18" s="10"/>
      <c r="I18" s="10">
        <f t="shared" si="5"/>
        <v>4008</v>
      </c>
      <c r="J18" s="10">
        <f t="shared" si="3"/>
        <v>7997585266.278945</v>
      </c>
      <c r="K18" s="11">
        <f t="shared" si="4"/>
        <v>4.2999999999999705E-3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11"/>
      <c r="H19" s="10"/>
      <c r="I19" s="10">
        <f t="shared" si="5"/>
        <v>4008</v>
      </c>
      <c r="J19" s="10">
        <f t="shared" si="3"/>
        <v>7963342891.8440161</v>
      </c>
      <c r="K19" s="11">
        <f t="shared" si="4"/>
        <v>4.3999999999999595E-3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11"/>
      <c r="H20" s="10"/>
      <c r="I20" s="10">
        <f t="shared" si="5"/>
        <v>4008</v>
      </c>
      <c r="J20" s="10">
        <f t="shared" si="3"/>
        <v>7928457678.0605497</v>
      </c>
      <c r="K20" s="11">
        <f t="shared" si="4"/>
        <v>4.7999999999999154E-3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11"/>
      <c r="H21" s="10"/>
      <c r="I21" s="10">
        <f t="shared" si="5"/>
        <v>4008</v>
      </c>
      <c r="J21" s="10">
        <f t="shared" si="3"/>
        <v>7890582880.2354202</v>
      </c>
      <c r="K21" s="11">
        <f t="shared" si="4"/>
        <v>5.5000000000000604E-3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11"/>
      <c r="H22" s="10"/>
      <c r="I22" s="10">
        <f t="shared" si="5"/>
        <v>4008</v>
      </c>
      <c r="J22" s="10">
        <f t="shared" si="3"/>
        <v>7847422058.9114065</v>
      </c>
      <c r="K22" s="11">
        <f t="shared" si="4"/>
        <v>6.4999999999999503E-3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11"/>
      <c r="H23" s="10"/>
      <c r="I23" s="10">
        <f t="shared" si="5"/>
        <v>4008</v>
      </c>
      <c r="J23" s="10">
        <f t="shared" si="3"/>
        <v>7796743227.929863</v>
      </c>
      <c r="K23" s="11">
        <f t="shared" si="4"/>
        <v>7.8000000000000291E-3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11"/>
      <c r="H24" s="10"/>
      <c r="I24" s="10">
        <f t="shared" si="5"/>
        <v>4008</v>
      </c>
      <c r="J24" s="10">
        <f t="shared" si="3"/>
        <v>7736399313.2862301</v>
      </c>
      <c r="K24" s="11">
        <f t="shared" si="4"/>
        <v>9.300000000000086E-3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11"/>
      <c r="H25" s="10"/>
      <c r="I25" s="10">
        <f t="shared" si="5"/>
        <v>4008</v>
      </c>
      <c r="J25" s="10">
        <f t="shared" si="3"/>
        <v>7665113755.3613691</v>
      </c>
      <c r="K25" s="11">
        <f t="shared" si="4"/>
        <v>1.089999999999991E-2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11"/>
      <c r="H26" s="10"/>
      <c r="I26" s="10">
        <f t="shared" si="5"/>
        <v>4008</v>
      </c>
      <c r="J26" s="10">
        <f t="shared" si="3"/>
        <v>7582464888.0812836</v>
      </c>
      <c r="K26" s="11">
        <f t="shared" si="4"/>
        <v>1.2299999999999978E-2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11"/>
      <c r="H27" s="10"/>
      <c r="I27" s="10">
        <f t="shared" si="5"/>
        <v>4008</v>
      </c>
      <c r="J27" s="10">
        <f t="shared" si="3"/>
        <v>7490333782.5558462</v>
      </c>
      <c r="K27" s="11">
        <f t="shared" si="4"/>
        <v>1.330000000000009E-2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11"/>
      <c r="H28" s="10"/>
      <c r="I28" s="10">
        <f t="shared" si="5"/>
        <v>4008</v>
      </c>
      <c r="J28" s="10">
        <f t="shared" si="3"/>
        <v>7392019917.6510859</v>
      </c>
      <c r="K28" s="11">
        <f t="shared" si="4"/>
        <v>1.4100000000000001E-2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11"/>
      <c r="H29" s="10"/>
      <c r="I29" s="10">
        <f t="shared" si="5"/>
        <v>4008</v>
      </c>
      <c r="J29" s="10">
        <f t="shared" si="3"/>
        <v>7289241610.9368753</v>
      </c>
      <c r="K29" s="11">
        <f t="shared" si="4"/>
        <v>1.4699999999999935E-2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11"/>
      <c r="H30" s="10"/>
      <c r="I30" s="10">
        <f t="shared" si="5"/>
        <v>4008</v>
      </c>
      <c r="J30" s="10">
        <f t="shared" si="3"/>
        <v>7183642072.4715443</v>
      </c>
      <c r="K30" s="11">
        <f t="shared" si="4"/>
        <v>1.5500000000000069E-2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11"/>
      <c r="H31" s="10"/>
      <c r="I31" s="10">
        <f t="shared" si="5"/>
        <v>4008</v>
      </c>
      <c r="J31" s="10">
        <f t="shared" si="3"/>
        <v>7073995147.6824656</v>
      </c>
      <c r="K31" s="11">
        <f t="shared" si="4"/>
        <v>1.639999999999997E-2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11"/>
      <c r="H32" s="10"/>
      <c r="I32" s="10">
        <f t="shared" si="5"/>
        <v>4008</v>
      </c>
      <c r="J32" s="10">
        <f t="shared" si="3"/>
        <v>6959853549.471139</v>
      </c>
      <c r="K32" s="11">
        <f t="shared" si="4"/>
        <v>1.7400000000000082E-2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11"/>
      <c r="H33" s="10"/>
      <c r="I33" s="10">
        <f t="shared" si="5"/>
        <v>4008</v>
      </c>
      <c r="J33" s="10">
        <f t="shared" si="3"/>
        <v>6840823225.3500481</v>
      </c>
      <c r="K33" s="11">
        <f t="shared" si="4"/>
        <v>1.8399999999999972E-2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11"/>
      <c r="H34" s="10"/>
      <c r="I34" s="10">
        <f t="shared" si="5"/>
        <v>4008</v>
      </c>
      <c r="J34" s="10">
        <f t="shared" ref="J34:J65" si="6">IF(I34="","",I34*C34)</f>
        <v>6717226262.1269131</v>
      </c>
      <c r="K34" s="11">
        <f t="shared" ref="K34:K65" si="7">IFERROR(J34/J35-1,"")</f>
        <v>1.9300000000000095E-2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11"/>
      <c r="H35" s="10"/>
      <c r="I35" s="10">
        <f t="shared" ref="I35:I66" si="8">IF(H35&lt;&gt;"",H35,I34/(1+IF(G34="",0,G34)))</f>
        <v>4008</v>
      </c>
      <c r="J35" s="10">
        <f t="shared" si="6"/>
        <v>6590038518.7156992</v>
      </c>
      <c r="K35" s="11">
        <f t="shared" si="7"/>
        <v>2.0100000000000007E-2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11"/>
      <c r="H36" s="10"/>
      <c r="I36" s="10">
        <f t="shared" si="8"/>
        <v>4008</v>
      </c>
      <c r="J36" s="10">
        <f t="shared" si="6"/>
        <v>6460188725.3364363</v>
      </c>
      <c r="K36" s="11">
        <f t="shared" si="7"/>
        <v>2.079999999999993E-2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11"/>
      <c r="H37" s="10"/>
      <c r="I37" s="10">
        <f t="shared" si="8"/>
        <v>4008</v>
      </c>
      <c r="J37" s="10">
        <f t="shared" si="6"/>
        <v>6328554785.7919645</v>
      </c>
      <c r="K37" s="11">
        <f t="shared" si="7"/>
        <v>2.1500000000000075E-2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11"/>
      <c r="H38" s="10"/>
      <c r="I38" s="10">
        <f t="shared" si="8"/>
        <v>4008</v>
      </c>
      <c r="J38" s="10">
        <f t="shared" si="6"/>
        <v>6195354660.5892944</v>
      </c>
      <c r="K38" s="11">
        <f t="shared" si="7"/>
        <v>2.2100000000000009E-2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11"/>
      <c r="H39" s="10"/>
      <c r="I39" s="10">
        <f t="shared" si="8"/>
        <v>4008</v>
      </c>
      <c r="J39" s="10">
        <f t="shared" si="6"/>
        <v>6061397769.8750563</v>
      </c>
      <c r="K39" s="11">
        <f t="shared" si="7"/>
        <v>2.2700000000000164E-2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11"/>
      <c r="H40" s="10"/>
      <c r="I40" s="10">
        <f t="shared" si="8"/>
        <v>4008</v>
      </c>
      <c r="J40" s="10">
        <f t="shared" si="6"/>
        <v>5926858091.2047091</v>
      </c>
      <c r="K40" s="11">
        <f t="shared" si="7"/>
        <v>2.3299999999999876E-2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11"/>
      <c r="H41" s="10"/>
      <c r="I41" s="10">
        <f t="shared" si="8"/>
        <v>4008</v>
      </c>
      <c r="J41" s="10">
        <f t="shared" si="6"/>
        <v>5791906665.8894844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11"/>
      <c r="H42" s="10"/>
      <c r="I42" s="10">
        <f t="shared" si="8"/>
        <v>4008</v>
      </c>
      <c r="J42" s="10">
        <f t="shared" si="6"/>
        <v>5656158853.4076996</v>
      </c>
      <c r="K42" s="11">
        <f t="shared" si="7"/>
        <v>2.4799999999999933E-2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11"/>
      <c r="H43" s="10"/>
      <c r="I43" s="10">
        <f t="shared" si="8"/>
        <v>4008</v>
      </c>
      <c r="J43" s="10">
        <f t="shared" si="6"/>
        <v>5519280692.2401438</v>
      </c>
      <c r="K43" s="11">
        <f t="shared" si="7"/>
        <v>2.5500000000000078E-2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11"/>
      <c r="H44" s="10"/>
      <c r="I44" s="10">
        <f t="shared" si="8"/>
        <v>4008</v>
      </c>
      <c r="J44" s="10">
        <f t="shared" si="6"/>
        <v>5382038705.2561131</v>
      </c>
      <c r="K44" s="11">
        <f t="shared" si="7"/>
        <v>2.6200000000000001E-2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11"/>
      <c r="H45" s="10"/>
      <c r="I45" s="10">
        <f t="shared" si="8"/>
        <v>4008</v>
      </c>
      <c r="J45" s="10">
        <f t="shared" si="6"/>
        <v>5244629414.5937567</v>
      </c>
      <c r="K45" s="11">
        <f t="shared" si="7"/>
        <v>2.6699999999999946E-2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11"/>
      <c r="H46" s="10"/>
      <c r="I46" s="10">
        <f t="shared" si="8"/>
        <v>4008</v>
      </c>
      <c r="J46" s="10">
        <f t="shared" si="6"/>
        <v>5108239422.025671</v>
      </c>
      <c r="K46" s="11">
        <f t="shared" si="7"/>
        <v>2.7199999999999669E-2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11"/>
      <c r="H47" s="10"/>
      <c r="I47" s="10">
        <f t="shared" si="8"/>
        <v>4008</v>
      </c>
      <c r="J47" s="10">
        <f t="shared" si="6"/>
        <v>4972974515.2119083</v>
      </c>
      <c r="K47" s="11">
        <f t="shared" si="7"/>
        <v>2.750000000000008E-2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11"/>
      <c r="H48" s="10"/>
      <c r="I48" s="10">
        <f t="shared" si="8"/>
        <v>4008</v>
      </c>
      <c r="J48" s="10">
        <f t="shared" si="6"/>
        <v>4839877873.6855555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11"/>
      <c r="H49" s="10"/>
      <c r="I49" s="10">
        <f t="shared" si="8"/>
        <v>4008</v>
      </c>
      <c r="J49" s="10">
        <f t="shared" si="6"/>
        <v>4708968548.0497713</v>
      </c>
      <c r="K49" s="11">
        <f t="shared" si="7"/>
        <v>2.8100000000000014E-2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11"/>
      <c r="H50" s="10"/>
      <c r="I50" s="10">
        <f t="shared" si="8"/>
        <v>4008</v>
      </c>
      <c r="J50" s="10">
        <f t="shared" si="6"/>
        <v>4580263153.438159</v>
      </c>
      <c r="K50" s="11">
        <f t="shared" si="7"/>
        <v>2.829999999999977E-2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11"/>
      <c r="H51" s="10"/>
      <c r="I51" s="10">
        <f t="shared" si="8"/>
        <v>4008</v>
      </c>
      <c r="J51" s="10">
        <f t="shared" si="6"/>
        <v>4454209037.6720409</v>
      </c>
      <c r="K51" s="11">
        <f t="shared" si="7"/>
        <v>2.8399999999999981E-2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11"/>
      <c r="H52" s="10"/>
      <c r="I52" s="10">
        <f t="shared" si="8"/>
        <v>4008</v>
      </c>
      <c r="J52" s="10">
        <f t="shared" si="6"/>
        <v>4331202875.9938164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11"/>
      <c r="H53" s="10"/>
      <c r="I53" s="10">
        <f t="shared" si="8"/>
        <v>4008</v>
      </c>
      <c r="J53" s="10">
        <f t="shared" si="6"/>
        <v>4211593617.2635322</v>
      </c>
      <c r="K53" s="11">
        <f t="shared" si="7"/>
        <v>2.8299999999999992E-2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11"/>
      <c r="H54" s="10"/>
      <c r="I54" s="10">
        <f t="shared" si="8"/>
        <v>4008</v>
      </c>
      <c r="J54" s="10">
        <f t="shared" si="6"/>
        <v>4095685711.624557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11"/>
      <c r="H55" s="10"/>
      <c r="I55" s="10">
        <f t="shared" si="8"/>
        <v>4008</v>
      </c>
      <c r="J55" s="10">
        <f t="shared" si="6"/>
        <v>3983355097.8647704</v>
      </c>
      <c r="K55" s="11">
        <f t="shared" si="7"/>
        <v>2.8100000000000014E-2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11"/>
      <c r="H56" s="10"/>
      <c r="I56" s="10">
        <f t="shared" si="8"/>
        <v>4008</v>
      </c>
      <c r="J56" s="10">
        <f t="shared" si="6"/>
        <v>3874482149.4648094</v>
      </c>
      <c r="K56" s="11">
        <f t="shared" si="7"/>
        <v>2.8100000000000014E-2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11"/>
      <c r="H57" s="10"/>
      <c r="I57" s="10">
        <f t="shared" si="8"/>
        <v>4008</v>
      </c>
      <c r="J57" s="10">
        <f t="shared" si="6"/>
        <v>3768584913.3983164</v>
      </c>
      <c r="K57" s="11">
        <f t="shared" si="7"/>
        <v>2.8100000000000014E-2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11"/>
      <c r="H58" s="10"/>
      <c r="I58" s="10">
        <f t="shared" si="8"/>
        <v>4008</v>
      </c>
      <c r="J58" s="10">
        <f t="shared" si="6"/>
        <v>3665582057.5803099</v>
      </c>
      <c r="K58" s="11">
        <f t="shared" si="7"/>
        <v>2.8200000000000003E-2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11"/>
      <c r="H59" s="10"/>
      <c r="I59" s="10">
        <f t="shared" si="8"/>
        <v>4008</v>
      </c>
      <c r="J59" s="10">
        <f t="shared" si="6"/>
        <v>3565047712.0991149</v>
      </c>
      <c r="K59" s="11">
        <f t="shared" si="7"/>
        <v>2.8299999999999992E-2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11"/>
      <c r="H60" s="10"/>
      <c r="I60" s="10">
        <f t="shared" si="8"/>
        <v>4008</v>
      </c>
      <c r="J60" s="10">
        <f t="shared" si="6"/>
        <v>3466933494.2128901</v>
      </c>
      <c r="K60" s="11">
        <f t="shared" si="7"/>
        <v>2.8299999999999992E-2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11"/>
      <c r="H61" s="10"/>
      <c r="I61" s="10">
        <f t="shared" si="8"/>
        <v>4008</v>
      </c>
      <c r="J61" s="10">
        <f t="shared" si="6"/>
        <v>3371519492.573072</v>
      </c>
      <c r="K61" s="11">
        <f t="shared" si="7"/>
        <v>2.8200000000000003E-2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11"/>
      <c r="H62" s="10"/>
      <c r="I62" s="10">
        <f t="shared" si="8"/>
        <v>4008</v>
      </c>
      <c r="J62" s="10">
        <f t="shared" si="6"/>
        <v>3279050274.8230615</v>
      </c>
      <c r="K62" s="11">
        <f t="shared" si="7"/>
        <v>2.8000000000000025E-2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11"/>
      <c r="H63" s="10"/>
      <c r="I63" s="10">
        <f t="shared" si="8"/>
        <v>4008</v>
      </c>
      <c r="J63" s="10">
        <f t="shared" si="6"/>
        <v>3189737621.4232116</v>
      </c>
      <c r="K63" s="11">
        <f t="shared" si="7"/>
        <v>2.7600000000000291E-2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11"/>
      <c r="H64" s="10"/>
      <c r="I64" s="10">
        <f t="shared" si="8"/>
        <v>4008</v>
      </c>
      <c r="J64" s="10">
        <f t="shared" si="6"/>
        <v>3104065415.9431791</v>
      </c>
      <c r="K64" s="11">
        <f t="shared" si="7"/>
        <v>2.6999999999999913E-2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11"/>
      <c r="H65" s="10"/>
      <c r="I65" s="10">
        <f t="shared" si="8"/>
        <v>4008</v>
      </c>
      <c r="J65" s="10">
        <f t="shared" si="6"/>
        <v>3022459022.3399997</v>
      </c>
      <c r="K65" s="11">
        <f t="shared" si="7"/>
        <v>2.6100000000000012E-2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6">
        <f>SUM(F2)</f>
        <v>2166683</v>
      </c>
      <c r="G66" s="11"/>
      <c r="H66" s="10"/>
      <c r="I66" s="10">
        <f t="shared" si="8"/>
        <v>4008</v>
      </c>
      <c r="J66" s="10">
        <f t="shared" ref="J66:J97" si="9">IF(I66="","",I66*C66)</f>
        <v>2945579399.9999995</v>
      </c>
      <c r="K66" s="11">
        <f t="shared" ref="K66:K97" si="10">IFERROR(J66/J67-1,"")</f>
        <v>2.4999999999999911E-2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11"/>
      <c r="H67" s="10"/>
      <c r="I67" s="10">
        <f t="shared" ref="I67:I98" si="11">IF(H67&lt;&gt;"",H67,I66/(1+IF(G66="",0,G66)))</f>
        <v>4008</v>
      </c>
      <c r="J67" s="10">
        <f t="shared" si="9"/>
        <v>2873736000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5">
        <v>345037</v>
      </c>
      <c r="G2" s="11"/>
      <c r="H2" s="10"/>
      <c r="I2" s="10">
        <f>IF(H2&lt;&gt;"",H2,24643)</f>
        <v>24643</v>
      </c>
      <c r="J2" s="10">
        <f t="shared" ref="J2:J33" si="3">IF(I2="","",I2*C2)</f>
        <v>8506412242.1071739</v>
      </c>
      <c r="K2" s="11">
        <f t="shared" ref="K2:K33" si="4">IFERROR(J2/J3-1,"")</f>
        <v>-1.6000000000000458E-3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11"/>
      <c r="H3" s="10"/>
      <c r="I3" s="10">
        <f t="shared" ref="I3:I34" si="5">IF(H3&lt;&gt;"",H3,I2/(1+IF(G2="",0,G2)))</f>
        <v>24643</v>
      </c>
      <c r="J3" s="10">
        <f t="shared" si="3"/>
        <v>8520044313.007987</v>
      </c>
      <c r="K3" s="11">
        <f t="shared" si="4"/>
        <v>-1.2999999999999678E-3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11"/>
      <c r="H4" s="10"/>
      <c r="I4" s="10">
        <f t="shared" si="5"/>
        <v>24643</v>
      </c>
      <c r="J4" s="10">
        <f t="shared" si="3"/>
        <v>8531134788.2326889</v>
      </c>
      <c r="K4" s="11">
        <f t="shared" si="4"/>
        <v>-1.4999999999999458E-3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11"/>
      <c r="H5" s="10"/>
      <c r="I5" s="10">
        <f t="shared" si="5"/>
        <v>24643</v>
      </c>
      <c r="J5" s="10">
        <f t="shared" si="3"/>
        <v>8543950714.3041449</v>
      </c>
      <c r="K5" s="11">
        <f t="shared" si="4"/>
        <v>-1.6000000000001569E-3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11"/>
      <c r="H6" s="10"/>
      <c r="I6" s="10">
        <f t="shared" si="5"/>
        <v>24643</v>
      </c>
      <c r="J6" s="10">
        <f t="shared" si="3"/>
        <v>8557642943.0129671</v>
      </c>
      <c r="K6" s="11">
        <f t="shared" si="4"/>
        <v>-1.4999999999999458E-3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11"/>
      <c r="H7" s="10"/>
      <c r="I7" s="10">
        <f t="shared" si="5"/>
        <v>24643</v>
      </c>
      <c r="J7" s="10">
        <f t="shared" si="3"/>
        <v>8570498691.0495405</v>
      </c>
      <c r="K7" s="11">
        <f t="shared" si="4"/>
        <v>-1.1000000000001009E-3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11"/>
      <c r="H8" s="10"/>
      <c r="I8" s="10">
        <f t="shared" si="5"/>
        <v>24643</v>
      </c>
      <c r="J8" s="10">
        <f t="shared" si="3"/>
        <v>8579936621.3330078</v>
      </c>
      <c r="K8" s="11">
        <f t="shared" si="4"/>
        <v>-4.9999999999983391E-4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11"/>
      <c r="H9" s="10"/>
      <c r="I9" s="10">
        <f t="shared" si="5"/>
        <v>24643</v>
      </c>
      <c r="J9" s="10">
        <f t="shared" si="3"/>
        <v>8584228735.7008572</v>
      </c>
      <c r="K9" s="11">
        <f t="shared" si="4"/>
        <v>-9.9999999999988987E-5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11"/>
      <c r="H10" s="10"/>
      <c r="I10" s="10">
        <f t="shared" si="5"/>
        <v>24643</v>
      </c>
      <c r="J10" s="10">
        <f t="shared" si="3"/>
        <v>8585087244.4252996</v>
      </c>
      <c r="K10" s="11">
        <f t="shared" si="4"/>
        <v>4.9999999999994493E-4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11"/>
      <c r="H11" s="10"/>
      <c r="I11" s="10">
        <f t="shared" si="5"/>
        <v>24643</v>
      </c>
      <c r="J11" s="10">
        <f t="shared" si="3"/>
        <v>8580796846.0022993</v>
      </c>
      <c r="K11" s="11">
        <f t="shared" si="4"/>
        <v>8.9999999999990088E-4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11"/>
      <c r="H12" s="10"/>
      <c r="I12" s="10">
        <f t="shared" si="5"/>
        <v>24643</v>
      </c>
      <c r="J12" s="10">
        <f t="shared" si="3"/>
        <v>8573081073.0365667</v>
      </c>
      <c r="K12" s="11">
        <f t="shared" si="4"/>
        <v>5.9999999999993392E-4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11"/>
      <c r="H13" s="10"/>
      <c r="I13" s="10">
        <f t="shared" si="5"/>
        <v>24643</v>
      </c>
      <c r="J13" s="10">
        <f t="shared" si="3"/>
        <v>8567940308.8512564</v>
      </c>
      <c r="K13" s="11">
        <f t="shared" si="4"/>
        <v>-2.9999999999996696E-4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11"/>
      <c r="H14" s="10"/>
      <c r="I14" s="10">
        <f t="shared" si="5"/>
        <v>24643</v>
      </c>
      <c r="J14" s="10">
        <f t="shared" si="3"/>
        <v>8570511462.2899427</v>
      </c>
      <c r="K14" s="11">
        <f t="shared" si="4"/>
        <v>-7.9999999999991189E-4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11"/>
      <c r="H15" s="10"/>
      <c r="I15" s="10">
        <f t="shared" si="5"/>
        <v>24643</v>
      </c>
      <c r="J15" s="10">
        <f t="shared" si="3"/>
        <v>8577373360.9787254</v>
      </c>
      <c r="K15" s="11">
        <f t="shared" si="4"/>
        <v>-9.0000000000012292E-4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11"/>
      <c r="H16" s="10"/>
      <c r="I16" s="10">
        <f t="shared" si="5"/>
        <v>24643</v>
      </c>
      <c r="J16" s="10">
        <f t="shared" si="3"/>
        <v>8585099950.9345675</v>
      </c>
      <c r="K16" s="11">
        <f t="shared" si="4"/>
        <v>-7.0000000000003393E-4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11"/>
      <c r="H17" s="10"/>
      <c r="I17" s="10">
        <f t="shared" si="5"/>
        <v>24643</v>
      </c>
      <c r="J17" s="10">
        <f t="shared" si="3"/>
        <v>8591113730.5459499</v>
      </c>
      <c r="K17" s="11">
        <f t="shared" si="4"/>
        <v>-9.9999999999988987E-5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11"/>
      <c r="H18" s="10"/>
      <c r="I18" s="10">
        <f t="shared" si="5"/>
        <v>24643</v>
      </c>
      <c r="J18" s="10">
        <f t="shared" si="3"/>
        <v>8591972927.8387337</v>
      </c>
      <c r="K18" s="11">
        <f t="shared" si="4"/>
        <v>5.9999999999993392E-4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11"/>
      <c r="H19" s="10"/>
      <c r="I19" s="10">
        <f t="shared" si="5"/>
        <v>24643</v>
      </c>
      <c r="J19" s="10">
        <f t="shared" si="3"/>
        <v>8586820835.3375311</v>
      </c>
      <c r="K19" s="11">
        <f t="shared" si="4"/>
        <v>9.9999999999988987E-4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11"/>
      <c r="H20" s="10"/>
      <c r="I20" s="10">
        <f t="shared" si="5"/>
        <v>24643</v>
      </c>
      <c r="J20" s="10">
        <f t="shared" si="3"/>
        <v>8578242592.7447872</v>
      </c>
      <c r="K20" s="11">
        <f t="shared" si="4"/>
        <v>9.9999999999988987E-4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11"/>
      <c r="H21" s="10"/>
      <c r="I21" s="10">
        <f t="shared" si="5"/>
        <v>24643</v>
      </c>
      <c r="J21" s="10">
        <f t="shared" si="3"/>
        <v>8569672919.8249626</v>
      </c>
      <c r="K21" s="11">
        <f t="shared" si="4"/>
        <v>2.9999999999996696E-4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11"/>
      <c r="H22" s="10"/>
      <c r="I22" s="10">
        <f t="shared" si="5"/>
        <v>24643</v>
      </c>
      <c r="J22" s="10">
        <f t="shared" si="3"/>
        <v>8567102788.988266</v>
      </c>
      <c r="K22" s="11">
        <f t="shared" si="4"/>
        <v>-1.0999999999998789E-3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11"/>
      <c r="H23" s="10"/>
      <c r="I23" s="10">
        <f t="shared" si="5"/>
        <v>24643</v>
      </c>
      <c r="J23" s="10">
        <f t="shared" si="3"/>
        <v>8576536979.6658974</v>
      </c>
      <c r="K23" s="11">
        <f t="shared" si="4"/>
        <v>-3.3999999999999586E-3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11"/>
      <c r="H24" s="10"/>
      <c r="I24" s="10">
        <f t="shared" si="5"/>
        <v>24643</v>
      </c>
      <c r="J24" s="10">
        <f t="shared" si="3"/>
        <v>8605796688.4064789</v>
      </c>
      <c r="K24" s="11">
        <f t="shared" si="4"/>
        <v>-6.1999999999998723E-3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11"/>
      <c r="H25" s="10"/>
      <c r="I25" s="10">
        <f t="shared" si="5"/>
        <v>24643</v>
      </c>
      <c r="J25" s="10">
        <f t="shared" si="3"/>
        <v>8659485498.49716</v>
      </c>
      <c r="K25" s="11">
        <f t="shared" si="4"/>
        <v>-8.90000000000013E-3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11"/>
      <c r="H26" s="10"/>
      <c r="I26" s="10">
        <f t="shared" si="5"/>
        <v>24643</v>
      </c>
      <c r="J26" s="10">
        <f t="shared" si="3"/>
        <v>8737246996.7684002</v>
      </c>
      <c r="K26" s="11">
        <f t="shared" si="4"/>
        <v>-1.1199999999999766E-2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11"/>
      <c r="H27" s="10"/>
      <c r="I27" s="10">
        <f t="shared" si="5"/>
        <v>24643</v>
      </c>
      <c r="J27" s="10">
        <f t="shared" si="3"/>
        <v>8836212577.6379433</v>
      </c>
      <c r="K27" s="11">
        <f t="shared" si="4"/>
        <v>-1.3199999999999878E-2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11"/>
      <c r="H28" s="10"/>
      <c r="I28" s="10">
        <f t="shared" si="5"/>
        <v>24643</v>
      </c>
      <c r="J28" s="10">
        <f t="shared" si="3"/>
        <v>8954410800.2005901</v>
      </c>
      <c r="K28" s="11">
        <f t="shared" si="4"/>
        <v>-1.5000000000000124E-2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11"/>
      <c r="H29" s="10"/>
      <c r="I29" s="10">
        <f t="shared" si="5"/>
        <v>24643</v>
      </c>
      <c r="J29" s="10">
        <f t="shared" si="3"/>
        <v>9090772385.990448</v>
      </c>
      <c r="K29" s="11">
        <f t="shared" si="4"/>
        <v>-1.6300000000000092E-2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11"/>
      <c r="H30" s="10"/>
      <c r="I30" s="10">
        <f t="shared" si="5"/>
        <v>24643</v>
      </c>
      <c r="J30" s="10">
        <f t="shared" si="3"/>
        <v>9241407325.3943768</v>
      </c>
      <c r="K30" s="11">
        <f t="shared" si="4"/>
        <v>-1.7399999999999971E-2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11"/>
      <c r="H31" s="10"/>
      <c r="I31" s="10">
        <f t="shared" si="5"/>
        <v>24643</v>
      </c>
      <c r="J31" s="10">
        <f t="shared" si="3"/>
        <v>9405055287.39505</v>
      </c>
      <c r="K31" s="11">
        <f t="shared" si="4"/>
        <v>-1.7699999999999938E-2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11"/>
      <c r="H32" s="10"/>
      <c r="I32" s="10">
        <f t="shared" si="5"/>
        <v>24643</v>
      </c>
      <c r="J32" s="10">
        <f t="shared" si="3"/>
        <v>9574524368.7214184</v>
      </c>
      <c r="K32" s="11">
        <f t="shared" si="4"/>
        <v>-1.3299999999999867E-2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11"/>
      <c r="H33" s="10"/>
      <c r="I33" s="10">
        <f t="shared" si="5"/>
        <v>24643</v>
      </c>
      <c r="J33" s="10">
        <f t="shared" si="3"/>
        <v>9703582009.4470634</v>
      </c>
      <c r="K33" s="11">
        <f t="shared" si="4"/>
        <v>-5.4000000000000714E-3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11"/>
      <c r="H34" s="10"/>
      <c r="I34" s="10">
        <f t="shared" si="5"/>
        <v>24643</v>
      </c>
      <c r="J34" s="10">
        <f t="shared" ref="J34:J65" si="6">IF(I34="","",I34*C34)</f>
        <v>9756265845.0101185</v>
      </c>
      <c r="K34" s="11">
        <f t="shared" ref="K34:K65" si="7">IFERROR(J34/J35-1,"")</f>
        <v>2.4000000000001798E-3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11"/>
      <c r="H35" s="10"/>
      <c r="I35" s="10">
        <f t="shared" ref="I35:I66" si="8">IF(H35&lt;&gt;"",H35,I34/(1+IF(G34="",0,G34)))</f>
        <v>24643</v>
      </c>
      <c r="J35" s="10">
        <f t="shared" si="6"/>
        <v>9732906868.5256557</v>
      </c>
      <c r="K35" s="11">
        <f t="shared" si="7"/>
        <v>9.9000000000000199E-3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11"/>
      <c r="H36" s="10"/>
      <c r="I36" s="10">
        <f t="shared" si="8"/>
        <v>24643</v>
      </c>
      <c r="J36" s="10">
        <f t="shared" si="6"/>
        <v>9637495661.4770336</v>
      </c>
      <c r="K36" s="11">
        <f t="shared" si="7"/>
        <v>1.7200000000000104E-2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11"/>
      <c r="H37" s="10"/>
      <c r="I37" s="10">
        <f t="shared" si="8"/>
        <v>24643</v>
      </c>
      <c r="J37" s="10">
        <f t="shared" si="6"/>
        <v>9474533682.1441536</v>
      </c>
      <c r="K37" s="11">
        <f t="shared" si="7"/>
        <v>2.4799999999999933E-2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11"/>
      <c r="H38" s="10"/>
      <c r="I38" s="10">
        <f t="shared" si="8"/>
        <v>24643</v>
      </c>
      <c r="J38" s="10">
        <f t="shared" si="6"/>
        <v>9245251446.2764969</v>
      </c>
      <c r="K38" s="11">
        <f t="shared" si="7"/>
        <v>3.2600000000000184E-2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11"/>
      <c r="H39" s="10"/>
      <c r="I39" s="10">
        <f t="shared" si="8"/>
        <v>24643</v>
      </c>
      <c r="J39" s="10">
        <f t="shared" si="6"/>
        <v>8953371534.2596321</v>
      </c>
      <c r="K39" s="11">
        <f t="shared" si="7"/>
        <v>4.0799999999999725E-2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11"/>
      <c r="H40" s="10"/>
      <c r="I40" s="10">
        <f t="shared" si="8"/>
        <v>24643</v>
      </c>
      <c r="J40" s="10">
        <f t="shared" si="6"/>
        <v>8602393864.5845833</v>
      </c>
      <c r="K40" s="11">
        <f t="shared" si="7"/>
        <v>4.919999999999991E-2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11"/>
      <c r="H41" s="10"/>
      <c r="I41" s="10">
        <f t="shared" si="8"/>
        <v>24643</v>
      </c>
      <c r="J41" s="10">
        <f t="shared" si="6"/>
        <v>8199002920.8774147</v>
      </c>
      <c r="K41" s="11">
        <f t="shared" si="7"/>
        <v>5.7399999999999896E-2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11"/>
      <c r="H42" s="10"/>
      <c r="I42" s="10">
        <f t="shared" si="8"/>
        <v>24643</v>
      </c>
      <c r="J42" s="10">
        <f t="shared" si="6"/>
        <v>7753927483.3340416</v>
      </c>
      <c r="K42" s="11">
        <f t="shared" si="7"/>
        <v>6.5500000000000114E-2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11"/>
      <c r="H43" s="10"/>
      <c r="I43" s="10">
        <f t="shared" si="8"/>
        <v>24643</v>
      </c>
      <c r="J43" s="10">
        <f t="shared" si="6"/>
        <v>7277266525.8883533</v>
      </c>
      <c r="K43" s="11">
        <f t="shared" si="7"/>
        <v>7.2999999999999954E-2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11"/>
      <c r="H44" s="10"/>
      <c r="I44" s="10">
        <f t="shared" si="8"/>
        <v>24643</v>
      </c>
      <c r="J44" s="10">
        <f t="shared" si="6"/>
        <v>6782168244.0711594</v>
      </c>
      <c r="K44" s="11">
        <f t="shared" si="7"/>
        <v>7.8200000000000047E-2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11"/>
      <c r="H45" s="10"/>
      <c r="I45" s="10">
        <f t="shared" si="8"/>
        <v>24643</v>
      </c>
      <c r="J45" s="10">
        <f t="shared" si="6"/>
        <v>6290269193.1656084</v>
      </c>
      <c r="K45" s="11">
        <f t="shared" si="7"/>
        <v>8.0200000000000049E-2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11"/>
      <c r="H46" s="10"/>
      <c r="I46" s="10">
        <f t="shared" si="8"/>
        <v>24643</v>
      </c>
      <c r="J46" s="10">
        <f t="shared" si="6"/>
        <v>5823244948.3110609</v>
      </c>
      <c r="K46" s="11">
        <f t="shared" si="7"/>
        <v>7.6600000000000001E-2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11"/>
      <c r="H47" s="10"/>
      <c r="I47" s="10">
        <f t="shared" si="8"/>
        <v>24643</v>
      </c>
      <c r="J47" s="10">
        <f t="shared" si="6"/>
        <v>5408921557.0416689</v>
      </c>
      <c r="K47" s="11">
        <f t="shared" si="7"/>
        <v>6.590000000000007E-2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11"/>
      <c r="H48" s="10"/>
      <c r="I48" s="10">
        <f t="shared" si="8"/>
        <v>24643</v>
      </c>
      <c r="J48" s="10">
        <f t="shared" si="6"/>
        <v>5074511264.6980658</v>
      </c>
      <c r="K48" s="11">
        <f t="shared" si="7"/>
        <v>5.5600000000000094E-2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11"/>
      <c r="H49" s="10"/>
      <c r="I49" s="10">
        <f t="shared" si="8"/>
        <v>24643</v>
      </c>
      <c r="J49" s="10">
        <f t="shared" si="6"/>
        <v>4807229314.7954388</v>
      </c>
      <c r="K49" s="11">
        <f t="shared" si="7"/>
        <v>5.04E-2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11"/>
      <c r="H50" s="10"/>
      <c r="I50" s="10">
        <f t="shared" si="8"/>
        <v>24643</v>
      </c>
      <c r="J50" s="10">
        <f t="shared" si="6"/>
        <v>4576570177.8326721</v>
      </c>
      <c r="K50" s="11">
        <f t="shared" si="7"/>
        <v>5.4200000000000026E-2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11"/>
      <c r="H51" s="10"/>
      <c r="I51" s="10">
        <f t="shared" si="8"/>
        <v>24643</v>
      </c>
      <c r="J51" s="10">
        <f t="shared" si="6"/>
        <v>4341273171.9148855</v>
      </c>
      <c r="K51" s="11">
        <f t="shared" si="7"/>
        <v>6.6899999999999959E-2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11"/>
      <c r="H52" s="10"/>
      <c r="I52" s="10">
        <f t="shared" si="8"/>
        <v>24643</v>
      </c>
      <c r="J52" s="10">
        <f t="shared" si="6"/>
        <v>4069053493.2185636</v>
      </c>
      <c r="K52" s="11">
        <f t="shared" si="7"/>
        <v>7.2999999999999954E-2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11"/>
      <c r="H53" s="10"/>
      <c r="I53" s="10">
        <f t="shared" si="8"/>
        <v>24643</v>
      </c>
      <c r="J53" s="10">
        <f t="shared" si="6"/>
        <v>3792221335.711616</v>
      </c>
      <c r="K53" s="11">
        <f t="shared" si="7"/>
        <v>5.6799999999999962E-2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11"/>
      <c r="H54" s="10"/>
      <c r="I54" s="10">
        <f t="shared" si="8"/>
        <v>24643</v>
      </c>
      <c r="J54" s="10">
        <f t="shared" si="6"/>
        <v>3588400204.1177292</v>
      </c>
      <c r="K54" s="11">
        <f t="shared" si="7"/>
        <v>3.7900000000000045E-2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11"/>
      <c r="H55" s="10"/>
      <c r="I55" s="10">
        <f t="shared" si="8"/>
        <v>24643</v>
      </c>
      <c r="J55" s="10">
        <f t="shared" si="6"/>
        <v>3457366031.5230069</v>
      </c>
      <c r="K55" s="11">
        <f t="shared" si="7"/>
        <v>2.6699999999999724E-2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11"/>
      <c r="H56" s="10"/>
      <c r="I56" s="10">
        <f t="shared" si="8"/>
        <v>24643</v>
      </c>
      <c r="J56" s="10">
        <f t="shared" si="6"/>
        <v>3367454983.4645052</v>
      </c>
      <c r="K56" s="11">
        <f t="shared" si="7"/>
        <v>2.1700000000000275E-2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11"/>
      <c r="H57" s="10"/>
      <c r="I57" s="10">
        <f t="shared" si="8"/>
        <v>24643</v>
      </c>
      <c r="J57" s="10">
        <f t="shared" si="6"/>
        <v>3295933232.3230934</v>
      </c>
      <c r="K57" s="11">
        <f t="shared" si="7"/>
        <v>1.8100000000000005E-2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11"/>
      <c r="H58" s="10"/>
      <c r="I58" s="10">
        <f t="shared" si="8"/>
        <v>24643</v>
      </c>
      <c r="J58" s="10">
        <f t="shared" si="6"/>
        <v>3237337424.9318271</v>
      </c>
      <c r="K58" s="11">
        <f t="shared" si="7"/>
        <v>1.5900000000000025E-2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11"/>
      <c r="H59" s="10"/>
      <c r="I59" s="10">
        <f t="shared" si="8"/>
        <v>24643</v>
      </c>
      <c r="J59" s="10">
        <f t="shared" si="6"/>
        <v>3186669381.7618141</v>
      </c>
      <c r="K59" s="11">
        <f t="shared" si="7"/>
        <v>1.6000000000000014E-2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11"/>
      <c r="H60" s="10"/>
      <c r="I60" s="10">
        <f t="shared" si="8"/>
        <v>24643</v>
      </c>
      <c r="J60" s="10">
        <f t="shared" si="6"/>
        <v>3136485611.9702897</v>
      </c>
      <c r="K60" s="11">
        <f t="shared" si="7"/>
        <v>1.7099999999999893E-2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11"/>
      <c r="H61" s="10"/>
      <c r="I61" s="10">
        <f t="shared" si="8"/>
        <v>24643</v>
      </c>
      <c r="J61" s="10">
        <f t="shared" si="6"/>
        <v>3083753428.3455806</v>
      </c>
      <c r="K61" s="11">
        <f t="shared" si="7"/>
        <v>1.7800000000000038E-2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11"/>
      <c r="H62" s="10"/>
      <c r="I62" s="10">
        <f t="shared" si="8"/>
        <v>24643</v>
      </c>
      <c r="J62" s="10">
        <f t="shared" si="6"/>
        <v>3029822586.3092756</v>
      </c>
      <c r="K62" s="11">
        <f t="shared" si="7"/>
        <v>1.6100000000000003E-2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11"/>
      <c r="H63" s="10"/>
      <c r="I63" s="10">
        <f t="shared" si="8"/>
        <v>24643</v>
      </c>
      <c r="J63" s="10">
        <f t="shared" si="6"/>
        <v>2981815359.0289102</v>
      </c>
      <c r="K63" s="11">
        <f t="shared" si="7"/>
        <v>1.6299999999999981E-2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11"/>
      <c r="H64" s="10"/>
      <c r="I64" s="10">
        <f t="shared" si="8"/>
        <v>24643</v>
      </c>
      <c r="J64" s="10">
        <f t="shared" si="6"/>
        <v>2933991300.8254552</v>
      </c>
      <c r="K64" s="11">
        <f t="shared" si="7"/>
        <v>1.6999999999999904E-2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11"/>
      <c r="H65" s="10"/>
      <c r="I65" s="10">
        <f t="shared" si="8"/>
        <v>24643</v>
      </c>
      <c r="J65" s="10">
        <f t="shared" si="6"/>
        <v>2884947198.4517756</v>
      </c>
      <c r="K65" s="11">
        <f t="shared" si="7"/>
        <v>1.8399999999999972E-2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6">
        <f>SUM(F2)</f>
        <v>345037</v>
      </c>
      <c r="G66" s="11"/>
      <c r="H66" s="10"/>
      <c r="I66" s="10">
        <f t="shared" si="8"/>
        <v>24643</v>
      </c>
      <c r="J66" s="10">
        <f t="shared" ref="J66:J97" si="9">IF(I66="","",I66*C66)</f>
        <v>2832823250.6399994</v>
      </c>
      <c r="K66" s="11">
        <f t="shared" ref="K66:K97" si="10">IFERROR(J66/J67-1,"")</f>
        <v>1.9099999999999673E-2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11"/>
      <c r="H67" s="10"/>
      <c r="I67" s="10">
        <f t="shared" ref="I67:I98" si="11">IF(H67&lt;&gt;"",H67,I66/(1+IF(G66="",0,G66)))</f>
        <v>24643</v>
      </c>
      <c r="J67" s="10">
        <f t="shared" si="9"/>
        <v>2779730400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5">
        <v>54705622</v>
      </c>
      <c r="G2" s="11"/>
      <c r="H2" s="10"/>
      <c r="I2" s="10">
        <f>IF(H2&lt;&gt;"",H2,6429)</f>
        <v>6429</v>
      </c>
      <c r="J2" s="10">
        <f t="shared" ref="J2:J33" si="3">IF(I2="","",I2*C2)</f>
        <v>351701136019.30377</v>
      </c>
      <c r="K2" s="11">
        <f t="shared" ref="K2:K33" si="4">IFERROR(J2/J3-1,"")</f>
        <v>2.000000000000024E-2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11"/>
      <c r="H3" s="10"/>
      <c r="I3" s="10">
        <f t="shared" ref="I3:I34" si="5">IF(H3&lt;&gt;"",H3,I2/(1+IF(G2="",0,G2)))</f>
        <v>6429</v>
      </c>
      <c r="J3" s="10">
        <f t="shared" si="3"/>
        <v>344805035313.04285</v>
      </c>
      <c r="K3" s="11">
        <f t="shared" si="4"/>
        <v>1.8499999999999961E-2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11"/>
      <c r="H4" s="10"/>
      <c r="I4" s="10">
        <f t="shared" si="5"/>
        <v>6429</v>
      </c>
      <c r="J4" s="10">
        <f t="shared" si="3"/>
        <v>338542008162.04504</v>
      </c>
      <c r="K4" s="11">
        <f t="shared" si="4"/>
        <v>1.9200000000000106E-2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11"/>
      <c r="H5" s="10"/>
      <c r="I5" s="10">
        <f t="shared" si="5"/>
        <v>6429</v>
      </c>
      <c r="J5" s="10">
        <f t="shared" si="3"/>
        <v>332164450708.44293</v>
      </c>
      <c r="K5" s="11">
        <f t="shared" si="4"/>
        <v>1.9099999999999895E-2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11"/>
      <c r="H6" s="10"/>
      <c r="I6" s="10">
        <f t="shared" si="5"/>
        <v>6429</v>
      </c>
      <c r="J6" s="10">
        <f t="shared" si="3"/>
        <v>325939015512.16071</v>
      </c>
      <c r="K6" s="11">
        <f t="shared" si="4"/>
        <v>1.9400000000000084E-2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11"/>
      <c r="H7" s="10"/>
      <c r="I7" s="10">
        <f t="shared" si="5"/>
        <v>6429</v>
      </c>
      <c r="J7" s="10">
        <f t="shared" si="3"/>
        <v>319736134502.80621</v>
      </c>
      <c r="K7" s="11">
        <f t="shared" si="4"/>
        <v>1.9199999999999884E-2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11"/>
      <c r="H8" s="10"/>
      <c r="I8" s="10">
        <f t="shared" si="5"/>
        <v>6429</v>
      </c>
      <c r="J8" s="10">
        <f t="shared" si="3"/>
        <v>313712847824.5744</v>
      </c>
      <c r="K8" s="11">
        <f t="shared" si="4"/>
        <v>2.1200000000000108E-2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11"/>
      <c r="H9" s="10"/>
      <c r="I9" s="10">
        <f t="shared" si="5"/>
        <v>6429</v>
      </c>
      <c r="J9" s="10">
        <f t="shared" si="3"/>
        <v>307200203510.159</v>
      </c>
      <c r="K9" s="11">
        <f t="shared" si="4"/>
        <v>2.0800000000000152E-2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11"/>
      <c r="H10" s="10"/>
      <c r="I10" s="10">
        <f t="shared" si="5"/>
        <v>6429</v>
      </c>
      <c r="J10" s="10">
        <f t="shared" si="3"/>
        <v>300940638234.8736</v>
      </c>
      <c r="K10" s="11">
        <f t="shared" si="4"/>
        <v>2.0399999999999752E-2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11"/>
      <c r="H11" s="10"/>
      <c r="I11" s="10">
        <f t="shared" si="5"/>
        <v>6429</v>
      </c>
      <c r="J11" s="10">
        <f t="shared" si="3"/>
        <v>294924184863.65509</v>
      </c>
      <c r="K11" s="11">
        <f t="shared" si="4"/>
        <v>2.0100000000000229E-2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11"/>
      <c r="H12" s="10"/>
      <c r="I12" s="10">
        <f t="shared" si="5"/>
        <v>6429</v>
      </c>
      <c r="J12" s="10">
        <f t="shared" si="3"/>
        <v>289113013296.39746</v>
      </c>
      <c r="K12" s="11">
        <f t="shared" si="4"/>
        <v>2.0299999999999985E-2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11"/>
      <c r="H13" s="10"/>
      <c r="I13" s="10">
        <f t="shared" si="5"/>
        <v>6429</v>
      </c>
      <c r="J13" s="10">
        <f t="shared" si="3"/>
        <v>283360789274.13257</v>
      </c>
      <c r="K13" s="11">
        <f t="shared" si="4"/>
        <v>1.9999999999999796E-2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11"/>
      <c r="H14" s="10"/>
      <c r="I14" s="10">
        <f t="shared" si="5"/>
        <v>6429</v>
      </c>
      <c r="J14" s="10">
        <f t="shared" si="3"/>
        <v>277804695366.79669</v>
      </c>
      <c r="K14" s="11">
        <f t="shared" si="4"/>
        <v>1.9099999999999895E-2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11"/>
      <c r="H15" s="10"/>
      <c r="I15" s="10">
        <f t="shared" si="5"/>
        <v>6429</v>
      </c>
      <c r="J15" s="10">
        <f t="shared" si="3"/>
        <v>272598072188.0058</v>
      </c>
      <c r="K15" s="11">
        <f t="shared" si="4"/>
        <v>1.7899999999999805E-2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11"/>
      <c r="H16" s="10"/>
      <c r="I16" s="10">
        <f t="shared" si="5"/>
        <v>6429</v>
      </c>
      <c r="J16" s="10">
        <f t="shared" si="3"/>
        <v>267804373895.2803</v>
      </c>
      <c r="K16" s="11">
        <f t="shared" si="4"/>
        <v>1.7099999999999893E-2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11"/>
      <c r="H17" s="10"/>
      <c r="I17" s="10">
        <f t="shared" si="5"/>
        <v>6429</v>
      </c>
      <c r="J17" s="10">
        <f t="shared" si="3"/>
        <v>263301911213.52896</v>
      </c>
      <c r="K17" s="11">
        <f t="shared" si="4"/>
        <v>1.6299999999999981E-2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11"/>
      <c r="H18" s="10"/>
      <c r="I18" s="10">
        <f t="shared" si="5"/>
        <v>6429</v>
      </c>
      <c r="J18" s="10">
        <f t="shared" si="3"/>
        <v>259078924740.2627</v>
      </c>
      <c r="K18" s="11">
        <f t="shared" si="4"/>
        <v>1.5800000000000036E-2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11"/>
      <c r="H19" s="10"/>
      <c r="I19" s="10">
        <f t="shared" si="5"/>
        <v>6429</v>
      </c>
      <c r="J19" s="10">
        <f t="shared" si="3"/>
        <v>255049148198.72284</v>
      </c>
      <c r="K19" s="11">
        <f t="shared" si="4"/>
        <v>1.5500000000000069E-2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11"/>
      <c r="H20" s="10"/>
      <c r="I20" s="10">
        <f t="shared" si="5"/>
        <v>6429</v>
      </c>
      <c r="J20" s="10">
        <f t="shared" si="3"/>
        <v>251156226685.10373</v>
      </c>
      <c r="K20" s="11">
        <f t="shared" si="4"/>
        <v>1.5200000000000102E-2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11"/>
      <c r="H21" s="10"/>
      <c r="I21" s="10">
        <f t="shared" si="5"/>
        <v>6429</v>
      </c>
      <c r="J21" s="10">
        <f t="shared" si="3"/>
        <v>247395810367.51746</v>
      </c>
      <c r="K21" s="11">
        <f t="shared" si="4"/>
        <v>1.4899999999999913E-2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11"/>
      <c r="H22" s="10"/>
      <c r="I22" s="10">
        <f t="shared" si="5"/>
        <v>6429</v>
      </c>
      <c r="J22" s="10">
        <f t="shared" si="3"/>
        <v>243763730778.91168</v>
      </c>
      <c r="K22" s="11">
        <f t="shared" si="4"/>
        <v>1.5500000000000069E-2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11"/>
      <c r="H23" s="10"/>
      <c r="I23" s="10">
        <f t="shared" si="5"/>
        <v>6429</v>
      </c>
      <c r="J23" s="10">
        <f t="shared" si="3"/>
        <v>240043063297.79581</v>
      </c>
      <c r="K23" s="11">
        <f t="shared" si="4"/>
        <v>1.7500000000000071E-2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11"/>
      <c r="H24" s="10"/>
      <c r="I24" s="10">
        <f t="shared" si="5"/>
        <v>6429</v>
      </c>
      <c r="J24" s="10">
        <f t="shared" si="3"/>
        <v>235914558523.6322</v>
      </c>
      <c r="K24" s="11">
        <f t="shared" si="4"/>
        <v>1.9200000000000106E-2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11"/>
      <c r="H25" s="10"/>
      <c r="I25" s="10">
        <f t="shared" si="5"/>
        <v>6429</v>
      </c>
      <c r="J25" s="10">
        <f t="shared" si="3"/>
        <v>231470328221.77411</v>
      </c>
      <c r="K25" s="11">
        <f t="shared" si="4"/>
        <v>2.0599999999999952E-2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11"/>
      <c r="H26" s="10"/>
      <c r="I26" s="10">
        <f t="shared" si="5"/>
        <v>6429</v>
      </c>
      <c r="J26" s="10">
        <f t="shared" si="3"/>
        <v>226798283580.0256</v>
      </c>
      <c r="K26" s="11">
        <f t="shared" si="4"/>
        <v>2.1500000000000075E-2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11"/>
      <c r="H27" s="10"/>
      <c r="I27" s="10">
        <f t="shared" si="5"/>
        <v>6429</v>
      </c>
      <c r="J27" s="10">
        <f t="shared" si="3"/>
        <v>222024751424.40097</v>
      </c>
      <c r="K27" s="11">
        <f t="shared" si="4"/>
        <v>2.2399999999999975E-2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11"/>
      <c r="H28" s="10"/>
      <c r="I28" s="10">
        <f t="shared" si="5"/>
        <v>6429</v>
      </c>
      <c r="J28" s="10">
        <f t="shared" si="3"/>
        <v>217160359374.41409</v>
      </c>
      <c r="K28" s="11">
        <f t="shared" si="4"/>
        <v>2.3800000000000043E-2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11"/>
      <c r="H29" s="10"/>
      <c r="I29" s="10">
        <f t="shared" si="5"/>
        <v>6429</v>
      </c>
      <c r="J29" s="10">
        <f t="shared" si="3"/>
        <v>212112091594.46582</v>
      </c>
      <c r="K29" s="11">
        <f t="shared" si="4"/>
        <v>2.5400000000000089E-2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11"/>
      <c r="H30" s="10"/>
      <c r="I30" s="10">
        <f t="shared" si="5"/>
        <v>6429</v>
      </c>
      <c r="J30" s="10">
        <f t="shared" si="3"/>
        <v>206857900911.3183</v>
      </c>
      <c r="K30" s="11">
        <f t="shared" si="4"/>
        <v>2.6999999999999913E-2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11"/>
      <c r="H31" s="10"/>
      <c r="I31" s="10">
        <f t="shared" si="5"/>
        <v>6429</v>
      </c>
      <c r="J31" s="10">
        <f t="shared" si="3"/>
        <v>201419572455.03244</v>
      </c>
      <c r="K31" s="11">
        <f t="shared" si="4"/>
        <v>2.8599999999999959E-2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11"/>
      <c r="H32" s="10"/>
      <c r="I32" s="10">
        <f t="shared" si="5"/>
        <v>6429</v>
      </c>
      <c r="J32" s="10">
        <f t="shared" si="3"/>
        <v>195819144910.5896</v>
      </c>
      <c r="K32" s="11">
        <f t="shared" si="4"/>
        <v>3.0200000000000005E-2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11"/>
      <c r="H33" s="10"/>
      <c r="I33" s="10">
        <f t="shared" si="5"/>
        <v>6429</v>
      </c>
      <c r="J33" s="10">
        <f t="shared" si="3"/>
        <v>190078766172.18948</v>
      </c>
      <c r="K33" s="11">
        <f t="shared" si="4"/>
        <v>3.1800000000000272E-2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11"/>
      <c r="H34" s="10"/>
      <c r="I34" s="10">
        <f t="shared" si="5"/>
        <v>6429</v>
      </c>
      <c r="J34" s="10">
        <f t="shared" ref="J34:J65" si="6">IF(I34="","",I34*C34)</f>
        <v>184220552599.52457</v>
      </c>
      <c r="K34" s="11">
        <f t="shared" ref="K34:K65" si="7">IFERROR(J34/J35-1,"")</f>
        <v>3.3400000000000096E-2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11"/>
      <c r="H35" s="10"/>
      <c r="I35" s="10">
        <f t="shared" ref="I35:I66" si="8">IF(H35&lt;&gt;"",H35,I34/(1+IF(G34="",0,G34)))</f>
        <v>6429</v>
      </c>
      <c r="J35" s="10">
        <f t="shared" si="6"/>
        <v>178266453067.08395</v>
      </c>
      <c r="K35" s="11">
        <f t="shared" si="7"/>
        <v>3.499999999999992E-2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11"/>
      <c r="H36" s="10"/>
      <c r="I36" s="10">
        <f t="shared" si="8"/>
        <v>6429</v>
      </c>
      <c r="J36" s="10">
        <f t="shared" si="6"/>
        <v>172238118905.39514</v>
      </c>
      <c r="K36" s="11">
        <f t="shared" si="7"/>
        <v>3.6599999999999966E-2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11"/>
      <c r="H37" s="10"/>
      <c r="I37" s="10">
        <f t="shared" si="8"/>
        <v>6429</v>
      </c>
      <c r="J37" s="10">
        <f t="shared" si="6"/>
        <v>166156780730.65323</v>
      </c>
      <c r="K37" s="11">
        <f t="shared" si="7"/>
        <v>3.8200000000000012E-2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11"/>
      <c r="H38" s="10"/>
      <c r="I38" s="10">
        <f t="shared" si="8"/>
        <v>6429</v>
      </c>
      <c r="J38" s="10">
        <f t="shared" si="6"/>
        <v>160043133048.21155</v>
      </c>
      <c r="K38" s="11">
        <f t="shared" si="7"/>
        <v>3.9099999999999913E-2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11"/>
      <c r="H39" s="10"/>
      <c r="I39" s="10">
        <f t="shared" si="8"/>
        <v>6429</v>
      </c>
      <c r="J39" s="10">
        <f t="shared" si="6"/>
        <v>154020915261.4874</v>
      </c>
      <c r="K39" s="11">
        <f t="shared" si="7"/>
        <v>3.9099999999999913E-2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11"/>
      <c r="H40" s="10"/>
      <c r="I40" s="10">
        <f t="shared" si="8"/>
        <v>6429</v>
      </c>
      <c r="J40" s="10">
        <f t="shared" si="6"/>
        <v>148225305804.53027</v>
      </c>
      <c r="K40" s="11">
        <f t="shared" si="7"/>
        <v>3.8299999999999779E-2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11"/>
      <c r="H41" s="10"/>
      <c r="I41" s="10">
        <f t="shared" si="8"/>
        <v>6429</v>
      </c>
      <c r="J41" s="10">
        <f t="shared" si="6"/>
        <v>142757686414.84186</v>
      </c>
      <c r="K41" s="11">
        <f t="shared" si="7"/>
        <v>3.7100000000000133E-2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11"/>
      <c r="H42" s="10"/>
      <c r="I42" s="10">
        <f t="shared" si="8"/>
        <v>6429</v>
      </c>
      <c r="J42" s="10">
        <f t="shared" si="6"/>
        <v>137650840241.86853</v>
      </c>
      <c r="K42" s="11">
        <f t="shared" si="7"/>
        <v>3.5400000000000098E-2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11"/>
      <c r="H43" s="10"/>
      <c r="I43" s="10">
        <f t="shared" si="8"/>
        <v>6429</v>
      </c>
      <c r="J43" s="10">
        <f t="shared" si="6"/>
        <v>132944601353.93907</v>
      </c>
      <c r="K43" s="11">
        <f t="shared" si="7"/>
        <v>3.3600000000000074E-2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11"/>
      <c r="H44" s="10"/>
      <c r="I44" s="10">
        <f t="shared" si="8"/>
        <v>6429</v>
      </c>
      <c r="J44" s="10">
        <f t="shared" si="6"/>
        <v>128622872826.95343</v>
      </c>
      <c r="K44" s="11">
        <f t="shared" si="7"/>
        <v>3.2100000000000017E-2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11"/>
      <c r="H45" s="10"/>
      <c r="I45" s="10">
        <f t="shared" si="8"/>
        <v>6429</v>
      </c>
      <c r="J45" s="10">
        <f t="shared" si="6"/>
        <v>124622490870.0256</v>
      </c>
      <c r="K45" s="11">
        <f t="shared" si="7"/>
        <v>3.0899999999999928E-2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11"/>
      <c r="H46" s="10"/>
      <c r="I46" s="10">
        <f t="shared" si="8"/>
        <v>6429</v>
      </c>
      <c r="J46" s="10">
        <f t="shared" si="6"/>
        <v>120887080095.08742</v>
      </c>
      <c r="K46" s="11">
        <f t="shared" si="7"/>
        <v>2.970000000000006E-2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11"/>
      <c r="H47" s="10"/>
      <c r="I47" s="10">
        <f t="shared" si="8"/>
        <v>6429</v>
      </c>
      <c r="J47" s="10">
        <f t="shared" si="6"/>
        <v>117400291439.33905</v>
      </c>
      <c r="K47" s="11">
        <f t="shared" si="7"/>
        <v>2.8699999999999948E-2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11"/>
      <c r="H48" s="10"/>
      <c r="I48" s="10">
        <f t="shared" si="8"/>
        <v>6429</v>
      </c>
      <c r="J48" s="10">
        <f t="shared" si="6"/>
        <v>114124906619.36333</v>
      </c>
      <c r="K48" s="11">
        <f t="shared" si="7"/>
        <v>2.7800000000000047E-2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11"/>
      <c r="H49" s="10"/>
      <c r="I49" s="10">
        <f t="shared" si="8"/>
        <v>6429</v>
      </c>
      <c r="J49" s="10">
        <f t="shared" si="6"/>
        <v>111038048861.02678</v>
      </c>
      <c r="K49" s="11">
        <f t="shared" si="7"/>
        <v>2.6899999999999924E-2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11"/>
      <c r="H50" s="10"/>
      <c r="I50" s="10">
        <f t="shared" si="8"/>
        <v>6429</v>
      </c>
      <c r="J50" s="10">
        <f t="shared" si="6"/>
        <v>108129368839.25093</v>
      </c>
      <c r="K50" s="11">
        <f t="shared" si="7"/>
        <v>2.6100000000000012E-2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11"/>
      <c r="H51" s="10"/>
      <c r="I51" s="10">
        <f t="shared" si="8"/>
        <v>6429</v>
      </c>
      <c r="J51" s="10">
        <f t="shared" si="6"/>
        <v>105378977525.82684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11"/>
      <c r="H52" s="10"/>
      <c r="I52" s="10">
        <f t="shared" si="8"/>
        <v>6429</v>
      </c>
      <c r="J52" s="10">
        <f t="shared" si="6"/>
        <v>102798729417.44888</v>
      </c>
      <c r="K52" s="11">
        <f t="shared" si="7"/>
        <v>2.3900000000000032E-2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11"/>
      <c r="H53" s="10"/>
      <c r="I53" s="10">
        <f t="shared" si="8"/>
        <v>6429</v>
      </c>
      <c r="J53" s="10">
        <f t="shared" si="6"/>
        <v>100399188805.00917</v>
      </c>
      <c r="K53" s="11">
        <f t="shared" si="7"/>
        <v>2.2499999999999964E-2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11"/>
      <c r="H54" s="10"/>
      <c r="I54" s="10">
        <f t="shared" si="8"/>
        <v>6429</v>
      </c>
      <c r="J54" s="10">
        <f t="shared" si="6"/>
        <v>98189915701.720474</v>
      </c>
      <c r="K54" s="11">
        <f t="shared" si="7"/>
        <v>2.120000000000033E-2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11"/>
      <c r="H55" s="10"/>
      <c r="I55" s="10">
        <f t="shared" si="8"/>
        <v>6429</v>
      </c>
      <c r="J55" s="10">
        <f t="shared" si="6"/>
        <v>96151503820.721161</v>
      </c>
      <c r="K55" s="11">
        <f t="shared" si="7"/>
        <v>2.0000000000000018E-2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11"/>
      <c r="H56" s="10"/>
      <c r="I56" s="10">
        <f t="shared" si="8"/>
        <v>6429</v>
      </c>
      <c r="J56" s="10">
        <f t="shared" si="6"/>
        <v>94266180216.393295</v>
      </c>
      <c r="K56" s="11">
        <f t="shared" si="7"/>
        <v>1.8899999999999917E-2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11"/>
      <c r="H57" s="10"/>
      <c r="I57" s="10">
        <f t="shared" si="8"/>
        <v>6429</v>
      </c>
      <c r="J57" s="10">
        <f t="shared" si="6"/>
        <v>92517597621.349792</v>
      </c>
      <c r="K57" s="11">
        <f t="shared" si="7"/>
        <v>1.7999999999999794E-2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11"/>
      <c r="H58" s="10"/>
      <c r="I58" s="10">
        <f t="shared" si="8"/>
        <v>6429</v>
      </c>
      <c r="J58" s="10">
        <f t="shared" si="6"/>
        <v>90881726543.565628</v>
      </c>
      <c r="K58" s="11">
        <f t="shared" si="7"/>
        <v>1.7099999999999893E-2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11"/>
      <c r="H59" s="10"/>
      <c r="I59" s="10">
        <f t="shared" si="8"/>
        <v>6429</v>
      </c>
      <c r="J59" s="10">
        <f t="shared" si="6"/>
        <v>89353776957.590836</v>
      </c>
      <c r="K59" s="11">
        <f t="shared" si="7"/>
        <v>1.6100000000000003E-2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11"/>
      <c r="H60" s="10"/>
      <c r="I60" s="10">
        <f t="shared" si="8"/>
        <v>6429</v>
      </c>
      <c r="J60" s="10">
        <f t="shared" si="6"/>
        <v>87937975551.216248</v>
      </c>
      <c r="K60" s="11">
        <f t="shared" si="7"/>
        <v>1.4999999999999902E-2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11"/>
      <c r="H61" s="10"/>
      <c r="I61" s="10">
        <f t="shared" si="8"/>
        <v>6429</v>
      </c>
      <c r="J61" s="10">
        <f t="shared" si="6"/>
        <v>86638399557.848526</v>
      </c>
      <c r="K61" s="11">
        <f t="shared" si="7"/>
        <v>1.419999999999999E-2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11"/>
      <c r="H62" s="10"/>
      <c r="I62" s="10">
        <f t="shared" si="8"/>
        <v>6429</v>
      </c>
      <c r="J62" s="10">
        <f t="shared" si="6"/>
        <v>85425359453.6073</v>
      </c>
      <c r="K62" s="11">
        <f t="shared" si="7"/>
        <v>1.330000000000009E-2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11"/>
      <c r="H63" s="10"/>
      <c r="I63" s="10">
        <f t="shared" si="8"/>
        <v>6429</v>
      </c>
      <c r="J63" s="10">
        <f t="shared" si="6"/>
        <v>84304114727.7285</v>
      </c>
      <c r="K63" s="11">
        <f t="shared" si="7"/>
        <v>1.2499999999999956E-2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11"/>
      <c r="H64" s="10"/>
      <c r="I64" s="10">
        <f t="shared" si="8"/>
        <v>6429</v>
      </c>
      <c r="J64" s="10">
        <f t="shared" si="6"/>
        <v>83263323187.880005</v>
      </c>
      <c r="K64" s="11">
        <f t="shared" si="7"/>
        <v>1.1800000000000033E-2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11"/>
      <c r="H65" s="10"/>
      <c r="I65" s="10">
        <f t="shared" si="8"/>
        <v>6429</v>
      </c>
      <c r="J65" s="10">
        <f t="shared" si="6"/>
        <v>82292274350.543594</v>
      </c>
      <c r="K65" s="11">
        <f t="shared" si="7"/>
        <v>1.110000000000011E-2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6">
        <f>SUM(F2)</f>
        <v>54705622</v>
      </c>
      <c r="G66" s="11"/>
      <c r="H66" s="10"/>
      <c r="I66" s="10">
        <f t="shared" si="8"/>
        <v>6429</v>
      </c>
      <c r="J66" s="10">
        <f t="shared" ref="J66:J97" si="9">IF(I66="","",I66*C66)</f>
        <v>81388858026.449997</v>
      </c>
      <c r="K66" s="11">
        <f t="shared" ref="K66:K97" si="10">IFERROR(J66/J67-1,"")</f>
        <v>1.0499999999999954E-2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11"/>
      <c r="H67" s="10"/>
      <c r="I67" s="10">
        <f t="shared" ref="I67:I98" si="11">IF(H67&lt;&gt;"",H67,I66/(1+IF(G66="",0,G66)))</f>
        <v>6429</v>
      </c>
      <c r="J67" s="10">
        <f t="shared" si="9"/>
        <v>80543154900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5">
        <v>79558877</v>
      </c>
      <c r="G2" s="11"/>
      <c r="H2" s="10"/>
      <c r="I2" s="10">
        <f>IF(H2&lt;&gt;"",H2,12579)</f>
        <v>12579</v>
      </c>
      <c r="J2" s="10">
        <f t="shared" ref="J2:J33" si="3">IF(I2="","",I2*C2)</f>
        <v>1000768990712.5864</v>
      </c>
      <c r="K2" s="11">
        <f t="shared" ref="K2:K33" si="4">IFERROR(J2/J3-1,"")</f>
        <v>3.4000000000000696E-3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11"/>
      <c r="H3" s="10"/>
      <c r="I3" s="10">
        <f t="shared" ref="I3:I34" si="5">IF(H3&lt;&gt;"",H3,I2/(1+IF(G2="",0,G2)))</f>
        <v>12579</v>
      </c>
      <c r="J3" s="10">
        <f t="shared" si="3"/>
        <v>997377905832.755</v>
      </c>
      <c r="K3" s="11">
        <f t="shared" si="4"/>
        <v>3.8000000000002476E-3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11"/>
      <c r="H4" s="10"/>
      <c r="I4" s="10">
        <f t="shared" si="5"/>
        <v>12579</v>
      </c>
      <c r="J4" s="10">
        <f t="shared" si="3"/>
        <v>993602217406.60974</v>
      </c>
      <c r="K4" s="11">
        <f t="shared" si="4"/>
        <v>4.2999999999999705E-3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11"/>
      <c r="H5" s="10"/>
      <c r="I5" s="10">
        <f t="shared" si="5"/>
        <v>12579</v>
      </c>
      <c r="J5" s="10">
        <f t="shared" si="3"/>
        <v>989348020916.66809</v>
      </c>
      <c r="K5" s="11">
        <f t="shared" si="4"/>
        <v>4.8999999999999044E-3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11"/>
      <c r="H6" s="10"/>
      <c r="I6" s="10">
        <f t="shared" si="5"/>
        <v>12579</v>
      </c>
      <c r="J6" s="10">
        <f t="shared" si="3"/>
        <v>984523854031.91187</v>
      </c>
      <c r="K6" s="11">
        <f t="shared" si="4"/>
        <v>5.4000000000000714E-3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11"/>
      <c r="H7" s="10"/>
      <c r="I7" s="10">
        <f t="shared" si="5"/>
        <v>12579</v>
      </c>
      <c r="J7" s="10">
        <f t="shared" si="3"/>
        <v>979235979741.30872</v>
      </c>
      <c r="K7" s="11">
        <f t="shared" si="4"/>
        <v>6.0999999999999943E-3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11"/>
      <c r="H8" s="10"/>
      <c r="I8" s="10">
        <f t="shared" si="5"/>
        <v>12579</v>
      </c>
      <c r="J8" s="10">
        <f t="shared" si="3"/>
        <v>973298856715.34521</v>
      </c>
      <c r="K8" s="11">
        <f t="shared" si="4"/>
        <v>6.4999999999999503E-3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11"/>
      <c r="H9" s="10"/>
      <c r="I9" s="10">
        <f t="shared" si="5"/>
        <v>12579</v>
      </c>
      <c r="J9" s="10">
        <f t="shared" si="3"/>
        <v>967013270457.37231</v>
      </c>
      <c r="K9" s="11">
        <f t="shared" si="4"/>
        <v>6.8999999999999062E-3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11"/>
      <c r="H10" s="10"/>
      <c r="I10" s="10">
        <f t="shared" si="5"/>
        <v>12579</v>
      </c>
      <c r="J10" s="10">
        <f t="shared" si="3"/>
        <v>960386602897.38049</v>
      </c>
      <c r="K10" s="11">
        <f t="shared" si="4"/>
        <v>7.2000000000000952E-3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11"/>
      <c r="H11" s="10"/>
      <c r="I11" s="10">
        <f t="shared" si="5"/>
        <v>12579</v>
      </c>
      <c r="J11" s="10">
        <f t="shared" si="3"/>
        <v>953521249898.11401</v>
      </c>
      <c r="K11" s="11">
        <f t="shared" si="4"/>
        <v>7.5000000000000622E-3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11"/>
      <c r="H12" s="10"/>
      <c r="I12" s="10">
        <f t="shared" si="5"/>
        <v>12579</v>
      </c>
      <c r="J12" s="10">
        <f t="shared" si="3"/>
        <v>946423076821.94934</v>
      </c>
      <c r="K12" s="11">
        <f t="shared" si="4"/>
        <v>7.9000000000002402E-3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11"/>
      <c r="H13" s="10"/>
      <c r="I13" s="10">
        <f t="shared" si="5"/>
        <v>12579</v>
      </c>
      <c r="J13" s="10">
        <f t="shared" si="3"/>
        <v>939004937813.22473</v>
      </c>
      <c r="K13" s="11">
        <f t="shared" si="4"/>
        <v>8.1999999999999851E-3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11"/>
      <c r="H14" s="10"/>
      <c r="I14" s="10">
        <f t="shared" si="5"/>
        <v>12579</v>
      </c>
      <c r="J14" s="10">
        <f t="shared" si="3"/>
        <v>931367722488.81653</v>
      </c>
      <c r="K14" s="11">
        <f t="shared" si="4"/>
        <v>8.599999999999941E-3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11"/>
      <c r="H15" s="10"/>
      <c r="I15" s="10">
        <f t="shared" si="5"/>
        <v>12579</v>
      </c>
      <c r="J15" s="10">
        <f t="shared" si="3"/>
        <v>923426256681.35693</v>
      </c>
      <c r="K15" s="11">
        <f t="shared" si="4"/>
        <v>8.999999999999897E-3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11"/>
      <c r="H16" s="10"/>
      <c r="I16" s="10">
        <f t="shared" si="5"/>
        <v>12579</v>
      </c>
      <c r="J16" s="10">
        <f t="shared" si="3"/>
        <v>915189550724.8335</v>
      </c>
      <c r="K16" s="11">
        <f t="shared" si="4"/>
        <v>9.400000000000075E-3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11"/>
      <c r="H17" s="10"/>
      <c r="I17" s="10">
        <f t="shared" si="5"/>
        <v>12579</v>
      </c>
      <c r="J17" s="10">
        <f t="shared" si="3"/>
        <v>906666882033.71655</v>
      </c>
      <c r="K17" s="11">
        <f t="shared" si="4"/>
        <v>9.8000000000000309E-3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11"/>
      <c r="H18" s="10"/>
      <c r="I18" s="10">
        <f t="shared" si="5"/>
        <v>12579</v>
      </c>
      <c r="J18" s="10">
        <f t="shared" si="3"/>
        <v>897867777811.16699</v>
      </c>
      <c r="K18" s="11">
        <f t="shared" si="4"/>
        <v>1.0299999999999976E-2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11"/>
      <c r="H19" s="10"/>
      <c r="I19" s="10">
        <f t="shared" si="5"/>
        <v>12579</v>
      </c>
      <c r="J19" s="10">
        <f t="shared" si="3"/>
        <v>888714023370.45142</v>
      </c>
      <c r="K19" s="11">
        <f t="shared" si="4"/>
        <v>1.0799999999999921E-2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11"/>
      <c r="H20" s="10"/>
      <c r="I20" s="10">
        <f t="shared" si="5"/>
        <v>12579</v>
      </c>
      <c r="J20" s="10">
        <f t="shared" si="3"/>
        <v>879218463959.68689</v>
      </c>
      <c r="K20" s="11">
        <f t="shared" si="4"/>
        <v>1.1399999999999855E-2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11"/>
      <c r="H21" s="10"/>
      <c r="I21" s="10">
        <f t="shared" si="5"/>
        <v>12579</v>
      </c>
      <c r="J21" s="10">
        <f t="shared" si="3"/>
        <v>869308348783.55444</v>
      </c>
      <c r="K21" s="11">
        <f t="shared" si="4"/>
        <v>1.2100000000000222E-2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11"/>
      <c r="H22" s="10"/>
      <c r="I22" s="10">
        <f t="shared" si="5"/>
        <v>12579</v>
      </c>
      <c r="J22" s="10">
        <f t="shared" si="3"/>
        <v>858915471577.46692</v>
      </c>
      <c r="K22" s="11">
        <f t="shared" si="4"/>
        <v>1.2799999999999701E-2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11"/>
      <c r="H23" s="10"/>
      <c r="I23" s="10">
        <f t="shared" si="5"/>
        <v>12579</v>
      </c>
      <c r="J23" s="10">
        <f t="shared" si="3"/>
        <v>848060299740.78503</v>
      </c>
      <c r="K23" s="11">
        <f t="shared" si="4"/>
        <v>1.3599999999999834E-2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11"/>
      <c r="H24" s="10"/>
      <c r="I24" s="10">
        <f t="shared" si="5"/>
        <v>12579</v>
      </c>
      <c r="J24" s="10">
        <f t="shared" si="3"/>
        <v>836681432262.02161</v>
      </c>
      <c r="K24" s="11">
        <f t="shared" si="4"/>
        <v>1.4399999999999968E-2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11"/>
      <c r="H25" s="10"/>
      <c r="I25" s="10">
        <f t="shared" si="5"/>
        <v>12579</v>
      </c>
      <c r="J25" s="10">
        <f t="shared" si="3"/>
        <v>824804251046.94556</v>
      </c>
      <c r="K25" s="11">
        <f t="shared" si="4"/>
        <v>1.5300000000000091E-2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11"/>
      <c r="H26" s="10"/>
      <c r="I26" s="10">
        <f t="shared" si="5"/>
        <v>12579</v>
      </c>
      <c r="J26" s="10">
        <f t="shared" si="3"/>
        <v>812374914849.74438</v>
      </c>
      <c r="K26" s="11">
        <f t="shared" si="4"/>
        <v>1.639999999999997E-2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11"/>
      <c r="H27" s="10"/>
      <c r="I27" s="10">
        <f t="shared" si="5"/>
        <v>12579</v>
      </c>
      <c r="J27" s="10">
        <f t="shared" si="3"/>
        <v>799266937081.60608</v>
      </c>
      <c r="K27" s="11">
        <f t="shared" si="4"/>
        <v>1.760000000000006E-2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11"/>
      <c r="H28" s="10"/>
      <c r="I28" s="10">
        <f t="shared" si="5"/>
        <v>12579</v>
      </c>
      <c r="J28" s="10">
        <f t="shared" si="3"/>
        <v>785443137855.35181</v>
      </c>
      <c r="K28" s="11">
        <f t="shared" si="4"/>
        <v>1.8899999999999917E-2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11"/>
      <c r="H29" s="10"/>
      <c r="I29" s="10">
        <f t="shared" si="5"/>
        <v>12579</v>
      </c>
      <c r="J29" s="10">
        <f t="shared" si="3"/>
        <v>770873626317.94275</v>
      </c>
      <c r="K29" s="11">
        <f t="shared" si="4"/>
        <v>2.0399999999999974E-2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11"/>
      <c r="H30" s="10"/>
      <c r="I30" s="10">
        <f t="shared" si="5"/>
        <v>12579</v>
      </c>
      <c r="J30" s="10">
        <f t="shared" si="3"/>
        <v>755462197489.16382</v>
      </c>
      <c r="K30" s="11">
        <f t="shared" si="4"/>
        <v>2.200000000000002E-2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11"/>
      <c r="H31" s="10"/>
      <c r="I31" s="10">
        <f t="shared" si="5"/>
        <v>12579</v>
      </c>
      <c r="J31" s="10">
        <f t="shared" si="3"/>
        <v>739199801848.49683</v>
      </c>
      <c r="K31" s="11">
        <f t="shared" si="4"/>
        <v>2.3700000000000054E-2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11"/>
      <c r="H32" s="10"/>
      <c r="I32" s="10">
        <f t="shared" si="5"/>
        <v>12579</v>
      </c>
      <c r="J32" s="10">
        <f t="shared" si="3"/>
        <v>722086355229.55627</v>
      </c>
      <c r="K32" s="11">
        <f t="shared" si="4"/>
        <v>2.5400000000000089E-2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11"/>
      <c r="H33" s="10"/>
      <c r="I33" s="10">
        <f t="shared" si="5"/>
        <v>12579</v>
      </c>
      <c r="J33" s="10">
        <f t="shared" si="3"/>
        <v>704199683274.38684</v>
      </c>
      <c r="K33" s="11">
        <f t="shared" si="4"/>
        <v>2.6899999999999924E-2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11"/>
      <c r="H34" s="10"/>
      <c r="I34" s="10">
        <f t="shared" si="5"/>
        <v>12579</v>
      </c>
      <c r="J34" s="10">
        <f t="shared" ref="J34:J65" si="6">IF(I34="","",I34*C34)</f>
        <v>685752929471.60083</v>
      </c>
      <c r="K34" s="11">
        <f t="shared" ref="K34:K65" si="7">IFERROR(J34/J35-1,"")</f>
        <v>2.8100000000000014E-2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11"/>
      <c r="H35" s="10"/>
      <c r="I35" s="10">
        <f t="shared" ref="I35:I66" si="8">IF(H35&lt;&gt;"",H35,I34/(1+IF(G34="",0,G34)))</f>
        <v>12579</v>
      </c>
      <c r="J35" s="10">
        <f t="shared" si="6"/>
        <v>667009949879.97351</v>
      </c>
      <c r="K35" s="11">
        <f t="shared" si="7"/>
        <v>2.8899999999999704E-2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11"/>
      <c r="H36" s="10"/>
      <c r="I36" s="10">
        <f t="shared" si="8"/>
        <v>12579</v>
      </c>
      <c r="J36" s="10">
        <f t="shared" si="6"/>
        <v>648274807930.77429</v>
      </c>
      <c r="K36" s="11">
        <f t="shared" si="7"/>
        <v>2.9199999999999893E-2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11"/>
      <c r="H37" s="10"/>
      <c r="I37" s="10">
        <f t="shared" si="8"/>
        <v>12579</v>
      </c>
      <c r="J37" s="10">
        <f t="shared" si="6"/>
        <v>629882246337.71313</v>
      </c>
      <c r="K37" s="11">
        <f t="shared" si="7"/>
        <v>2.8999999999999915E-2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11"/>
      <c r="H38" s="10"/>
      <c r="I38" s="10">
        <f t="shared" si="8"/>
        <v>12579</v>
      </c>
      <c r="J38" s="10">
        <f t="shared" si="6"/>
        <v>612130462913.22949</v>
      </c>
      <c r="K38" s="11">
        <f t="shared" si="7"/>
        <v>2.8399999999999759E-2</v>
      </c>
      <c r="L38" t="inlineStr">
        <is>
          <t xml:space="preserve">Massiran Credit Crisis - oil-price collapse -&gt; inflation &amp; deadly food riots.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11"/>
      <c r="H39" s="10"/>
      <c r="I39" s="10">
        <f t="shared" si="8"/>
        <v>12579</v>
      </c>
      <c r="J39" s="10">
        <f t="shared" si="6"/>
        <v>595226043283.96497</v>
      </c>
      <c r="K39" s="11">
        <f t="shared" si="7"/>
        <v>2.7800000000000269E-2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11"/>
      <c r="H40" s="10"/>
      <c r="I40" s="10">
        <f t="shared" si="8"/>
        <v>12579</v>
      </c>
      <c r="J40" s="10">
        <f t="shared" si="6"/>
        <v>579126331274.53284</v>
      </c>
      <c r="K40" s="11">
        <f t="shared" si="7"/>
        <v>2.7400000000000091E-2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11"/>
      <c r="H41" s="10"/>
      <c r="I41" s="10">
        <f t="shared" si="8"/>
        <v>12579</v>
      </c>
      <c r="J41" s="10">
        <f t="shared" si="6"/>
        <v>563681459289.98718</v>
      </c>
      <c r="K41" s="11">
        <f t="shared" si="7"/>
        <v>2.7300000000000102E-2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11"/>
      <c r="H42" s="10"/>
      <c r="I42" s="10">
        <f t="shared" si="8"/>
        <v>12579</v>
      </c>
      <c r="J42" s="10">
        <f t="shared" si="6"/>
        <v>548701897488.54968</v>
      </c>
      <c r="K42" s="11">
        <f t="shared" si="7"/>
        <v>2.7600000000000069E-2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11"/>
      <c r="H43" s="10"/>
      <c r="I43" s="10">
        <f t="shared" si="8"/>
        <v>12579</v>
      </c>
      <c r="J43" s="10">
        <f t="shared" si="6"/>
        <v>533964477898.54968</v>
      </c>
      <c r="K43" s="11">
        <f t="shared" si="7"/>
        <v>2.8299999999999992E-2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11"/>
      <c r="H44" s="10"/>
      <c r="I44" s="10">
        <f t="shared" si="8"/>
        <v>12579</v>
      </c>
      <c r="J44" s="10">
        <f t="shared" si="6"/>
        <v>519269160652.0954</v>
      </c>
      <c r="K44" s="11">
        <f t="shared" si="7"/>
        <v>2.9199999999999893E-2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11"/>
      <c r="H45" s="10"/>
      <c r="I45" s="10">
        <f t="shared" si="8"/>
        <v>12579</v>
      </c>
      <c r="J45" s="10">
        <f t="shared" si="6"/>
        <v>504536689323.83929</v>
      </c>
      <c r="K45" s="11">
        <f t="shared" si="7"/>
        <v>3.0299999999999994E-2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11"/>
      <c r="H46" s="10"/>
      <c r="I46" s="10">
        <f t="shared" si="8"/>
        <v>12579</v>
      </c>
      <c r="J46" s="10">
        <f t="shared" si="6"/>
        <v>489698815222.59473</v>
      </c>
      <c r="K46" s="11">
        <f t="shared" si="7"/>
        <v>3.1300000000000106E-2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11"/>
      <c r="H47" s="10"/>
      <c r="I47" s="10">
        <f t="shared" si="8"/>
        <v>12579</v>
      </c>
      <c r="J47" s="10">
        <f t="shared" si="6"/>
        <v>474836434812.9494</v>
      </c>
      <c r="K47" s="11">
        <f t="shared" si="7"/>
        <v>3.2100000000000017E-2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11"/>
      <c r="H48" s="10"/>
      <c r="I48" s="10">
        <f t="shared" si="8"/>
        <v>12579</v>
      </c>
      <c r="J48" s="10">
        <f t="shared" si="6"/>
        <v>460068244174.93402</v>
      </c>
      <c r="K48" s="11">
        <f t="shared" si="7"/>
        <v>3.2399999999999984E-2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11"/>
      <c r="H49" s="10"/>
      <c r="I49" s="10">
        <f t="shared" si="8"/>
        <v>12579</v>
      </c>
      <c r="J49" s="10">
        <f t="shared" si="6"/>
        <v>445629837441.81909</v>
      </c>
      <c r="K49" s="11">
        <f t="shared" si="7"/>
        <v>3.2399999999999984E-2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11"/>
      <c r="H50" s="10"/>
      <c r="I50" s="10">
        <f t="shared" si="8"/>
        <v>12579</v>
      </c>
      <c r="J50" s="10">
        <f t="shared" si="6"/>
        <v>431644553895.60162</v>
      </c>
      <c r="K50" s="11">
        <f t="shared" si="7"/>
        <v>3.2100000000000017E-2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11"/>
      <c r="H51" s="10"/>
      <c r="I51" s="10">
        <f t="shared" si="8"/>
        <v>12579</v>
      </c>
      <c r="J51" s="10">
        <f t="shared" si="6"/>
        <v>418219701478.15289</v>
      </c>
      <c r="K51" s="11">
        <f t="shared" si="7"/>
        <v>3.1600000000000072E-2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11"/>
      <c r="H52" s="10"/>
      <c r="I52" s="10">
        <f t="shared" si="8"/>
        <v>12579</v>
      </c>
      <c r="J52" s="10">
        <f t="shared" si="6"/>
        <v>405408783906.70111</v>
      </c>
      <c r="K52" s="11">
        <f t="shared" si="7"/>
        <v>3.0999999999999917E-2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11"/>
      <c r="H53" s="10"/>
      <c r="I53" s="10">
        <f t="shared" si="8"/>
        <v>12579</v>
      </c>
      <c r="J53" s="10">
        <f t="shared" si="6"/>
        <v>393218995059.84595</v>
      </c>
      <c r="K53" s="11">
        <f t="shared" si="7"/>
        <v>3.0400000000000205E-2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11"/>
      <c r="H54" s="10"/>
      <c r="I54" s="10">
        <f t="shared" si="8"/>
        <v>12579</v>
      </c>
      <c r="J54" s="10">
        <f t="shared" si="6"/>
        <v>381617813528.57715</v>
      </c>
      <c r="K54" s="11">
        <f t="shared" si="7"/>
        <v>2.970000000000006E-2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11"/>
      <c r="H55" s="10"/>
      <c r="I55" s="10">
        <f t="shared" si="8"/>
        <v>12579</v>
      </c>
      <c r="J55" s="10">
        <f t="shared" si="6"/>
        <v>370610676438.35791</v>
      </c>
      <c r="K55" s="11">
        <f t="shared" si="7"/>
        <v>2.8999999999999915E-2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11"/>
      <c r="H56" s="10"/>
      <c r="I56" s="10">
        <f t="shared" si="8"/>
        <v>12579</v>
      </c>
      <c r="J56" s="10">
        <f t="shared" si="6"/>
        <v>360165866315.21667</v>
      </c>
      <c r="K56" s="11">
        <f t="shared" si="7"/>
        <v>2.8399999999999981E-2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11"/>
      <c r="H57" s="10"/>
      <c r="I57" s="10">
        <f t="shared" si="8"/>
        <v>12579</v>
      </c>
      <c r="J57" s="10">
        <f t="shared" si="6"/>
        <v>350219628855.71442</v>
      </c>
      <c r="K57" s="11">
        <f t="shared" si="7"/>
        <v>2.7700000000000058E-2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11"/>
      <c r="H58" s="10"/>
      <c r="I58" s="10">
        <f t="shared" si="8"/>
        <v>12579</v>
      </c>
      <c r="J58" s="10">
        <f t="shared" si="6"/>
        <v>340780022239.67542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11"/>
      <c r="H59" s="10"/>
      <c r="I59" s="10">
        <f t="shared" si="8"/>
        <v>12579</v>
      </c>
      <c r="J59" s="10">
        <f t="shared" si="6"/>
        <v>331788552467.7981</v>
      </c>
      <c r="K59" s="11">
        <f t="shared" si="7"/>
        <v>2.6399999999999979E-2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11"/>
      <c r="H60" s="10"/>
      <c r="I60" s="10">
        <f t="shared" si="8"/>
        <v>12579</v>
      </c>
      <c r="J60" s="10">
        <f t="shared" si="6"/>
        <v>323254630229.73315</v>
      </c>
      <c r="K60" s="11">
        <f t="shared" si="7"/>
        <v>2.5699999999999834E-2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11"/>
      <c r="H61" s="10"/>
      <c r="I61" s="10">
        <f t="shared" si="8"/>
        <v>12579</v>
      </c>
      <c r="J61" s="10">
        <f t="shared" si="6"/>
        <v>315155143053.26428</v>
      </c>
      <c r="K61" s="11">
        <f t="shared" si="7"/>
        <v>2.4999999999999911E-2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11"/>
      <c r="H62" s="10"/>
      <c r="I62" s="10">
        <f t="shared" si="8"/>
        <v>12579</v>
      </c>
      <c r="J62" s="10">
        <f t="shared" si="6"/>
        <v>307468432247.08716</v>
      </c>
      <c r="K62" s="11">
        <f t="shared" si="7"/>
        <v>2.4299999999999988E-2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11"/>
      <c r="H63" s="10"/>
      <c r="I63" s="10">
        <f t="shared" si="8"/>
        <v>12579</v>
      </c>
      <c r="J63" s="10">
        <f t="shared" si="6"/>
        <v>300174199206.37231</v>
      </c>
      <c r="K63" s="11">
        <f t="shared" si="7"/>
        <v>2.3700000000000054E-2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11"/>
      <c r="H64" s="10"/>
      <c r="I64" s="10">
        <f t="shared" si="8"/>
        <v>12579</v>
      </c>
      <c r="J64" s="10">
        <f t="shared" si="6"/>
        <v>293224772107.42627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11"/>
      <c r="H65" s="10"/>
      <c r="I65" s="10">
        <f t="shared" si="8"/>
        <v>12579</v>
      </c>
      <c r="J65" s="10">
        <f t="shared" si="6"/>
        <v>286548199069.11584</v>
      </c>
      <c r="K65" s="11">
        <f t="shared" si="7"/>
        <v>2.3200000000000109E-2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6">
        <f>SUM(F2)</f>
        <v>79558877</v>
      </c>
      <c r="G66" s="11"/>
      <c r="H66" s="10"/>
      <c r="I66" s="10">
        <f t="shared" si="8"/>
        <v>12579</v>
      </c>
      <c r="J66" s="10">
        <f t="shared" ref="J66:J97" si="9">IF(I66="","",I66*C66)</f>
        <v>280051015509.30005</v>
      </c>
      <c r="K66" s="11">
        <f t="shared" ref="K66:K97" si="10">IFERROR(J66/J67-1,"")</f>
        <v>2.3500000000000076E-2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11"/>
      <c r="H67" s="10"/>
      <c r="I67" s="10">
        <f t="shared" ref="I67:I98" si="11">IF(H67&lt;&gt;"",H67,I66/(1+IF(G66="",0,G66)))</f>
        <v>12579</v>
      </c>
      <c r="J67" s="10">
        <f t="shared" si="9"/>
        <v>273620923800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5">
        <v>2162677</v>
      </c>
      <c r="G2" s="11"/>
      <c r="H2" s="10"/>
      <c r="I2" s="10">
        <f>IF(H2&lt;&gt;"",H2,13214)</f>
        <v>13214</v>
      </c>
      <c r="J2" s="10">
        <f t="shared" ref="J2:J33" si="3">IF(I2="","",I2*C2)</f>
        <v>28576470651.033718</v>
      </c>
      <c r="K2" s="11">
        <f t="shared" ref="K2:K33" si="4">IFERROR(J2/J3-1,"")</f>
        <v>-1.419999999999999E-2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11"/>
      <c r="H3" s="10"/>
      <c r="I3" s="10">
        <f t="shared" ref="I3:I34" si="5">IF(H3&lt;&gt;"",H3,I2/(1+IF(G2="",0,G2)))</f>
        <v>13214</v>
      </c>
      <c r="J3" s="10">
        <f t="shared" si="3"/>
        <v>28988101695.104198</v>
      </c>
      <c r="K3" s="11">
        <f t="shared" si="4"/>
        <v>-1.3100000000000112E-2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11"/>
      <c r="H4" s="10"/>
      <c r="I4" s="10">
        <f t="shared" si="5"/>
        <v>13214</v>
      </c>
      <c r="J4" s="10">
        <f t="shared" si="3"/>
        <v>29372886508.363766</v>
      </c>
      <c r="K4" s="11">
        <f t="shared" si="4"/>
        <v>-1.3700000000000045E-2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11"/>
      <c r="H5" s="10"/>
      <c r="I5" s="10">
        <f t="shared" si="5"/>
        <v>13214</v>
      </c>
      <c r="J5" s="10">
        <f t="shared" si="3"/>
        <v>29780884627.764137</v>
      </c>
      <c r="K5" s="11">
        <f t="shared" si="4"/>
        <v>-1.4800000000000035E-2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11"/>
      <c r="H6" s="10"/>
      <c r="I6" s="10">
        <f t="shared" si="5"/>
        <v>13214</v>
      </c>
      <c r="J6" s="10">
        <f t="shared" si="3"/>
        <v>30228262918.964817</v>
      </c>
      <c r="K6" s="11">
        <f t="shared" si="4"/>
        <v>-1.4800000000000035E-2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11"/>
      <c r="H7" s="10"/>
      <c r="I7" s="10">
        <f t="shared" si="5"/>
        <v>13214</v>
      </c>
      <c r="J7" s="10">
        <f t="shared" si="3"/>
        <v>30682361874.710533</v>
      </c>
      <c r="K7" s="11">
        <f t="shared" si="4"/>
        <v>-1.1799999999999922E-2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11"/>
      <c r="H8" s="10"/>
      <c r="I8" s="10">
        <f t="shared" si="5"/>
        <v>13214</v>
      </c>
      <c r="J8" s="10">
        <f t="shared" si="3"/>
        <v>31048736970.967953</v>
      </c>
      <c r="K8" s="11">
        <f t="shared" si="4"/>
        <v>-4.4999999999999485E-3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11"/>
      <c r="H9" s="10"/>
      <c r="I9" s="10">
        <f t="shared" si="5"/>
        <v>13214</v>
      </c>
      <c r="J9" s="10">
        <f t="shared" si="3"/>
        <v>31189087866.3666</v>
      </c>
      <c r="K9" s="11">
        <f t="shared" si="4"/>
        <v>6.4999999999999503E-3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11"/>
      <c r="H10" s="10"/>
      <c r="I10" s="10">
        <f t="shared" si="5"/>
        <v>13214</v>
      </c>
      <c r="J10" s="10">
        <f t="shared" si="3"/>
        <v>30987668024.209244</v>
      </c>
      <c r="K10" s="11">
        <f t="shared" si="4"/>
        <v>1.8899999999999917E-2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11"/>
      <c r="H11" s="10"/>
      <c r="I11" s="10">
        <f t="shared" si="5"/>
        <v>13214</v>
      </c>
      <c r="J11" s="10">
        <f t="shared" si="3"/>
        <v>30412864878.014767</v>
      </c>
      <c r="K11" s="11">
        <f t="shared" si="4"/>
        <v>3.0399999999999983E-2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11"/>
      <c r="H12" s="10"/>
      <c r="I12" s="10">
        <f t="shared" si="5"/>
        <v>13214</v>
      </c>
      <c r="J12" s="10">
        <f t="shared" si="3"/>
        <v>29515590914.222408</v>
      </c>
      <c r="K12" s="11">
        <f t="shared" si="4"/>
        <v>3.9400000000000102E-2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11"/>
      <c r="H13" s="10"/>
      <c r="I13" s="10">
        <f t="shared" si="5"/>
        <v>13214</v>
      </c>
      <c r="J13" s="10">
        <f t="shared" si="3"/>
        <v>28396758624.420246</v>
      </c>
      <c r="K13" s="11">
        <f t="shared" si="4"/>
        <v>4.6200000000000019E-2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11"/>
      <c r="H14" s="10"/>
      <c r="I14" s="10">
        <f t="shared" si="5"/>
        <v>13214</v>
      </c>
      <c r="J14" s="10">
        <f t="shared" si="3"/>
        <v>27142762974.976341</v>
      </c>
      <c r="K14" s="11">
        <f t="shared" si="4"/>
        <v>4.9099999999999921E-2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11"/>
      <c r="H15" s="10"/>
      <c r="I15" s="10">
        <f t="shared" si="5"/>
        <v>13214</v>
      </c>
      <c r="J15" s="10">
        <f t="shared" si="3"/>
        <v>25872426818.202595</v>
      </c>
      <c r="K15" s="11">
        <f t="shared" si="4"/>
        <v>4.8599999999999977E-2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11"/>
      <c r="H16" s="10"/>
      <c r="I16" s="10">
        <f t="shared" si="5"/>
        <v>13214</v>
      </c>
      <c r="J16" s="10">
        <f t="shared" si="3"/>
        <v>24673304232.502953</v>
      </c>
      <c r="K16" s="11">
        <f t="shared" si="4"/>
        <v>4.4700000000000184E-2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11"/>
      <c r="H17" s="10"/>
      <c r="I17" s="10">
        <f t="shared" si="5"/>
        <v>13214</v>
      </c>
      <c r="J17" s="10">
        <f t="shared" si="3"/>
        <v>23617597618.936489</v>
      </c>
      <c r="K17" s="11">
        <f t="shared" si="4"/>
        <v>3.9199999999999902E-2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11"/>
      <c r="H18" s="10"/>
      <c r="I18" s="10">
        <f t="shared" si="5"/>
        <v>13214</v>
      </c>
      <c r="J18" s="10">
        <f t="shared" si="3"/>
        <v>22726710564.796471</v>
      </c>
      <c r="K18" s="11">
        <f t="shared" si="4"/>
        <v>3.5099999999999909E-2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11"/>
      <c r="H19" s="10"/>
      <c r="I19" s="10">
        <f t="shared" si="5"/>
        <v>13214</v>
      </c>
      <c r="J19" s="10">
        <f t="shared" si="3"/>
        <v>21956053100.953022</v>
      </c>
      <c r="K19" s="11">
        <f t="shared" si="4"/>
        <v>3.5400000000000098E-2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11"/>
      <c r="H20" s="10"/>
      <c r="I20" s="10">
        <f t="shared" si="5"/>
        <v>13214</v>
      </c>
      <c r="J20" s="10">
        <f t="shared" si="3"/>
        <v>21205382558.38615</v>
      </c>
      <c r="K20" s="11">
        <f t="shared" si="4"/>
        <v>3.8799999999999946E-2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11"/>
      <c r="H21" s="10"/>
      <c r="I21" s="10">
        <f t="shared" si="5"/>
        <v>13214</v>
      </c>
      <c r="J21" s="10">
        <f t="shared" si="3"/>
        <v>20413344780.887707</v>
      </c>
      <c r="K21" s="11">
        <f t="shared" si="4"/>
        <v>4.3100000000000138E-2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11"/>
      <c r="H22" s="10"/>
      <c r="I22" s="10">
        <f t="shared" si="5"/>
        <v>13214</v>
      </c>
      <c r="J22" s="10">
        <f t="shared" si="3"/>
        <v>19569882830.876911</v>
      </c>
      <c r="K22" s="11">
        <f t="shared" si="4"/>
        <v>4.6399999999999775E-2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11"/>
      <c r="H23" s="10"/>
      <c r="I23" s="10">
        <f t="shared" si="5"/>
        <v>13214</v>
      </c>
      <c r="J23" s="10">
        <f t="shared" si="3"/>
        <v>18702105151.831913</v>
      </c>
      <c r="K23" s="11">
        <f t="shared" si="4"/>
        <v>4.830000000000001E-2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11"/>
      <c r="H24" s="10"/>
      <c r="I24" s="10">
        <f t="shared" si="5"/>
        <v>13214</v>
      </c>
      <c r="J24" s="10">
        <f t="shared" si="3"/>
        <v>17840413194.535831</v>
      </c>
      <c r="K24" s="11">
        <f t="shared" si="4"/>
        <v>4.9099999999999921E-2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11"/>
      <c r="H25" s="10"/>
      <c r="I25" s="10">
        <f t="shared" si="5"/>
        <v>13214</v>
      </c>
      <c r="J25" s="10">
        <f t="shared" si="3"/>
        <v>17005445805.486448</v>
      </c>
      <c r="K25" s="11">
        <f t="shared" si="4"/>
        <v>4.9600000000000311E-2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11"/>
      <c r="H26" s="10"/>
      <c r="I26" s="10">
        <f t="shared" si="5"/>
        <v>13214</v>
      </c>
      <c r="J26" s="10">
        <f t="shared" si="3"/>
        <v>16201834799.434494</v>
      </c>
      <c r="K26" s="11">
        <f t="shared" si="4"/>
        <v>4.9799999999999844E-2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11"/>
      <c r="H27" s="10"/>
      <c r="I27" s="10">
        <f t="shared" si="5"/>
        <v>13214</v>
      </c>
      <c r="J27" s="10">
        <f t="shared" si="3"/>
        <v>15433258524.894737</v>
      </c>
      <c r="K27" s="11">
        <f t="shared" si="4"/>
        <v>5.0100000000000033E-2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11"/>
      <c r="H28" s="10"/>
      <c r="I28" s="10">
        <f t="shared" si="5"/>
        <v>13214</v>
      </c>
      <c r="J28" s="10">
        <f t="shared" si="3"/>
        <v>14696941743.543222</v>
      </c>
      <c r="K28" s="11">
        <f t="shared" si="4"/>
        <v>5.0300000000000011E-2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11"/>
      <c r="H29" s="10"/>
      <c r="I29" s="10">
        <f t="shared" si="5"/>
        <v>13214</v>
      </c>
      <c r="J29" s="10">
        <f t="shared" si="3"/>
        <v>13993089349.274704</v>
      </c>
      <c r="K29" s="11">
        <f t="shared" si="4"/>
        <v>5.0200000000000244E-2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11"/>
      <c r="H30" s="10"/>
      <c r="I30" s="10">
        <f t="shared" si="5"/>
        <v>13214</v>
      </c>
      <c r="J30" s="10">
        <f t="shared" si="3"/>
        <v>13324213815.725292</v>
      </c>
      <c r="K30" s="11">
        <f t="shared" si="4"/>
        <v>4.9600000000000088E-2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11"/>
      <c r="H31" s="10"/>
      <c r="I31" s="10">
        <f t="shared" si="5"/>
        <v>13214</v>
      </c>
      <c r="J31" s="10">
        <f t="shared" si="3"/>
        <v>12694563467.726078</v>
      </c>
      <c r="K31" s="11">
        <f t="shared" si="4"/>
        <v>4.8699999999999966E-2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11"/>
      <c r="H32" s="10"/>
      <c r="I32" s="10">
        <f t="shared" si="5"/>
        <v>13214</v>
      </c>
      <c r="J32" s="10">
        <f t="shared" si="3"/>
        <v>12105047647.302448</v>
      </c>
      <c r="K32" s="11">
        <f t="shared" si="4"/>
        <v>4.7599999999999865E-2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11"/>
      <c r="H33" s="10"/>
      <c r="I33" s="10">
        <f t="shared" si="5"/>
        <v>13214</v>
      </c>
      <c r="J33" s="10">
        <f t="shared" si="3"/>
        <v>11555028300.212341</v>
      </c>
      <c r="K33" s="11">
        <f t="shared" si="4"/>
        <v>4.6200000000000019E-2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11"/>
      <c r="H34" s="10"/>
      <c r="I34" s="10">
        <f t="shared" si="5"/>
        <v>13214</v>
      </c>
      <c r="J34" s="10">
        <f t="shared" ref="J34:J65" si="6">IF(I34="","",I34*C34)</f>
        <v>11044760371.068954</v>
      </c>
      <c r="K34" s="11">
        <f t="shared" ref="K34:K65" si="7">IFERROR(J34/J35-1,"")</f>
        <v>4.4399999999999995E-2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11"/>
      <c r="H35" s="10"/>
      <c r="I35" s="10">
        <f t="shared" ref="I35:I66" si="8">IF(H35&lt;&gt;"",H35,I34/(1+IF(G34="",0,G34)))</f>
        <v>13214</v>
      </c>
      <c r="J35" s="10">
        <f t="shared" si="6"/>
        <v>10575220577.431017</v>
      </c>
      <c r="K35" s="11">
        <f t="shared" si="7"/>
        <v>4.269999999999996E-2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11"/>
      <c r="H36" s="10"/>
      <c r="I36" s="10">
        <f t="shared" si="8"/>
        <v>13214</v>
      </c>
      <c r="J36" s="10">
        <f t="shared" si="6"/>
        <v>10142150740.798904</v>
      </c>
      <c r="K36" s="11">
        <f t="shared" si="7"/>
        <v>4.0100000000000025E-2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11"/>
      <c r="H37" s="10"/>
      <c r="I37" s="10">
        <f t="shared" si="8"/>
        <v>13214</v>
      </c>
      <c r="J37" s="10">
        <f t="shared" si="6"/>
        <v>9751130411.3055515</v>
      </c>
      <c r="K37" s="11">
        <f t="shared" si="7"/>
        <v>3.74000000000001E-2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11"/>
      <c r="H38" s="10"/>
      <c r="I38" s="10">
        <f t="shared" si="8"/>
        <v>13214</v>
      </c>
      <c r="J38" s="10">
        <f t="shared" si="6"/>
        <v>9399585898.6943817</v>
      </c>
      <c r="K38" s="11">
        <f t="shared" si="7"/>
        <v>3.4700000000000175E-2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11"/>
      <c r="H39" s="10"/>
      <c r="I39" s="10">
        <f t="shared" si="8"/>
        <v>13214</v>
      </c>
      <c r="J39" s="10">
        <f t="shared" si="6"/>
        <v>9084358653.4206829</v>
      </c>
      <c r="K39" s="11">
        <f t="shared" si="7"/>
        <v>3.2999999999999918E-2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11"/>
      <c r="H40" s="10"/>
      <c r="I40" s="10">
        <f t="shared" si="8"/>
        <v>13214</v>
      </c>
      <c r="J40" s="10">
        <f t="shared" si="6"/>
        <v>8794151649.0035667</v>
      </c>
      <c r="K40" s="11">
        <f t="shared" si="7"/>
        <v>3.2499999999999973E-2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11"/>
      <c r="H41" s="10"/>
      <c r="I41" s="10">
        <f t="shared" si="8"/>
        <v>13214</v>
      </c>
      <c r="J41" s="10">
        <f t="shared" si="6"/>
        <v>8517338158.8412266</v>
      </c>
      <c r="K41" s="11">
        <f t="shared" si="7"/>
        <v>3.3700000000000063E-2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11"/>
      <c r="H42" s="10"/>
      <c r="I42" s="10">
        <f t="shared" si="8"/>
        <v>13214</v>
      </c>
      <c r="J42" s="10">
        <f t="shared" si="6"/>
        <v>8239661564.130044</v>
      </c>
      <c r="K42" s="11">
        <f t="shared" si="7"/>
        <v>3.6299999999999999E-2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11"/>
      <c r="H43" s="10"/>
      <c r="I43" s="10">
        <f t="shared" si="8"/>
        <v>13214</v>
      </c>
      <c r="J43" s="10">
        <f t="shared" si="6"/>
        <v>7951038853.7393074</v>
      </c>
      <c r="K43" s="11">
        <f t="shared" si="7"/>
        <v>3.9899999999999824E-2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11"/>
      <c r="H44" s="10"/>
      <c r="I44" s="10">
        <f t="shared" si="8"/>
        <v>13214</v>
      </c>
      <c r="J44" s="10">
        <f t="shared" si="6"/>
        <v>7645964855.985487</v>
      </c>
      <c r="K44" s="11">
        <f t="shared" si="7"/>
        <v>4.4200000000000017E-2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11"/>
      <c r="H45" s="10"/>
      <c r="I45" s="10">
        <f t="shared" si="8"/>
        <v>13214</v>
      </c>
      <c r="J45" s="10">
        <f t="shared" si="6"/>
        <v>7322318383.4375467</v>
      </c>
      <c r="K45" s="11">
        <f t="shared" si="7"/>
        <v>4.8799999999999955E-2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11"/>
      <c r="H46" s="10"/>
      <c r="I46" s="10">
        <f t="shared" si="8"/>
        <v>13214</v>
      </c>
      <c r="J46" s="10">
        <f t="shared" si="6"/>
        <v>6981615544.8489199</v>
      </c>
      <c r="K46" s="11">
        <f t="shared" si="7"/>
        <v>5.3500000000000325E-2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11"/>
      <c r="H47" s="10"/>
      <c r="I47" s="10">
        <f t="shared" si="8"/>
        <v>13214</v>
      </c>
      <c r="J47" s="10">
        <f t="shared" si="6"/>
        <v>6627067436.9709711</v>
      </c>
      <c r="K47" s="11">
        <f t="shared" si="7"/>
        <v>5.8100000000000041E-2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11"/>
      <c r="H48" s="10"/>
      <c r="I48" s="10">
        <f t="shared" si="8"/>
        <v>13214</v>
      </c>
      <c r="J48" s="10">
        <f t="shared" si="6"/>
        <v>6263176861.3278246</v>
      </c>
      <c r="K48" s="11">
        <f t="shared" si="7"/>
        <v>6.2500000000000222E-2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11"/>
      <c r="H49" s="10"/>
      <c r="I49" s="10">
        <f t="shared" si="8"/>
        <v>13214</v>
      </c>
      <c r="J49" s="10">
        <f t="shared" si="6"/>
        <v>5894754693.0144224</v>
      </c>
      <c r="K49" s="11">
        <f t="shared" si="7"/>
        <v>6.6699999999999982E-2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11"/>
      <c r="H50" s="10"/>
      <c r="I50" s="10">
        <f t="shared" si="8"/>
        <v>13214</v>
      </c>
      <c r="J50" s="10">
        <f t="shared" si="6"/>
        <v>5526159832.2062645</v>
      </c>
      <c r="K50" s="11">
        <f t="shared" si="7"/>
        <v>7.099999999999973E-2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11"/>
      <c r="H51" s="10"/>
      <c r="I51" s="10">
        <f t="shared" si="8"/>
        <v>13214</v>
      </c>
      <c r="J51" s="10">
        <f t="shared" si="6"/>
        <v>5159813101.9666348</v>
      </c>
      <c r="K51" s="11">
        <f t="shared" si="7"/>
        <v>7.5399999999999912E-2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11"/>
      <c r="H52" s="10"/>
      <c r="I52" s="10">
        <f t="shared" si="8"/>
        <v>13214</v>
      </c>
      <c r="J52" s="10">
        <f t="shared" si="6"/>
        <v>4798040823.8484612</v>
      </c>
      <c r="K52" s="11">
        <f t="shared" si="7"/>
        <v>7.9599999999999893E-2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11"/>
      <c r="H53" s="10"/>
      <c r="I53" s="10">
        <f t="shared" si="8"/>
        <v>13214</v>
      </c>
      <c r="J53" s="10">
        <f t="shared" si="6"/>
        <v>4444276420.7562628</v>
      </c>
      <c r="K53" s="11">
        <f t="shared" si="7"/>
        <v>8.3599999999999897E-2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11"/>
      <c r="H54" s="10"/>
      <c r="I54" s="10">
        <f t="shared" si="8"/>
        <v>13214</v>
      </c>
      <c r="J54" s="10">
        <f t="shared" si="6"/>
        <v>4101399428.5310659</v>
      </c>
      <c r="K54" s="11">
        <f t="shared" si="7"/>
        <v>8.7199999999999944E-2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11"/>
      <c r="H55" s="10"/>
      <c r="I55" s="10">
        <f t="shared" si="8"/>
        <v>13214</v>
      </c>
      <c r="J55" s="10">
        <f t="shared" si="6"/>
        <v>3772442447.1404214</v>
      </c>
      <c r="K55" s="11">
        <f t="shared" si="7"/>
        <v>9.0200000000000058E-2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11"/>
      <c r="H56" s="10"/>
      <c r="I56" s="10">
        <f t="shared" si="8"/>
        <v>13214</v>
      </c>
      <c r="J56" s="10">
        <f t="shared" si="6"/>
        <v>3460321452.1559544</v>
      </c>
      <c r="K56" s="11">
        <f t="shared" si="7"/>
        <v>9.2700000000000005E-2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11"/>
      <c r="H57" s="10"/>
      <c r="I57" s="10">
        <f t="shared" si="8"/>
        <v>13214</v>
      </c>
      <c r="J57" s="10">
        <f t="shared" si="6"/>
        <v>3166762562.6026855</v>
      </c>
      <c r="K57" s="11">
        <f t="shared" si="7"/>
        <v>9.4400000000000039E-2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11"/>
      <c r="H58" s="10"/>
      <c r="I58" s="10">
        <f t="shared" si="8"/>
        <v>13214</v>
      </c>
      <c r="J58" s="10">
        <f t="shared" si="6"/>
        <v>2893606142.7290621</v>
      </c>
      <c r="K58" s="11">
        <f t="shared" si="7"/>
        <v>9.5499999999999918E-2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11"/>
      <c r="H59" s="10"/>
      <c r="I59" s="10">
        <f t="shared" si="8"/>
        <v>13214</v>
      </c>
      <c r="J59" s="10">
        <f t="shared" si="6"/>
        <v>2641356588.5249314</v>
      </c>
      <c r="K59" s="11">
        <f t="shared" si="7"/>
        <v>9.5599999999999907E-2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11"/>
      <c r="H60" s="10"/>
      <c r="I60" s="10">
        <f t="shared" si="8"/>
        <v>13214</v>
      </c>
      <c r="J60" s="10">
        <f t="shared" si="6"/>
        <v>2410876769.3728838</v>
      </c>
      <c r="K60" s="11">
        <f t="shared" si="7"/>
        <v>9.3900000000000095E-2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11"/>
      <c r="H61" s="10"/>
      <c r="I61" s="10">
        <f t="shared" si="8"/>
        <v>13214</v>
      </c>
      <c r="J61" s="10">
        <f t="shared" si="6"/>
        <v>2203927936.1668191</v>
      </c>
      <c r="K61" s="11">
        <f t="shared" si="7"/>
        <v>8.879999999999999E-2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11"/>
      <c r="H62" s="10"/>
      <c r="I62" s="10">
        <f t="shared" si="8"/>
        <v>13214</v>
      </c>
      <c r="J62" s="10">
        <f t="shared" si="6"/>
        <v>2024180690.8218398</v>
      </c>
      <c r="K62" s="11">
        <f t="shared" si="7"/>
        <v>8.0000000000000071E-2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11"/>
      <c r="H63" s="10"/>
      <c r="I63" s="10">
        <f t="shared" si="8"/>
        <v>13214</v>
      </c>
      <c r="J63" s="10">
        <f t="shared" si="6"/>
        <v>1874241380.3905923</v>
      </c>
      <c r="K63" s="11">
        <f t="shared" si="7"/>
        <v>7.0000000000000062E-2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11"/>
      <c r="H64" s="10"/>
      <c r="I64" s="10">
        <f t="shared" si="8"/>
        <v>13214</v>
      </c>
      <c r="J64" s="10">
        <f t="shared" si="6"/>
        <v>1751627458.3089647</v>
      </c>
      <c r="K64" s="11">
        <f t="shared" si="7"/>
        <v>6.1600000000000099E-2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11"/>
      <c r="H65" s="10"/>
      <c r="I65" s="10">
        <f t="shared" si="8"/>
        <v>13214</v>
      </c>
      <c r="J65" s="10">
        <f t="shared" si="6"/>
        <v>1649988186.048384</v>
      </c>
      <c r="K65" s="11">
        <f t="shared" si="7"/>
        <v>5.5600000000000094E-2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6">
        <f>SUM(F2)</f>
        <v>2162677</v>
      </c>
      <c r="G66" s="11"/>
      <c r="H66" s="10"/>
      <c r="I66" s="10">
        <f t="shared" si="8"/>
        <v>13214</v>
      </c>
      <c r="J66" s="10">
        <f t="shared" ref="J66:J97" si="9">IF(I66="","",I66*C66)</f>
        <v>1563080888.6399999</v>
      </c>
      <c r="K66" s="11">
        <f t="shared" ref="K66:K97" si="10">IFERROR(J66/J67-1,"")</f>
        <v>5.2400000000000002E-2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11"/>
      <c r="H67" s="10"/>
      <c r="I67" s="10">
        <f t="shared" ref="I67:I98" si="11">IF(H67&lt;&gt;"",H67,I66/(1+IF(G66="",0,G66)))</f>
        <v>13214</v>
      </c>
      <c r="J67" s="10">
        <f t="shared" si="9"/>
        <v>1485253600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5">
        <v>45062542</v>
      </c>
      <c r="G2" s="11"/>
      <c r="H2" s="10"/>
      <c r="I2" s="10">
        <f>IF(H2&lt;&gt;"",H2,234)</f>
        <v>234</v>
      </c>
      <c r="J2" s="10">
        <f t="shared" ref="J2:J33" si="3">IF(I2="","",I2*C2)</f>
        <v>10544615633.615541</v>
      </c>
      <c r="K2" s="11">
        <f t="shared" ref="K2:K33" si="4">IFERROR(J2/J3-1,"")</f>
        <v>3.5400000000000098E-2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11"/>
      <c r="H3" s="10"/>
      <c r="I3" s="10">
        <f t="shared" ref="I3:I34" si="5">IF(H3&lt;&gt;"",H3,I2/(1+IF(G2="",0,G2)))</f>
        <v>234</v>
      </c>
      <c r="J3" s="10">
        <f t="shared" si="3"/>
        <v>10184098545.118351</v>
      </c>
      <c r="K3" s="11">
        <f t="shared" si="4"/>
        <v>3.5099999999999909E-2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11"/>
      <c r="H4" s="10"/>
      <c r="I4" s="10">
        <f t="shared" si="5"/>
        <v>234</v>
      </c>
      <c r="J4" s="10">
        <f t="shared" si="3"/>
        <v>9838758134.594099</v>
      </c>
      <c r="K4" s="11">
        <f t="shared" si="4"/>
        <v>3.4699999999999953E-2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11"/>
      <c r="H5" s="10"/>
      <c r="I5" s="10">
        <f t="shared" si="5"/>
        <v>234</v>
      </c>
      <c r="J5" s="10">
        <f t="shared" si="3"/>
        <v>9508802681.5445061</v>
      </c>
      <c r="K5" s="11">
        <f t="shared" si="4"/>
        <v>3.4100000000000241E-2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11"/>
      <c r="H6" s="10"/>
      <c r="I6" s="10">
        <f t="shared" si="5"/>
        <v>234</v>
      </c>
      <c r="J6" s="10">
        <f t="shared" si="3"/>
        <v>9195244832.7478046</v>
      </c>
      <c r="K6" s="11">
        <f t="shared" si="4"/>
        <v>3.3399999999999874E-2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11"/>
      <c r="H7" s="10"/>
      <c r="I7" s="10">
        <f t="shared" si="5"/>
        <v>234</v>
      </c>
      <c r="J7" s="10">
        <f t="shared" si="3"/>
        <v>8898049963.9518147</v>
      </c>
      <c r="K7" s="11">
        <f t="shared" si="4"/>
        <v>3.2599999999999962E-2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11"/>
      <c r="H8" s="10"/>
      <c r="I8" s="10">
        <f t="shared" si="5"/>
        <v>234</v>
      </c>
      <c r="J8" s="10">
        <f t="shared" si="3"/>
        <v>8617131477.7763081</v>
      </c>
      <c r="K8" s="11">
        <f t="shared" si="4"/>
        <v>3.2100000000000239E-2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11"/>
      <c r="H9" s="10"/>
      <c r="I9" s="10">
        <f t="shared" si="5"/>
        <v>234</v>
      </c>
      <c r="J9" s="10">
        <f t="shared" si="3"/>
        <v>8349124578.7969255</v>
      </c>
      <c r="K9" s="11">
        <f t="shared" si="4"/>
        <v>3.1700000000000061E-2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11"/>
      <c r="H10" s="10"/>
      <c r="I10" s="10">
        <f t="shared" si="5"/>
        <v>234</v>
      </c>
      <c r="J10" s="10">
        <f t="shared" si="3"/>
        <v>8092589491.9035807</v>
      </c>
      <c r="K10" s="11">
        <f t="shared" si="4"/>
        <v>3.1600000000000072E-2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11"/>
      <c r="H11" s="10"/>
      <c r="I11" s="10">
        <f t="shared" si="5"/>
        <v>234</v>
      </c>
      <c r="J11" s="10">
        <f t="shared" si="3"/>
        <v>7844697064.6603146</v>
      </c>
      <c r="K11" s="11">
        <f t="shared" si="4"/>
        <v>3.1600000000000072E-2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11"/>
      <c r="H12" s="10"/>
      <c r="I12" s="10">
        <f t="shared" si="5"/>
        <v>234</v>
      </c>
      <c r="J12" s="10">
        <f t="shared" si="3"/>
        <v>7604398085.1689739</v>
      </c>
      <c r="K12" s="11">
        <f t="shared" si="4"/>
        <v>3.1700000000000061E-2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11"/>
      <c r="H13" s="10"/>
      <c r="I13" s="10">
        <f t="shared" si="5"/>
        <v>234</v>
      </c>
      <c r="J13" s="10">
        <f t="shared" si="3"/>
        <v>7370745454.2686577</v>
      </c>
      <c r="K13" s="11">
        <f t="shared" si="4"/>
        <v>3.1800000000000272E-2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11"/>
      <c r="H14" s="10"/>
      <c r="I14" s="10">
        <f t="shared" si="5"/>
        <v>234</v>
      </c>
      <c r="J14" s="10">
        <f t="shared" si="3"/>
        <v>7143579622.2801476</v>
      </c>
      <c r="K14" s="11">
        <f t="shared" si="4"/>
        <v>3.2100000000000017E-2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11"/>
      <c r="H15" s="10"/>
      <c r="I15" s="10">
        <f t="shared" si="5"/>
        <v>234</v>
      </c>
      <c r="J15" s="10">
        <f t="shared" si="3"/>
        <v>6921402598.856843</v>
      </c>
      <c r="K15" s="11">
        <f t="shared" si="4"/>
        <v>3.2399999999999984E-2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11"/>
      <c r="H16" s="10"/>
      <c r="I16" s="10">
        <f t="shared" si="5"/>
        <v>234</v>
      </c>
      <c r="J16" s="10">
        <f t="shared" si="3"/>
        <v>6704186941.9380503</v>
      </c>
      <c r="K16" s="11">
        <f t="shared" si="4"/>
        <v>3.2599999999999962E-2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11"/>
      <c r="H17" s="10"/>
      <c r="I17" s="10">
        <f t="shared" si="5"/>
        <v>234</v>
      </c>
      <c r="J17" s="10">
        <f t="shared" si="3"/>
        <v>6492530449.2911587</v>
      </c>
      <c r="K17" s="11">
        <f t="shared" si="4"/>
        <v>3.279999999999994E-2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11"/>
      <c r="H18" s="10"/>
      <c r="I18" s="10">
        <f t="shared" si="5"/>
        <v>234</v>
      </c>
      <c r="J18" s="10">
        <f t="shared" si="3"/>
        <v>6286338545.014677</v>
      </c>
      <c r="K18" s="11">
        <f t="shared" si="4"/>
        <v>3.2999999999999918E-2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11"/>
      <c r="H19" s="10"/>
      <c r="I19" s="10">
        <f t="shared" si="5"/>
        <v>234</v>
      </c>
      <c r="J19" s="10">
        <f t="shared" si="3"/>
        <v>6085516500.4982357</v>
      </c>
      <c r="K19" s="11">
        <f t="shared" si="4"/>
        <v>3.3199999999999896E-2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11"/>
      <c r="H20" s="10"/>
      <c r="I20" s="10">
        <f t="shared" si="5"/>
        <v>234</v>
      </c>
      <c r="J20" s="10">
        <f t="shared" si="3"/>
        <v>5889969512.6773481</v>
      </c>
      <c r="K20" s="11">
        <f t="shared" si="4"/>
        <v>3.3400000000000096E-2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11"/>
      <c r="H21" s="10"/>
      <c r="I21" s="10">
        <f t="shared" si="5"/>
        <v>234</v>
      </c>
      <c r="J21" s="10">
        <f t="shared" si="3"/>
        <v>5699602779.8309927</v>
      </c>
      <c r="K21" s="11">
        <f t="shared" si="4"/>
        <v>3.3500000000000085E-2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11"/>
      <c r="H22" s="10"/>
      <c r="I22" s="10">
        <f t="shared" si="5"/>
        <v>234</v>
      </c>
      <c r="J22" s="10">
        <f t="shared" si="3"/>
        <v>5514855132.879528</v>
      </c>
      <c r="K22" s="11">
        <f t="shared" si="4"/>
        <v>3.3499999999999863E-2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11"/>
      <c r="H23" s="10"/>
      <c r="I23" s="10">
        <f t="shared" si="5"/>
        <v>234</v>
      </c>
      <c r="J23" s="10">
        <f t="shared" si="3"/>
        <v>5336095919.5738058</v>
      </c>
      <c r="K23" s="11">
        <f t="shared" si="4"/>
        <v>3.3199999999999896E-2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11"/>
      <c r="H24" s="10"/>
      <c r="I24" s="10">
        <f t="shared" si="5"/>
        <v>234</v>
      </c>
      <c r="J24" s="10">
        <f t="shared" si="3"/>
        <v>5164630197.0323324</v>
      </c>
      <c r="K24" s="11">
        <f t="shared" si="4"/>
        <v>3.2599999999999962E-2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11"/>
      <c r="H25" s="10"/>
      <c r="I25" s="10">
        <f t="shared" si="5"/>
        <v>234</v>
      </c>
      <c r="J25" s="10">
        <f t="shared" si="3"/>
        <v>5001578730.42062</v>
      </c>
      <c r="K25" s="11">
        <f t="shared" si="4"/>
        <v>3.180000000000005E-2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11"/>
      <c r="H26" s="10"/>
      <c r="I26" s="10">
        <f t="shared" si="5"/>
        <v>234</v>
      </c>
      <c r="J26" s="10">
        <f t="shared" si="3"/>
        <v>4847430442.3537703</v>
      </c>
      <c r="K26" s="11">
        <f t="shared" si="4"/>
        <v>3.0799999999999939E-2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11"/>
      <c r="H27" s="10"/>
      <c r="I27" s="10">
        <f t="shared" si="5"/>
        <v>234</v>
      </c>
      <c r="J27" s="10">
        <f t="shared" si="3"/>
        <v>4702590650.3237972</v>
      </c>
      <c r="K27" s="11">
        <f t="shared" si="4"/>
        <v>2.9500000000000082E-2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11"/>
      <c r="H28" s="10"/>
      <c r="I28" s="10">
        <f t="shared" si="5"/>
        <v>234</v>
      </c>
      <c r="J28" s="10">
        <f t="shared" si="3"/>
        <v>4567839388.366971</v>
      </c>
      <c r="K28" s="11">
        <f t="shared" si="4"/>
        <v>2.8100000000000014E-2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11"/>
      <c r="H29" s="10"/>
      <c r="I29" s="10">
        <f t="shared" si="5"/>
        <v>234</v>
      </c>
      <c r="J29" s="10">
        <f t="shared" si="3"/>
        <v>4442991331.9394722</v>
      </c>
      <c r="K29" s="11">
        <f t="shared" si="4"/>
        <v>2.6700000000000168E-2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11"/>
      <c r="H30" s="10"/>
      <c r="I30" s="10">
        <f t="shared" si="5"/>
        <v>234</v>
      </c>
      <c r="J30" s="10">
        <f t="shared" si="3"/>
        <v>4327448458.1079884</v>
      </c>
      <c r="K30" s="11">
        <f t="shared" si="4"/>
        <v>2.5199999999999667E-2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11"/>
      <c r="H31" s="10"/>
      <c r="I31" s="10">
        <f t="shared" si="5"/>
        <v>234</v>
      </c>
      <c r="J31" s="10">
        <f t="shared" si="3"/>
        <v>4221077309.8985462</v>
      </c>
      <c r="K31" s="11">
        <f t="shared" si="4"/>
        <v>2.4000000000000021E-2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11"/>
      <c r="H32" s="10"/>
      <c r="I32" s="10">
        <f t="shared" si="5"/>
        <v>234</v>
      </c>
      <c r="J32" s="10">
        <f t="shared" si="3"/>
        <v>4122145810.4477992</v>
      </c>
      <c r="K32" s="11">
        <f t="shared" si="4"/>
        <v>2.3300000000000098E-2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11"/>
      <c r="H33" s="10"/>
      <c r="I33" s="10">
        <f t="shared" si="5"/>
        <v>234</v>
      </c>
      <c r="J33" s="10">
        <f t="shared" si="3"/>
        <v>4028286729.6470232</v>
      </c>
      <c r="K33" s="11">
        <f t="shared" si="4"/>
        <v>2.3500000000000076E-2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11"/>
      <c r="H34" s="10"/>
      <c r="I34" s="10">
        <f t="shared" si="5"/>
        <v>234</v>
      </c>
      <c r="J34" s="10">
        <f t="shared" ref="J34:J65" si="6">IF(I34="","",I34*C34)</f>
        <v>3935795534.5842919</v>
      </c>
      <c r="K34" s="11">
        <f t="shared" ref="K34:K65" si="7">IFERROR(J34/J35-1,"")</f>
        <v>2.4799999999999933E-2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11"/>
      <c r="H35" s="10"/>
      <c r="I35" s="10">
        <f t="shared" ref="I35:I66" si="8">IF(H35&lt;&gt;"",H35,I34/(1+IF(G34="",0,G34)))</f>
        <v>234</v>
      </c>
      <c r="J35" s="10">
        <f t="shared" si="6"/>
        <v>3840549897.1353359</v>
      </c>
      <c r="K35" s="11">
        <f t="shared" si="7"/>
        <v>2.6899999999999924E-2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11"/>
      <c r="H36" s="10"/>
      <c r="I36" s="10">
        <f t="shared" si="8"/>
        <v>234</v>
      </c>
      <c r="J36" s="10">
        <f t="shared" si="6"/>
        <v>3739945366.7692437</v>
      </c>
      <c r="K36" s="11">
        <f t="shared" si="7"/>
        <v>2.9300000000000326E-2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11"/>
      <c r="H37" s="10"/>
      <c r="I37" s="10">
        <f t="shared" si="8"/>
        <v>234</v>
      </c>
      <c r="J37" s="10">
        <f t="shared" si="6"/>
        <v>3633484277.4402437</v>
      </c>
      <c r="K37" s="11">
        <f t="shared" si="7"/>
        <v>3.1500000000000083E-2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11"/>
      <c r="H38" s="10"/>
      <c r="I38" s="10">
        <f t="shared" si="8"/>
        <v>234</v>
      </c>
      <c r="J38" s="10">
        <f t="shared" si="6"/>
        <v>3522524747.8819613</v>
      </c>
      <c r="K38" s="11">
        <f t="shared" si="7"/>
        <v>3.3099999999999907E-2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11"/>
      <c r="H39" s="10"/>
      <c r="I39" s="10">
        <f t="shared" si="8"/>
        <v>234</v>
      </c>
      <c r="J39" s="10">
        <f t="shared" si="6"/>
        <v>3409664841.6242008</v>
      </c>
      <c r="K39" s="11">
        <f t="shared" si="7"/>
        <v>3.4100000000000019E-2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11"/>
      <c r="H40" s="10"/>
      <c r="I40" s="10">
        <f t="shared" si="8"/>
        <v>234</v>
      </c>
      <c r="J40" s="10">
        <f t="shared" si="6"/>
        <v>3297229321.7524424</v>
      </c>
      <c r="K40" s="11">
        <f t="shared" si="7"/>
        <v>3.4299999999999997E-2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11"/>
      <c r="H41" s="10"/>
      <c r="I41" s="10">
        <f t="shared" si="8"/>
        <v>234</v>
      </c>
      <c r="J41" s="10">
        <f t="shared" si="6"/>
        <v>3187884870.687849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11"/>
      <c r="H42" s="10"/>
      <c r="I42" s="10">
        <f t="shared" si="8"/>
        <v>234</v>
      </c>
      <c r="J42" s="10">
        <f t="shared" si="6"/>
        <v>3083060803.3731618</v>
      </c>
      <c r="K42" s="11">
        <f t="shared" si="7"/>
        <v>3.3400000000000096E-2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11"/>
      <c r="H43" s="10"/>
      <c r="I43" s="10">
        <f t="shared" si="8"/>
        <v>234</v>
      </c>
      <c r="J43" s="10">
        <f t="shared" si="6"/>
        <v>2983414750.6997886</v>
      </c>
      <c r="K43" s="11">
        <f t="shared" si="7"/>
        <v>3.2699999999999951E-2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11"/>
      <c r="H44" s="10"/>
      <c r="I44" s="10">
        <f t="shared" si="8"/>
        <v>234</v>
      </c>
      <c r="J44" s="10">
        <f t="shared" si="6"/>
        <v>2888946209.6444163</v>
      </c>
      <c r="K44" s="11">
        <f t="shared" si="7"/>
        <v>3.2100000000000017E-2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11"/>
      <c r="H45" s="10"/>
      <c r="I45" s="10">
        <f t="shared" si="8"/>
        <v>234</v>
      </c>
      <c r="J45" s="10">
        <f t="shared" si="6"/>
        <v>2799095252.0534987</v>
      </c>
      <c r="K45" s="11">
        <f t="shared" si="7"/>
        <v>3.1600000000000072E-2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11"/>
      <c r="H46" s="10"/>
      <c r="I46" s="10">
        <f t="shared" si="8"/>
        <v>234</v>
      </c>
      <c r="J46" s="10">
        <f t="shared" si="6"/>
        <v>2713353288.1480212</v>
      </c>
      <c r="K46" s="11">
        <f t="shared" si="7"/>
        <v>3.1300000000000106E-2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11"/>
      <c r="H47" s="10"/>
      <c r="I47" s="10">
        <f t="shared" si="8"/>
        <v>234</v>
      </c>
      <c r="J47" s="10">
        <f t="shared" si="6"/>
        <v>2631002897.4575982</v>
      </c>
      <c r="K47" s="11">
        <f t="shared" si="7"/>
        <v>3.1099999999999905E-2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11"/>
      <c r="H48" s="10"/>
      <c r="I48" s="10">
        <f t="shared" si="8"/>
        <v>234</v>
      </c>
      <c r="J48" s="10">
        <f t="shared" si="6"/>
        <v>2551646685.5373859</v>
      </c>
      <c r="K48" s="11">
        <f t="shared" si="7"/>
        <v>3.0999999999999917E-2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11"/>
      <c r="H49" s="10"/>
      <c r="I49" s="10">
        <f t="shared" si="8"/>
        <v>234</v>
      </c>
      <c r="J49" s="10">
        <f t="shared" si="6"/>
        <v>2474924040.2884445</v>
      </c>
      <c r="K49" s="11">
        <f t="shared" si="7"/>
        <v>3.0899999999999928E-2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11"/>
      <c r="H50" s="10"/>
      <c r="I50" s="10">
        <f t="shared" si="8"/>
        <v>234</v>
      </c>
      <c r="J50" s="10">
        <f t="shared" si="6"/>
        <v>2400741139.0905466</v>
      </c>
      <c r="K50" s="11">
        <f t="shared" si="7"/>
        <v>3.0799999999999939E-2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11"/>
      <c r="H51" s="10"/>
      <c r="I51" s="10">
        <f t="shared" si="8"/>
        <v>234</v>
      </c>
      <c r="J51" s="10">
        <f t="shared" si="6"/>
        <v>2329007701.8728628</v>
      </c>
      <c r="K51" s="11">
        <f t="shared" si="7"/>
        <v>3.0600000000000183E-2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11"/>
      <c r="H52" s="10"/>
      <c r="I52" s="10">
        <f t="shared" si="8"/>
        <v>234</v>
      </c>
      <c r="J52" s="10">
        <f t="shared" si="6"/>
        <v>2259856105.058085</v>
      </c>
      <c r="K52" s="11">
        <f t="shared" si="7"/>
        <v>3.0299999999999994E-2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11"/>
      <c r="H53" s="10"/>
      <c r="I53" s="10">
        <f t="shared" si="8"/>
        <v>234</v>
      </c>
      <c r="J53" s="10">
        <f t="shared" si="6"/>
        <v>2193396200.1922593</v>
      </c>
      <c r="K53" s="11">
        <f t="shared" si="7"/>
        <v>2.9899999999999816E-2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11"/>
      <c r="H54" s="10"/>
      <c r="I54" s="10">
        <f t="shared" si="8"/>
        <v>234</v>
      </c>
      <c r="J54" s="10">
        <f t="shared" si="6"/>
        <v>2129717642.67624</v>
      </c>
      <c r="K54" s="11">
        <f t="shared" si="7"/>
        <v>2.9500000000000304E-2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11"/>
      <c r="H55" s="10"/>
      <c r="I55" s="10">
        <f t="shared" si="8"/>
        <v>234</v>
      </c>
      <c r="J55" s="10">
        <f t="shared" si="6"/>
        <v>2068691250.7782803</v>
      </c>
      <c r="K55" s="11">
        <f t="shared" si="7"/>
        <v>2.9199999999999893E-2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11"/>
      <c r="H56" s="10"/>
      <c r="I56" s="10">
        <f t="shared" si="8"/>
        <v>234</v>
      </c>
      <c r="J56" s="10">
        <f t="shared" si="6"/>
        <v>2009999272.0348625</v>
      </c>
      <c r="K56" s="11">
        <f t="shared" si="7"/>
        <v>2.9099999999999904E-2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11"/>
      <c r="H57" s="10"/>
      <c r="I57" s="10">
        <f t="shared" si="8"/>
        <v>234</v>
      </c>
      <c r="J57" s="10">
        <f t="shared" si="6"/>
        <v>1953162250.5440314</v>
      </c>
      <c r="K57" s="11">
        <f t="shared" si="7"/>
        <v>2.9199999999999893E-2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11"/>
      <c r="H58" s="10"/>
      <c r="I58" s="10">
        <f t="shared" si="8"/>
        <v>234</v>
      </c>
      <c r="J58" s="10">
        <f t="shared" si="6"/>
        <v>1897748008.6902754</v>
      </c>
      <c r="K58" s="11">
        <f t="shared" si="7"/>
        <v>2.9199999999999893E-2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11"/>
      <c r="H59" s="10"/>
      <c r="I59" s="10">
        <f t="shared" si="8"/>
        <v>234</v>
      </c>
      <c r="J59" s="10">
        <f t="shared" si="6"/>
        <v>1843905954.8098288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11"/>
      <c r="H60" s="10"/>
      <c r="I60" s="10">
        <f t="shared" si="8"/>
        <v>234</v>
      </c>
      <c r="J60" s="10">
        <f t="shared" si="6"/>
        <v>1791765576.5327265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11"/>
      <c r="H61" s="10"/>
      <c r="I61" s="10">
        <f t="shared" si="8"/>
        <v>234</v>
      </c>
      <c r="J61" s="10">
        <f t="shared" si="6"/>
        <v>1741268781.8588209</v>
      </c>
      <c r="K61" s="11">
        <f t="shared" si="7"/>
        <v>2.8899999999999926E-2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11"/>
      <c r="H62" s="10"/>
      <c r="I62" s="10">
        <f t="shared" si="8"/>
        <v>234</v>
      </c>
      <c r="J62" s="10">
        <f t="shared" si="6"/>
        <v>1692359589.7160277</v>
      </c>
      <c r="K62" s="11">
        <f t="shared" si="7"/>
        <v>2.8899999999999704E-2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11"/>
      <c r="H63" s="10"/>
      <c r="I63" s="10">
        <f t="shared" si="8"/>
        <v>234</v>
      </c>
      <c r="J63" s="10">
        <f t="shared" si="6"/>
        <v>1644824171.1692371</v>
      </c>
      <c r="K63" s="11">
        <f t="shared" si="7"/>
        <v>2.8899999999999926E-2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11"/>
      <c r="H64" s="10"/>
      <c r="I64" s="10">
        <f t="shared" si="8"/>
        <v>234</v>
      </c>
      <c r="J64" s="10">
        <f t="shared" si="6"/>
        <v>1598623939.322808</v>
      </c>
      <c r="K64" s="11">
        <f t="shared" si="7"/>
        <v>2.8899999999999926E-2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11"/>
      <c r="H65" s="10"/>
      <c r="I65" s="10">
        <f t="shared" si="8"/>
        <v>234</v>
      </c>
      <c r="J65" s="10">
        <f t="shared" si="6"/>
        <v>1553721391.1194558</v>
      </c>
      <c r="K65" s="11">
        <f t="shared" si="7"/>
        <v>2.8799999999999937E-2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6">
        <f>SUM(F2)</f>
        <v>45062542</v>
      </c>
      <c r="G66" s="11"/>
      <c r="H66" s="10"/>
      <c r="I66" s="10">
        <f t="shared" si="8"/>
        <v>234</v>
      </c>
      <c r="J66" s="10">
        <f t="shared" ref="J66:J97" si="9">IF(I66="","",I66*C66)</f>
        <v>1510226857.6199999</v>
      </c>
      <c r="K66" s="11">
        <f t="shared" ref="K66:K97" si="10">IFERROR(J66/J67-1,"")</f>
        <v>2.8699999999999948E-2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11"/>
      <c r="H67" s="10"/>
      <c r="I67" s="10">
        <f t="shared" ref="I67:I98" si="11">IF(H67&lt;&gt;"",H67,I66/(1+IF(G66="",0,G66)))</f>
        <v>234</v>
      </c>
      <c r="J67" s="10">
        <f t="shared" si="9"/>
        <v>1468092600</v>
      </c>
      <c r="K67" s="11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5">
        <v>11247660</v>
      </c>
      <c r="G2" s="11"/>
      <c r="H2" s="10"/>
      <c r="I2" s="10">
        <f>IF(H2&lt;&gt;"",H2,1782)</f>
        <v>1782</v>
      </c>
      <c r="J2" s="10">
        <f t="shared" ref="J2:J33" si="3">IF(I2="","",I2*C2)</f>
        <v>20043130665.025444</v>
      </c>
      <c r="K2" s="11">
        <f t="shared" ref="K2:K33" si="4">IFERROR(J2/J3-1,"")</f>
        <v>2.7199999999999891E-2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11"/>
      <c r="H3" s="10"/>
      <c r="I3" s="10">
        <f t="shared" ref="I3:I34" si="5">IF(H3&lt;&gt;"",H3,I2/(1+IF(G2="",0,G2)))</f>
        <v>1782</v>
      </c>
      <c r="J3" s="10">
        <f t="shared" si="3"/>
        <v>19512393560.188324</v>
      </c>
      <c r="K3" s="11">
        <f t="shared" si="4"/>
        <v>2.7199999999999891E-2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11"/>
      <c r="H4" s="10"/>
      <c r="I4" s="10">
        <f t="shared" si="5"/>
        <v>1782</v>
      </c>
      <c r="J4" s="10">
        <f t="shared" si="3"/>
        <v>18995710241.61636</v>
      </c>
      <c r="K4" s="11">
        <f t="shared" si="4"/>
        <v>2.7600000000000069E-2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11"/>
      <c r="H5" s="10"/>
      <c r="I5" s="10">
        <f t="shared" si="5"/>
        <v>1782</v>
      </c>
      <c r="J5" s="10">
        <f t="shared" si="3"/>
        <v>18485510161.168118</v>
      </c>
      <c r="K5" s="11">
        <f t="shared" si="4"/>
        <v>2.8399999999999981E-2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11"/>
      <c r="H6" s="10"/>
      <c r="I6" s="10">
        <f t="shared" si="5"/>
        <v>1782</v>
      </c>
      <c r="J6" s="10">
        <f t="shared" si="3"/>
        <v>17975019604.403072</v>
      </c>
      <c r="K6" s="11">
        <f t="shared" si="4"/>
        <v>2.8799999999999937E-2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11"/>
      <c r="H7" s="10"/>
      <c r="I7" s="10">
        <f t="shared" si="5"/>
        <v>1782</v>
      </c>
      <c r="J7" s="10">
        <f t="shared" si="3"/>
        <v>17471830875.197388</v>
      </c>
      <c r="K7" s="11">
        <f t="shared" si="4"/>
        <v>2.8799999999999937E-2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11"/>
      <c r="H8" s="10"/>
      <c r="I8" s="10">
        <f t="shared" si="5"/>
        <v>1782</v>
      </c>
      <c r="J8" s="10">
        <f t="shared" si="3"/>
        <v>16982728300.152983</v>
      </c>
      <c r="K8" s="11">
        <f t="shared" si="4"/>
        <v>2.8800000000000159E-2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11"/>
      <c r="H9" s="10"/>
      <c r="I9" s="10">
        <f t="shared" si="5"/>
        <v>1782</v>
      </c>
      <c r="J9" s="10">
        <f t="shared" si="3"/>
        <v>16507317554.581047</v>
      </c>
      <c r="K9" s="11">
        <f t="shared" si="4"/>
        <v>2.9399999999999871E-2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11"/>
      <c r="H10" s="10"/>
      <c r="I10" s="10">
        <f t="shared" si="5"/>
        <v>1782</v>
      </c>
      <c r="J10" s="10">
        <f t="shared" si="3"/>
        <v>16035863177.172186</v>
      </c>
      <c r="K10" s="11">
        <f t="shared" si="4"/>
        <v>2.970000000000006E-2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11"/>
      <c r="H11" s="10"/>
      <c r="I11" s="10">
        <f t="shared" si="5"/>
        <v>1782</v>
      </c>
      <c r="J11" s="10">
        <f t="shared" si="3"/>
        <v>15573335123.989691</v>
      </c>
      <c r="K11" s="11">
        <f t="shared" si="4"/>
        <v>2.9800000000000049E-2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11"/>
      <c r="H12" s="10"/>
      <c r="I12" s="10">
        <f t="shared" si="5"/>
        <v>1782</v>
      </c>
      <c r="J12" s="10">
        <f t="shared" si="3"/>
        <v>15122679281.403854</v>
      </c>
      <c r="K12" s="11">
        <f t="shared" si="4"/>
        <v>3.0100000000000016E-2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11"/>
      <c r="H13" s="10"/>
      <c r="I13" s="10">
        <f t="shared" si="5"/>
        <v>1782</v>
      </c>
      <c r="J13" s="10">
        <f t="shared" si="3"/>
        <v>14680787575.384771</v>
      </c>
      <c r="K13" s="11">
        <f t="shared" si="4"/>
        <v>3.0399999999999983E-2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11"/>
      <c r="H14" s="10"/>
      <c r="I14" s="10">
        <f t="shared" si="5"/>
        <v>1782</v>
      </c>
      <c r="J14" s="10">
        <f t="shared" si="3"/>
        <v>14247658749.402924</v>
      </c>
      <c r="K14" s="11">
        <f t="shared" si="4"/>
        <v>3.069999999999995E-2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11"/>
      <c r="H15" s="10"/>
      <c r="I15" s="10">
        <f t="shared" si="5"/>
        <v>1782</v>
      </c>
      <c r="J15" s="10">
        <f t="shared" si="3"/>
        <v>13823283932.669956</v>
      </c>
      <c r="K15" s="11">
        <f t="shared" si="4"/>
        <v>3.0899999999999928E-2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11"/>
      <c r="H16" s="10"/>
      <c r="I16" s="10">
        <f t="shared" si="5"/>
        <v>1782</v>
      </c>
      <c r="J16" s="10">
        <f t="shared" si="3"/>
        <v>13408947456.271177</v>
      </c>
      <c r="K16" s="11">
        <f t="shared" si="4"/>
        <v>3.0799999999999939E-2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11"/>
      <c r="H17" s="10"/>
      <c r="I17" s="10">
        <f t="shared" si="5"/>
        <v>1782</v>
      </c>
      <c r="J17" s="10">
        <f t="shared" si="3"/>
        <v>13008292060.798582</v>
      </c>
      <c r="K17" s="11">
        <f t="shared" si="4"/>
        <v>3.1199999999999894E-2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11"/>
      <c r="H18" s="10"/>
      <c r="I18" s="10">
        <f t="shared" si="5"/>
        <v>1782</v>
      </c>
      <c r="J18" s="10">
        <f t="shared" si="3"/>
        <v>12614713014.738735</v>
      </c>
      <c r="K18" s="11">
        <f t="shared" si="4"/>
        <v>3.1700000000000061E-2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11"/>
      <c r="H19" s="10"/>
      <c r="I19" s="10">
        <f t="shared" si="5"/>
        <v>1782</v>
      </c>
      <c r="J19" s="10">
        <f t="shared" si="3"/>
        <v>12227113516.272884</v>
      </c>
      <c r="K19" s="11">
        <f t="shared" si="4"/>
        <v>3.1900000000000039E-2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11"/>
      <c r="H20" s="10"/>
      <c r="I20" s="10">
        <f t="shared" si="5"/>
        <v>1782</v>
      </c>
      <c r="J20" s="10">
        <f t="shared" si="3"/>
        <v>11849126384.604015</v>
      </c>
      <c r="K20" s="11">
        <f t="shared" si="4"/>
        <v>3.2599999999999962E-2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11"/>
      <c r="H21" s="10"/>
      <c r="I21" s="10">
        <f t="shared" si="5"/>
        <v>1782</v>
      </c>
      <c r="J21" s="10">
        <f t="shared" si="3"/>
        <v>11475040078.059282</v>
      </c>
      <c r="K21" s="11">
        <f t="shared" si="4"/>
        <v>3.3500000000000085E-2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11"/>
      <c r="H22" s="10"/>
      <c r="I22" s="10">
        <f t="shared" si="5"/>
        <v>1782</v>
      </c>
      <c r="J22" s="10">
        <f t="shared" si="3"/>
        <v>11103086674.464714</v>
      </c>
      <c r="K22" s="11">
        <f t="shared" si="4"/>
        <v>3.4600000000000186E-2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11"/>
      <c r="H23" s="10"/>
      <c r="I23" s="10">
        <f t="shared" si="5"/>
        <v>1782</v>
      </c>
      <c r="J23" s="10">
        <f t="shared" si="3"/>
        <v>10731767518.330479</v>
      </c>
      <c r="K23" s="11">
        <f t="shared" si="4"/>
        <v>3.5400000000000098E-2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11"/>
      <c r="H24" s="10"/>
      <c r="I24" s="10">
        <f t="shared" si="5"/>
        <v>1782</v>
      </c>
      <c r="J24" s="10">
        <f t="shared" si="3"/>
        <v>10364851765.820435</v>
      </c>
      <c r="K24" s="11">
        <f t="shared" si="4"/>
        <v>3.5800000000000054E-2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11"/>
      <c r="H25" s="10"/>
      <c r="I25" s="10">
        <f t="shared" si="5"/>
        <v>1782</v>
      </c>
      <c r="J25" s="10">
        <f t="shared" si="3"/>
        <v>10006614950.589336</v>
      </c>
      <c r="K25" s="11">
        <f t="shared" si="4"/>
        <v>4.2999999999999927E-2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11"/>
      <c r="H26" s="10"/>
      <c r="I26" s="10">
        <f t="shared" si="5"/>
        <v>1782</v>
      </c>
      <c r="J26" s="10">
        <f t="shared" si="3"/>
        <v>9594069943.0386734</v>
      </c>
      <c r="K26" s="11">
        <f t="shared" si="4"/>
        <v>4.4300000000000006E-2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11"/>
      <c r="H27" s="10"/>
      <c r="I27" s="10">
        <f t="shared" si="5"/>
        <v>1782</v>
      </c>
      <c r="J27" s="10">
        <f t="shared" si="3"/>
        <v>9187082201.5117054</v>
      </c>
      <c r="K27" s="11">
        <f t="shared" si="4"/>
        <v>3.7700000000000067E-2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11"/>
      <c r="H28" s="10"/>
      <c r="I28" s="10">
        <f t="shared" si="5"/>
        <v>1782</v>
      </c>
      <c r="J28" s="10">
        <f t="shared" si="3"/>
        <v>8853312326.7916584</v>
      </c>
      <c r="K28" s="11">
        <f t="shared" si="4"/>
        <v>3.9199999999999902E-2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11"/>
      <c r="H29" s="10"/>
      <c r="I29" s="10">
        <f t="shared" si="5"/>
        <v>1782</v>
      </c>
      <c r="J29" s="10">
        <f t="shared" si="3"/>
        <v>8519353663.194438</v>
      </c>
      <c r="K29" s="11">
        <f t="shared" si="4"/>
        <v>3.9800000000000058E-2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11"/>
      <c r="H30" s="10"/>
      <c r="I30" s="10">
        <f t="shared" si="5"/>
        <v>1782</v>
      </c>
      <c r="J30" s="10">
        <f t="shared" si="3"/>
        <v>8193261841.8873224</v>
      </c>
      <c r="K30" s="11">
        <f t="shared" si="4"/>
        <v>3.4699999999999953E-2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11"/>
      <c r="H31" s="10"/>
      <c r="I31" s="10">
        <f t="shared" si="5"/>
        <v>1782</v>
      </c>
      <c r="J31" s="10">
        <f t="shared" si="3"/>
        <v>7918490230.8759279</v>
      </c>
      <c r="K31" s="11">
        <f t="shared" si="4"/>
        <v>3.0000000000000027E-2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11"/>
      <c r="H32" s="10"/>
      <c r="I32" s="10">
        <f t="shared" si="5"/>
        <v>1782</v>
      </c>
      <c r="J32" s="10">
        <f t="shared" si="3"/>
        <v>7687854593.0834255</v>
      </c>
      <c r="K32" s="11">
        <f t="shared" si="4"/>
        <v>2.8599999999999959E-2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11"/>
      <c r="H33" s="10"/>
      <c r="I33" s="10">
        <f t="shared" si="5"/>
        <v>1782</v>
      </c>
      <c r="J33" s="10">
        <f t="shared" si="3"/>
        <v>7474095462.8460293</v>
      </c>
      <c r="K33" s="11">
        <f t="shared" si="4"/>
        <v>2.6399999999999979E-2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11"/>
      <c r="H34" s="10"/>
      <c r="I34" s="10">
        <f t="shared" si="5"/>
        <v>1782</v>
      </c>
      <c r="J34" s="10">
        <f t="shared" ref="J34:J65" si="6">IF(I34="","",I34*C34)</f>
        <v>7281854503.9419613</v>
      </c>
      <c r="K34" s="11">
        <f t="shared" ref="K34:K65" si="7">IFERROR(J34/J35-1,"")</f>
        <v>2.8299999999999992E-2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11"/>
      <c r="H35" s="10"/>
      <c r="I35" s="10">
        <f t="shared" ref="I35:I66" si="8">IF(H35&lt;&gt;"",H35,I34/(1+IF(G34="",0,G34)))</f>
        <v>1782</v>
      </c>
      <c r="J35" s="10">
        <f t="shared" si="6"/>
        <v>7081449483.5572901</v>
      </c>
      <c r="K35" s="11">
        <f t="shared" si="7"/>
        <v>3.960000000000008E-2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11"/>
      <c r="H36" s="10"/>
      <c r="I36" s="10">
        <f t="shared" si="8"/>
        <v>1782</v>
      </c>
      <c r="J36" s="10">
        <f t="shared" si="6"/>
        <v>6811705928.7776928</v>
      </c>
      <c r="K36" s="11">
        <f t="shared" si="7"/>
        <v>2.5400000000000089E-2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11"/>
      <c r="H37" s="10"/>
      <c r="I37" s="10">
        <f t="shared" si="8"/>
        <v>1782</v>
      </c>
      <c r="J37" s="10">
        <f t="shared" si="6"/>
        <v>6642974379.5374413</v>
      </c>
      <c r="K37" s="11">
        <f t="shared" si="7"/>
        <v>5.5000000000000604E-3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11"/>
      <c r="H38" s="10"/>
      <c r="I38" s="10">
        <f t="shared" si="8"/>
        <v>1782</v>
      </c>
      <c r="J38" s="10">
        <f t="shared" si="6"/>
        <v>6606637871.2455902</v>
      </c>
      <c r="K38" s="11">
        <f t="shared" si="7"/>
        <v>1.4899999999999913E-2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11"/>
      <c r="H39" s="10"/>
      <c r="I39" s="10">
        <f t="shared" si="8"/>
        <v>1782</v>
      </c>
      <c r="J39" s="10">
        <f t="shared" si="6"/>
        <v>6509644173.0668945</v>
      </c>
      <c r="K39" s="11">
        <f t="shared" si="7"/>
        <v>1.7099999999999893E-2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11"/>
      <c r="H40" s="10"/>
      <c r="I40" s="10">
        <f t="shared" si="8"/>
        <v>1782</v>
      </c>
      <c r="J40" s="10">
        <f t="shared" si="6"/>
        <v>6400200740.4059534</v>
      </c>
      <c r="K40" s="11">
        <f t="shared" si="7"/>
        <v>1.9500000000000073E-2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11"/>
      <c r="H41" s="10"/>
      <c r="I41" s="10">
        <f t="shared" si="8"/>
        <v>1782</v>
      </c>
      <c r="J41" s="10">
        <f t="shared" si="6"/>
        <v>6277783953.3162851</v>
      </c>
      <c r="K41" s="11">
        <f t="shared" si="7"/>
        <v>2.5600000000000067E-2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11"/>
      <c r="H42" s="10"/>
      <c r="I42" s="10">
        <f t="shared" si="8"/>
        <v>1782</v>
      </c>
      <c r="J42" s="10">
        <f t="shared" si="6"/>
        <v>6121084197.8512917</v>
      </c>
      <c r="K42" s="11">
        <f t="shared" si="7"/>
        <v>2.4699999999999944E-2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11"/>
      <c r="H43" s="10"/>
      <c r="I43" s="10">
        <f t="shared" si="8"/>
        <v>1782</v>
      </c>
      <c r="J43" s="10">
        <f t="shared" si="6"/>
        <v>5973537813.8492165</v>
      </c>
      <c r="K43" s="11">
        <f t="shared" si="7"/>
        <v>2.6200000000000001E-2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11"/>
      <c r="H44" s="10"/>
      <c r="I44" s="10">
        <f t="shared" si="8"/>
        <v>1782</v>
      </c>
      <c r="J44" s="10">
        <f t="shared" si="6"/>
        <v>5821026908.8376694</v>
      </c>
      <c r="K44" s="11">
        <f t="shared" si="7"/>
        <v>2.6999999999999913E-2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11"/>
      <c r="H45" s="10"/>
      <c r="I45" s="10">
        <f t="shared" si="8"/>
        <v>1782</v>
      </c>
      <c r="J45" s="10">
        <f t="shared" si="6"/>
        <v>5667991147.8458319</v>
      </c>
      <c r="K45" s="11">
        <f t="shared" si="7"/>
        <v>2.7099999999999902E-2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11"/>
      <c r="H46" s="10"/>
      <c r="I46" s="10">
        <f t="shared" si="8"/>
        <v>1782</v>
      </c>
      <c r="J46" s="10">
        <f t="shared" si="6"/>
        <v>5518441386.2777061</v>
      </c>
      <c r="K46" s="11">
        <f t="shared" si="7"/>
        <v>2.7700000000000058E-2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11"/>
      <c r="H47" s="10"/>
      <c r="I47" s="10">
        <f t="shared" si="8"/>
        <v>1782</v>
      </c>
      <c r="J47" s="10">
        <f t="shared" si="6"/>
        <v>5369700677.5106602</v>
      </c>
      <c r="K47" s="11">
        <f t="shared" si="7"/>
        <v>2.7899999999999814E-2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11"/>
      <c r="H48" s="10"/>
      <c r="I48" s="10">
        <f t="shared" si="8"/>
        <v>1782</v>
      </c>
      <c r="J48" s="10">
        <f t="shared" si="6"/>
        <v>5223952405.4000006</v>
      </c>
      <c r="K48" s="11">
        <f t="shared" si="7"/>
        <v>2.7900000000000036E-2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11"/>
      <c r="H49" s="10"/>
      <c r="I49" s="10">
        <f t="shared" si="8"/>
        <v>1782</v>
      </c>
      <c r="J49" s="10">
        <f t="shared" si="6"/>
        <v>5082160137.5620203</v>
      </c>
      <c r="K49" s="11">
        <f t="shared" si="7"/>
        <v>2.8000000000000247E-2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11"/>
      <c r="H50" s="10"/>
      <c r="I50" s="10">
        <f t="shared" si="8"/>
        <v>1782</v>
      </c>
      <c r="J50" s="10">
        <f t="shared" si="6"/>
        <v>4943735542.3755054</v>
      </c>
      <c r="K50" s="11">
        <f t="shared" si="7"/>
        <v>2.6799999999999935E-2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11"/>
      <c r="H51" s="10"/>
      <c r="I51" s="10">
        <f t="shared" si="8"/>
        <v>1782</v>
      </c>
      <c r="J51" s="10">
        <f t="shared" si="6"/>
        <v>4814701541.0747032</v>
      </c>
      <c r="K51" s="11">
        <f t="shared" si="7"/>
        <v>2.6399999999999979E-2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11"/>
      <c r="H52" s="10"/>
      <c r="I52" s="10">
        <f t="shared" si="8"/>
        <v>1782</v>
      </c>
      <c r="J52" s="10">
        <f t="shared" si="6"/>
        <v>4690862764.1023998</v>
      </c>
      <c r="K52" s="11">
        <f t="shared" si="7"/>
        <v>2.7199999999999891E-2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11"/>
      <c r="H53" s="10"/>
      <c r="I53" s="10">
        <f t="shared" si="8"/>
        <v>1782</v>
      </c>
      <c r="J53" s="10">
        <f t="shared" si="6"/>
        <v>4566649887.17134</v>
      </c>
      <c r="K53" s="11">
        <f t="shared" si="7"/>
        <v>2.6699999999999946E-2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11"/>
      <c r="H54" s="10"/>
      <c r="I54" s="10">
        <f t="shared" si="8"/>
        <v>1782</v>
      </c>
      <c r="J54" s="10">
        <f t="shared" si="6"/>
        <v>4447891192.3359699</v>
      </c>
      <c r="K54" s="11">
        <f t="shared" si="7"/>
        <v>2.6100000000000012E-2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11"/>
      <c r="H55" s="10"/>
      <c r="I55" s="10">
        <f t="shared" si="8"/>
        <v>1782</v>
      </c>
      <c r="J55" s="10">
        <f t="shared" si="6"/>
        <v>4334754110.0633173</v>
      </c>
      <c r="K55" s="11">
        <f t="shared" si="7"/>
        <v>2.5499999999999856E-2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11"/>
      <c r="H56" s="10"/>
      <c r="I56" s="10">
        <f t="shared" si="8"/>
        <v>1782</v>
      </c>
      <c r="J56" s="10">
        <f t="shared" si="6"/>
        <v>4226966465.2006998</v>
      </c>
      <c r="K56" s="11">
        <f t="shared" si="7"/>
        <v>2.4799999999999933E-2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11"/>
      <c r="H57" s="10"/>
      <c r="I57" s="10">
        <f t="shared" si="8"/>
        <v>1782</v>
      </c>
      <c r="J57" s="10">
        <f t="shared" si="6"/>
        <v>4124674536.6907692</v>
      </c>
      <c r="K57" s="11">
        <f t="shared" si="7"/>
        <v>2.3900000000000032E-2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11"/>
      <c r="H58" s="10"/>
      <c r="I58" s="10">
        <f t="shared" si="8"/>
        <v>1782</v>
      </c>
      <c r="J58" s="10">
        <f t="shared" si="6"/>
        <v>4028395875.2717738</v>
      </c>
      <c r="K58" s="11">
        <f t="shared" si="7"/>
        <v>1.9399999999999862E-2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11"/>
      <c r="H59" s="10"/>
      <c r="I59" s="10">
        <f t="shared" si="8"/>
        <v>1782</v>
      </c>
      <c r="J59" s="10">
        <f t="shared" si="6"/>
        <v>3951732269.2483559</v>
      </c>
      <c r="K59" s="11">
        <f t="shared" si="7"/>
        <v>1.5200000000000102E-2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11"/>
      <c r="H60" s="10"/>
      <c r="I60" s="10">
        <f t="shared" si="8"/>
        <v>1782</v>
      </c>
      <c r="J60" s="10">
        <f t="shared" si="6"/>
        <v>3892565277.0373869</v>
      </c>
      <c r="K60" s="11">
        <f t="shared" si="7"/>
        <v>1.7899999999999805E-2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11"/>
      <c r="H61" s="10"/>
      <c r="I61" s="10">
        <f t="shared" si="8"/>
        <v>1782</v>
      </c>
      <c r="J61" s="10">
        <f t="shared" si="6"/>
        <v>3824113642.8307176</v>
      </c>
      <c r="K61" s="11">
        <f t="shared" si="7"/>
        <v>2.0599999999999952E-2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11"/>
      <c r="H62" s="10"/>
      <c r="I62" s="10">
        <f t="shared" si="8"/>
        <v>1782</v>
      </c>
      <c r="J62" s="10">
        <f t="shared" si="6"/>
        <v>3746926947.7079339</v>
      </c>
      <c r="K62" s="11">
        <f t="shared" si="7"/>
        <v>2.0100000000000007E-2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11"/>
      <c r="H63" s="10"/>
      <c r="I63" s="10">
        <f t="shared" si="8"/>
        <v>1782</v>
      </c>
      <c r="J63" s="10">
        <f t="shared" si="6"/>
        <v>3673097684.2544203</v>
      </c>
      <c r="K63" s="11">
        <f t="shared" si="7"/>
        <v>1.9500000000000073E-2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11"/>
      <c r="H64" s="10"/>
      <c r="I64" s="10">
        <f t="shared" si="8"/>
        <v>1782</v>
      </c>
      <c r="J64" s="10">
        <f t="shared" si="6"/>
        <v>3602842260.1808925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11"/>
      <c r="H65" s="10"/>
      <c r="I65" s="10">
        <f t="shared" si="8"/>
        <v>1782</v>
      </c>
      <c r="J65" s="10">
        <f t="shared" si="6"/>
        <v>3535664632.1696696</v>
      </c>
      <c r="K65" s="11">
        <f t="shared" si="7"/>
        <v>1.8699999999999939E-2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6">
        <f>SUM(F2)</f>
        <v>11247660</v>
      </c>
      <c r="G66" s="11"/>
      <c r="H66" s="10"/>
      <c r="I66" s="10">
        <f t="shared" si="8"/>
        <v>1782</v>
      </c>
      <c r="J66" s="10">
        <f t="shared" ref="J66:J97" si="9">IF(I66="","",I66*C66)</f>
        <v>3470761394.0999999</v>
      </c>
      <c r="K66" s="11">
        <f t="shared" ref="K66:K97" si="10">IFERROR(J66/J67-1,"")</f>
        <v>1.8499999999999961E-2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11"/>
      <c r="H67" s="10"/>
      <c r="I67" s="10">
        <f t="shared" ref="I67:I98" si="11">IF(H67&lt;&gt;"",H67,I66/(1+IF(G66="",0,G66)))</f>
        <v>1782</v>
      </c>
      <c r="J67" s="10">
        <f t="shared" si="9"/>
        <v>3407718600</v>
      </c>
      <c r="K67" s="11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5">
        <v>44529546</v>
      </c>
      <c r="G2" s="11"/>
      <c r="H2" s="10"/>
      <c r="I2" s="10">
        <f>IF(H2&lt;&gt;"",H2,10635)</f>
        <v>10635</v>
      </c>
      <c r="J2" s="10">
        <f t="shared" ref="J2:J33" si="3">IF(I2="","",I2*C2)</f>
        <v>473571242178.15509</v>
      </c>
      <c r="K2" s="11">
        <f t="shared" ref="K2:K33" si="4">IFERROR(J2/J3-1,"")</f>
        <v>-8.0000000000013394E-4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11"/>
      <c r="H3" s="10"/>
      <c r="I3" s="10">
        <f t="shared" ref="I3:I34" si="5">IF(H3&lt;&gt;"",H3,I2/(1+IF(G2="",0,G2)))</f>
        <v>10635</v>
      </c>
      <c r="J3" s="10">
        <f t="shared" si="3"/>
        <v>473950402500.15527</v>
      </c>
      <c r="K3" s="11">
        <f t="shared" si="4"/>
        <v>-9.9999999999988987E-4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11"/>
      <c r="H4" s="10"/>
      <c r="I4" s="10">
        <f t="shared" si="5"/>
        <v>10635</v>
      </c>
      <c r="J4" s="10">
        <f t="shared" si="3"/>
        <v>474424827327.48273</v>
      </c>
      <c r="K4" s="11">
        <f t="shared" si="4"/>
        <v>1.1000000000001009E-3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11"/>
      <c r="H5" s="10"/>
      <c r="I5" s="10">
        <f t="shared" si="5"/>
        <v>10635</v>
      </c>
      <c r="J5" s="10">
        <f t="shared" si="3"/>
        <v>473903533440.69788</v>
      </c>
      <c r="K5" s="11">
        <f t="shared" si="4"/>
        <v>3.4000000000000696E-3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11"/>
      <c r="H6" s="10"/>
      <c r="I6" s="10">
        <f t="shared" si="5"/>
        <v>10635</v>
      </c>
      <c r="J6" s="10">
        <f t="shared" si="3"/>
        <v>472297721188.65637</v>
      </c>
      <c r="K6" s="11">
        <f t="shared" si="4"/>
        <v>4.6999999999999265E-3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11"/>
      <c r="H7" s="10"/>
      <c r="I7" s="10">
        <f t="shared" si="5"/>
        <v>10635</v>
      </c>
      <c r="J7" s="10">
        <f t="shared" si="3"/>
        <v>470088306149.75256</v>
      </c>
      <c r="K7" s="11">
        <f t="shared" si="4"/>
        <v>6.1000000000002164E-3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11"/>
      <c r="H8" s="10"/>
      <c r="I8" s="10">
        <f t="shared" si="5"/>
        <v>10635</v>
      </c>
      <c r="J8" s="10">
        <f t="shared" si="3"/>
        <v>467238153413.92755</v>
      </c>
      <c r="K8" s="11">
        <f t="shared" si="4"/>
        <v>8.1999999999999851E-3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11"/>
      <c r="H9" s="10"/>
      <c r="I9" s="10">
        <f t="shared" si="5"/>
        <v>10635</v>
      </c>
      <c r="J9" s="10">
        <f t="shared" si="3"/>
        <v>463437962124.50665</v>
      </c>
      <c r="K9" s="11">
        <f t="shared" si="4"/>
        <v>1.089999999999991E-2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11"/>
      <c r="H10" s="10"/>
      <c r="I10" s="10">
        <f t="shared" si="5"/>
        <v>10635</v>
      </c>
      <c r="J10" s="10">
        <f t="shared" si="3"/>
        <v>458440955707.29712</v>
      </c>
      <c r="K10" s="11">
        <f t="shared" si="4"/>
        <v>1.3400000000000079E-2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11"/>
      <c r="H11" s="10"/>
      <c r="I11" s="10">
        <f t="shared" si="5"/>
        <v>10635</v>
      </c>
      <c r="J11" s="10">
        <f t="shared" si="3"/>
        <v>452379076087.72162</v>
      </c>
      <c r="K11" s="11">
        <f t="shared" si="4"/>
        <v>1.5500000000000069E-2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11"/>
      <c r="H12" s="10"/>
      <c r="I12" s="10">
        <f t="shared" si="5"/>
        <v>10635</v>
      </c>
      <c r="J12" s="10">
        <f t="shared" si="3"/>
        <v>445474225591.06018</v>
      </c>
      <c r="K12" s="11">
        <f t="shared" si="4"/>
        <v>1.6799999999999926E-2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11"/>
      <c r="H13" s="10"/>
      <c r="I13" s="10">
        <f t="shared" si="5"/>
        <v>10635</v>
      </c>
      <c r="J13" s="10">
        <f t="shared" si="3"/>
        <v>438113911871.61707</v>
      </c>
      <c r="K13" s="11">
        <f t="shared" si="4"/>
        <v>1.7200000000000104E-2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11"/>
      <c r="H14" s="10"/>
      <c r="I14" s="10">
        <f t="shared" si="5"/>
        <v>10635</v>
      </c>
      <c r="J14" s="10">
        <f t="shared" si="3"/>
        <v>430705772583.18622</v>
      </c>
      <c r="K14" s="11">
        <f t="shared" si="4"/>
        <v>1.639999999999997E-2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11"/>
      <c r="H15" s="10"/>
      <c r="I15" s="10">
        <f t="shared" si="5"/>
        <v>10635</v>
      </c>
      <c r="J15" s="10">
        <f t="shared" si="3"/>
        <v>423756171372.67438</v>
      </c>
      <c r="K15" s="11">
        <f t="shared" si="4"/>
        <v>1.4899999999999913E-2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11"/>
      <c r="H16" s="10"/>
      <c r="I16" s="10">
        <f t="shared" si="5"/>
        <v>10635</v>
      </c>
      <c r="J16" s="10">
        <f t="shared" si="3"/>
        <v>417534901342.66864</v>
      </c>
      <c r="K16" s="11">
        <f t="shared" si="4"/>
        <v>1.2699999999999934E-2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11"/>
      <c r="H17" s="10"/>
      <c r="I17" s="10">
        <f t="shared" si="5"/>
        <v>10635</v>
      </c>
      <c r="J17" s="10">
        <f t="shared" si="3"/>
        <v>412298707754.19049</v>
      </c>
      <c r="K17" s="11">
        <f t="shared" si="4"/>
        <v>1.0199999999999987E-2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11"/>
      <c r="H18" s="10"/>
      <c r="I18" s="10">
        <f t="shared" si="5"/>
        <v>10635</v>
      </c>
      <c r="J18" s="10">
        <f t="shared" si="3"/>
        <v>408135723375.75775</v>
      </c>
      <c r="K18" s="11">
        <f t="shared" si="4"/>
        <v>7.8000000000002512E-3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11"/>
      <c r="H19" s="10"/>
      <c r="I19" s="10">
        <f t="shared" si="5"/>
        <v>10635</v>
      </c>
      <c r="J19" s="10">
        <f t="shared" si="3"/>
        <v>404976903528.23743</v>
      </c>
      <c r="K19" s="11">
        <f t="shared" si="4"/>
        <v>6.0999999999999943E-3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11"/>
      <c r="H20" s="10"/>
      <c r="I20" s="10">
        <f t="shared" si="5"/>
        <v>10635</v>
      </c>
      <c r="J20" s="10">
        <f t="shared" si="3"/>
        <v>402521522242.5578</v>
      </c>
      <c r="K20" s="11">
        <f t="shared" si="4"/>
        <v>5.2000000000000934E-3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11"/>
      <c r="H21" s="10"/>
      <c r="I21" s="10">
        <f t="shared" si="5"/>
        <v>10635</v>
      </c>
      <c r="J21" s="10">
        <f t="shared" si="3"/>
        <v>400439238203.89746</v>
      </c>
      <c r="K21" s="11">
        <f t="shared" si="4"/>
        <v>4.7999999999996934E-3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11"/>
      <c r="H22" s="10"/>
      <c r="I22" s="10">
        <f t="shared" si="5"/>
        <v>10635</v>
      </c>
      <c r="J22" s="10">
        <f t="shared" si="3"/>
        <v>398526311906.74518</v>
      </c>
      <c r="K22" s="11">
        <f t="shared" si="4"/>
        <v>4.3000000000001926E-3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11"/>
      <c r="H23" s="10"/>
      <c r="I23" s="10">
        <f t="shared" si="5"/>
        <v>10635</v>
      </c>
      <c r="J23" s="10">
        <f t="shared" si="3"/>
        <v>396819985967.08667</v>
      </c>
      <c r="K23" s="11">
        <f t="shared" si="4"/>
        <v>3.7999999999998035E-3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11"/>
      <c r="H24" s="10"/>
      <c r="I24" s="10">
        <f t="shared" si="5"/>
        <v>10635</v>
      </c>
      <c r="J24" s="10">
        <f t="shared" si="3"/>
        <v>395317778409.13202</v>
      </c>
      <c r="K24" s="11">
        <f t="shared" si="4"/>
        <v>3.1000000000001027E-3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11"/>
      <c r="H25" s="10"/>
      <c r="I25" s="10">
        <f t="shared" si="5"/>
        <v>10635</v>
      </c>
      <c r="J25" s="10">
        <f t="shared" si="3"/>
        <v>394096080559.39783</v>
      </c>
      <c r="K25" s="11">
        <f t="shared" si="4"/>
        <v>2.3999999999999577E-3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11"/>
      <c r="H26" s="10"/>
      <c r="I26" s="10">
        <f t="shared" si="5"/>
        <v>10635</v>
      </c>
      <c r="J26" s="10">
        <f t="shared" si="3"/>
        <v>393152514524.53894</v>
      </c>
      <c r="K26" s="11">
        <f t="shared" si="4"/>
        <v>1.6000000000000458E-3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11"/>
      <c r="H27" s="10"/>
      <c r="I27" s="10">
        <f t="shared" si="5"/>
        <v>10635</v>
      </c>
      <c r="J27" s="10">
        <f t="shared" si="3"/>
        <v>392524475363.9566</v>
      </c>
      <c r="K27" s="11">
        <f t="shared" si="4"/>
        <v>1.1000000000001009E-3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11"/>
      <c r="H28" s="10"/>
      <c r="I28" s="10">
        <f t="shared" si="5"/>
        <v>10635</v>
      </c>
      <c r="J28" s="10">
        <f t="shared" si="3"/>
        <v>392093172873.79541</v>
      </c>
      <c r="K28" s="11">
        <f t="shared" si="4"/>
        <v>1.4999999999998348E-3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11"/>
      <c r="H29" s="10"/>
      <c r="I29" s="10">
        <f t="shared" si="5"/>
        <v>10635</v>
      </c>
      <c r="J29" s="10">
        <f t="shared" si="3"/>
        <v>391505914002.79126</v>
      </c>
      <c r="K29" s="11">
        <f t="shared" si="4"/>
        <v>2.4000000000001798E-3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11"/>
      <c r="H30" s="10"/>
      <c r="I30" s="10">
        <f t="shared" si="5"/>
        <v>10635</v>
      </c>
      <c r="J30" s="10">
        <f t="shared" si="3"/>
        <v>390568549484.02954</v>
      </c>
      <c r="K30" s="11">
        <f t="shared" si="4"/>
        <v>3.2000000000000917E-3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11"/>
      <c r="H31" s="10"/>
      <c r="I31" s="10">
        <f t="shared" si="5"/>
        <v>10635</v>
      </c>
      <c r="J31" s="10">
        <f t="shared" si="3"/>
        <v>389322716790.30054</v>
      </c>
      <c r="K31" s="11">
        <f t="shared" si="4"/>
        <v>3.8000000000000256E-3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11"/>
      <c r="H32" s="10"/>
      <c r="I32" s="10">
        <f t="shared" si="5"/>
        <v>10635</v>
      </c>
      <c r="J32" s="10">
        <f t="shared" si="3"/>
        <v>387848891004.48352</v>
      </c>
      <c r="K32" s="11">
        <f t="shared" si="4"/>
        <v>4.4000000000001815E-3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11"/>
      <c r="H33" s="10"/>
      <c r="I33" s="10">
        <f t="shared" si="5"/>
        <v>10635</v>
      </c>
      <c r="J33" s="10">
        <f t="shared" si="3"/>
        <v>386149831744.80634</v>
      </c>
      <c r="K33" s="11">
        <f t="shared" si="4"/>
        <v>4.9999999999998934E-3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11"/>
      <c r="H34" s="10"/>
      <c r="I34" s="10">
        <f t="shared" si="5"/>
        <v>10635</v>
      </c>
      <c r="J34" s="10">
        <f t="shared" ref="J34:J65" si="6">IF(I34="","",I34*C34)</f>
        <v>384228688303.28992</v>
      </c>
      <c r="K34" s="11">
        <f t="shared" ref="K34:K65" si="7">IFERROR(J34/J35-1,"")</f>
        <v>5.7000000000000384E-3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11"/>
      <c r="H35" s="10"/>
      <c r="I35" s="10">
        <f t="shared" ref="I35:I66" si="8">IF(H35&lt;&gt;"",H35,I34/(1+IF(G34="",0,G34)))</f>
        <v>10635</v>
      </c>
      <c r="J35" s="10">
        <f t="shared" si="6"/>
        <v>382050997616.87372</v>
      </c>
      <c r="K35" s="11">
        <f t="shared" si="7"/>
        <v>6.4999999999999503E-3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11"/>
      <c r="H36" s="10"/>
      <c r="I36" s="10">
        <f t="shared" si="8"/>
        <v>10635</v>
      </c>
      <c r="J36" s="10">
        <f t="shared" si="6"/>
        <v>379583703543.83881</v>
      </c>
      <c r="K36" s="11">
        <f t="shared" si="7"/>
        <v>7.4000000000000732E-3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11"/>
      <c r="H37" s="10"/>
      <c r="I37" s="10">
        <f t="shared" si="8"/>
        <v>10635</v>
      </c>
      <c r="J37" s="10">
        <f t="shared" si="6"/>
        <v>376795417454.67419</v>
      </c>
      <c r="K37" s="11">
        <f t="shared" si="7"/>
        <v>8.499999999999952E-3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11"/>
      <c r="H38" s="10"/>
      <c r="I38" s="10">
        <f t="shared" si="8"/>
        <v>10635</v>
      </c>
      <c r="J38" s="10">
        <f t="shared" si="6"/>
        <v>373619650426.05273</v>
      </c>
      <c r="K38" s="11">
        <f t="shared" si="7"/>
        <v>9.6000000000000529E-3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11"/>
      <c r="H39" s="10"/>
      <c r="I39" s="10">
        <f t="shared" si="8"/>
        <v>10635</v>
      </c>
      <c r="J39" s="10">
        <f t="shared" si="6"/>
        <v>370067007157.34222</v>
      </c>
      <c r="K39" s="11">
        <f t="shared" si="7"/>
        <v>1.0499999999999732E-2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11"/>
      <c r="H40" s="10"/>
      <c r="I40" s="10">
        <f t="shared" si="8"/>
        <v>10635</v>
      </c>
      <c r="J40" s="10">
        <f t="shared" si="6"/>
        <v>366221679522.35754</v>
      </c>
      <c r="K40" s="11">
        <f t="shared" si="7"/>
        <v>1.1100000000000332E-2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11"/>
      <c r="H41" s="10"/>
      <c r="I41" s="10">
        <f t="shared" si="8"/>
        <v>10635</v>
      </c>
      <c r="J41" s="10">
        <f t="shared" si="6"/>
        <v>362201245695.14136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11"/>
      <c r="H42" s="10"/>
      <c r="I42" s="10">
        <f t="shared" si="8"/>
        <v>10635</v>
      </c>
      <c r="J42" s="10">
        <f t="shared" si="6"/>
        <v>358154104316.36639</v>
      </c>
      <c r="K42" s="11">
        <f t="shared" si="7"/>
        <v>1.110000000000011E-2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11"/>
      <c r="H43" s="10"/>
      <c r="I43" s="10">
        <f t="shared" si="8"/>
        <v>10635</v>
      </c>
      <c r="J43" s="10">
        <f t="shared" si="6"/>
        <v>354222237480.33466</v>
      </c>
      <c r="K43" s="11">
        <f t="shared" si="7"/>
        <v>1.0599999999999943E-2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11"/>
      <c r="H44" s="10"/>
      <c r="I44" s="10">
        <f t="shared" si="8"/>
        <v>10635</v>
      </c>
      <c r="J44" s="10">
        <f t="shared" si="6"/>
        <v>350506864714.36243</v>
      </c>
      <c r="K44" s="11">
        <f t="shared" si="7"/>
        <v>1.0199999999999987E-2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11"/>
      <c r="H45" s="10"/>
      <c r="I45" s="10">
        <f t="shared" si="8"/>
        <v>10635</v>
      </c>
      <c r="J45" s="10">
        <f t="shared" si="6"/>
        <v>346967793223.48291</v>
      </c>
      <c r="K45" s="11">
        <f t="shared" si="7"/>
        <v>9.9000000000000199E-3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11"/>
      <c r="H46" s="10"/>
      <c r="I46" s="10">
        <f t="shared" si="8"/>
        <v>10635</v>
      </c>
      <c r="J46" s="10">
        <f t="shared" si="6"/>
        <v>343566485021.7674</v>
      </c>
      <c r="K46" s="11">
        <f t="shared" si="7"/>
        <v>9.6000000000000529E-3</v>
      </c>
      <c r="L46" t="inlineStr">
        <is>
          <t xml:space="preserve">Sokato Spice Bubble bursts - colonial spice-trade mania &amp; crash.</t>
        </is>
      </c>
      <c r="M46" t="inlineStr">
        <is>
          <t xml:space="preserve">Sokato Spice Bubble (1719-21): a speculative mania in colonial spice-trade companies after Oyreain's independence broke Siana's Sokato monopoly - ending in a crash.</t>
        </is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11"/>
      <c r="H47" s="10"/>
      <c r="I47" s="10">
        <f t="shared" si="8"/>
        <v>10635</v>
      </c>
      <c r="J47" s="10">
        <f t="shared" si="6"/>
        <v>340299608777.50336</v>
      </c>
      <c r="K47" s="11">
        <f t="shared" si="7"/>
        <v>9.5000000000000639E-3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11"/>
      <c r="H48" s="10"/>
      <c r="I48" s="10">
        <f t="shared" si="8"/>
        <v>10635</v>
      </c>
      <c r="J48" s="10">
        <f t="shared" si="6"/>
        <v>337097185515.1098</v>
      </c>
      <c r="K48" s="11">
        <f t="shared" si="7"/>
        <v>9.4999999999998419E-3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11"/>
      <c r="H49" s="10"/>
      <c r="I49" s="10">
        <f t="shared" si="8"/>
        <v>10635</v>
      </c>
      <c r="J49" s="10">
        <f t="shared" si="6"/>
        <v>333924898974.84875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11"/>
      <c r="H50" s="10"/>
      <c r="I50" s="10">
        <f t="shared" si="8"/>
        <v>10635</v>
      </c>
      <c r="J50" s="10">
        <f t="shared" si="6"/>
        <v>330749701837.21149</v>
      </c>
      <c r="K50" s="11">
        <f t="shared" si="7"/>
        <v>9.8000000000000309E-3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11"/>
      <c r="H51" s="10"/>
      <c r="I51" s="10">
        <f t="shared" si="8"/>
        <v>10635</v>
      </c>
      <c r="J51" s="10">
        <f t="shared" si="6"/>
        <v>327539811682.72083</v>
      </c>
      <c r="K51" s="11">
        <f t="shared" si="7"/>
        <v>1.0200000000000209E-2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11"/>
      <c r="H52" s="10"/>
      <c r="I52" s="10">
        <f t="shared" si="8"/>
        <v>10635</v>
      </c>
      <c r="J52" s="10">
        <f t="shared" si="6"/>
        <v>324232638767.29437</v>
      </c>
      <c r="K52" s="11">
        <f t="shared" si="7"/>
        <v>1.0599999999999943E-2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11"/>
      <c r="H53" s="10"/>
      <c r="I53" s="10">
        <f t="shared" si="8"/>
        <v>10635</v>
      </c>
      <c r="J53" s="10">
        <f t="shared" si="6"/>
        <v>320831821459.82031</v>
      </c>
      <c r="K53" s="11">
        <f t="shared" si="7"/>
        <v>1.0999999999999899E-2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11"/>
      <c r="H54" s="10"/>
      <c r="I54" s="10">
        <f t="shared" si="8"/>
        <v>10635</v>
      </c>
      <c r="J54" s="10">
        <f t="shared" si="6"/>
        <v>317341069693.19519</v>
      </c>
      <c r="K54" s="11">
        <f t="shared" si="7"/>
        <v>1.1200000000000099E-2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11"/>
      <c r="H55" s="10"/>
      <c r="I55" s="10">
        <f t="shared" si="8"/>
        <v>10635</v>
      </c>
      <c r="J55" s="10">
        <f t="shared" si="6"/>
        <v>313826216073.1756</v>
      </c>
      <c r="K55" s="11">
        <f t="shared" si="7"/>
        <v>1.1200000000000099E-2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11"/>
      <c r="H56" s="10"/>
      <c r="I56" s="10">
        <f t="shared" si="8"/>
        <v>10635</v>
      </c>
      <c r="J56" s="10">
        <f t="shared" si="6"/>
        <v>310350292793.88403</v>
      </c>
      <c r="K56" s="11">
        <f t="shared" si="7"/>
        <v>1.0999999999999899E-2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11"/>
      <c r="H57" s="10"/>
      <c r="I57" s="10">
        <f t="shared" si="8"/>
        <v>10635</v>
      </c>
      <c r="J57" s="10">
        <f t="shared" si="6"/>
        <v>306973583376.73993</v>
      </c>
      <c r="K57" s="11">
        <f t="shared" si="7"/>
        <v>1.0599999999999943E-2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11"/>
      <c r="H58" s="10"/>
      <c r="I58" s="10">
        <f t="shared" si="8"/>
        <v>10635</v>
      </c>
      <c r="J58" s="10">
        <f t="shared" si="6"/>
        <v>303753793169.14697</v>
      </c>
      <c r="K58" s="11">
        <f t="shared" si="7"/>
        <v>1.0099999999999998E-2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11"/>
      <c r="H59" s="10"/>
      <c r="I59" s="10">
        <f t="shared" si="8"/>
        <v>10635</v>
      </c>
      <c r="J59" s="10">
        <f t="shared" si="6"/>
        <v>300716555954.01147</v>
      </c>
      <c r="K59" s="11">
        <f t="shared" si="7"/>
        <v>9.500000000000286E-3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11"/>
      <c r="H60" s="10"/>
      <c r="I60" s="10">
        <f t="shared" si="8"/>
        <v>10635</v>
      </c>
      <c r="J60" s="10">
        <f t="shared" si="6"/>
        <v>297886632941.07123</v>
      </c>
      <c r="K60" s="11">
        <f t="shared" si="7"/>
        <v>8.8999999999996859E-3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11"/>
      <c r="H61" s="10"/>
      <c r="I61" s="10">
        <f t="shared" si="8"/>
        <v>10635</v>
      </c>
      <c r="J61" s="10">
        <f t="shared" si="6"/>
        <v>295258829359.76935</v>
      </c>
      <c r="K61" s="11">
        <f t="shared" si="7"/>
        <v>8.3999999999999631E-3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11"/>
      <c r="H62" s="10"/>
      <c r="I62" s="10">
        <f t="shared" si="8"/>
        <v>10635</v>
      </c>
      <c r="J62" s="10">
        <f t="shared" si="6"/>
        <v>292799315112.82166</v>
      </c>
      <c r="K62" s="11">
        <f t="shared" si="7"/>
        <v>8.0999999999999961E-3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11"/>
      <c r="H63" s="10"/>
      <c r="I63" s="10">
        <f t="shared" si="8"/>
        <v>10635</v>
      </c>
      <c r="J63" s="10">
        <f t="shared" si="6"/>
        <v>290446696868.18933</v>
      </c>
      <c r="K63" s="11">
        <f t="shared" si="7"/>
        <v>7.9000000000000181E-3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11"/>
      <c r="H64" s="10"/>
      <c r="I64" s="10">
        <f t="shared" si="8"/>
        <v>10635</v>
      </c>
      <c r="J64" s="10">
        <f t="shared" si="6"/>
        <v>288170152662.15826</v>
      </c>
      <c r="K64" s="11">
        <f t="shared" si="7"/>
        <v>7.8000000000000291E-3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11"/>
      <c r="H65" s="10"/>
      <c r="I65" s="10">
        <f t="shared" si="8"/>
        <v>10635</v>
      </c>
      <c r="J65" s="10">
        <f t="shared" si="6"/>
        <v>285939822050.16693</v>
      </c>
      <c r="K65" s="11">
        <f t="shared" si="7"/>
        <v>7.6000000000000512E-3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6">
        <f>SUM(F2)</f>
        <v>44529546</v>
      </c>
      <c r="G66" s="11"/>
      <c r="H66" s="10"/>
      <c r="I66" s="10">
        <f t="shared" si="8"/>
        <v>10635</v>
      </c>
      <c r="J66" s="10">
        <f t="shared" ref="J66:J97" si="9">IF(I66="","",I66*C66)</f>
        <v>283783070712.75</v>
      </c>
      <c r="K66" s="11">
        <f t="shared" ref="K66:K97" si="10">IFERROR(J66/J67-1,"")</f>
        <v>7.3000000000000842E-3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11"/>
      <c r="H67" s="10"/>
      <c r="I67" s="10">
        <f t="shared" ref="I67:I98" si="11">IF(H67&lt;&gt;"",H67,I66/(1+IF(G66="",0,G66)))</f>
        <v>10635</v>
      </c>
      <c r="J67" s="10">
        <f t="shared" si="9"/>
        <v>281726467500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5">
        <v>74091042</v>
      </c>
      <c r="G2" s="11"/>
      <c r="H2" s="10"/>
      <c r="I2" s="10">
        <f>IF(H2&lt;&gt;"",H2,4881)</f>
        <v>4881</v>
      </c>
      <c r="J2" s="10">
        <f t="shared" ref="J2:J33" si="3">IF(I2="","",I2*C2)</f>
        <v>361638962840.76056</v>
      </c>
      <c r="K2" s="11">
        <f t="shared" ref="K2:K33" si="4">IFERROR(J2/J3-1,"")</f>
        <v>1.1300000000000088E-2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11"/>
      <c r="H3" s="10"/>
      <c r="I3" s="10">
        <f t="shared" ref="I3:I34" si="5">IF(H3&lt;&gt;"",H3,I2/(1+IF(G2="",0,G2)))</f>
        <v>4881</v>
      </c>
      <c r="J3" s="10">
        <f t="shared" si="3"/>
        <v>357598104262.59326</v>
      </c>
      <c r="K3" s="11">
        <f t="shared" si="4"/>
        <v>1.1400000000000299E-2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11"/>
      <c r="H4" s="10"/>
      <c r="I4" s="10">
        <f t="shared" si="5"/>
        <v>4881</v>
      </c>
      <c r="J4" s="10">
        <f t="shared" si="3"/>
        <v>353567435497.91693</v>
      </c>
      <c r="K4" s="11">
        <f t="shared" si="4"/>
        <v>1.1500000000000066E-2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11"/>
      <c r="H5" s="10"/>
      <c r="I5" s="10">
        <f t="shared" si="5"/>
        <v>4881</v>
      </c>
      <c r="J5" s="10">
        <f t="shared" si="3"/>
        <v>349547637664.77203</v>
      </c>
      <c r="K5" s="11">
        <f t="shared" si="4"/>
        <v>1.1800000000000255E-2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11"/>
      <c r="H6" s="10"/>
      <c r="I6" s="10">
        <f t="shared" si="5"/>
        <v>4881</v>
      </c>
      <c r="J6" s="10">
        <f t="shared" si="3"/>
        <v>345471078933.35834</v>
      </c>
      <c r="K6" s="11">
        <f t="shared" si="4"/>
        <v>1.2299999999999756E-2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11"/>
      <c r="H7" s="10"/>
      <c r="I7" s="10">
        <f t="shared" si="5"/>
        <v>4881</v>
      </c>
      <c r="J7" s="10">
        <f t="shared" si="3"/>
        <v>341273415917.57227</v>
      </c>
      <c r="K7" s="11">
        <f t="shared" si="4"/>
        <v>1.2899999999999912E-2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11"/>
      <c r="H8" s="10"/>
      <c r="I8" s="10">
        <f t="shared" si="5"/>
        <v>4881</v>
      </c>
      <c r="J8" s="10">
        <f t="shared" si="3"/>
        <v>336927056883.77167</v>
      </c>
      <c r="K8" s="11">
        <f t="shared" si="4"/>
        <v>1.3400000000000079E-2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11"/>
      <c r="H9" s="10"/>
      <c r="I9" s="10">
        <f t="shared" si="5"/>
        <v>4881</v>
      </c>
      <c r="J9" s="10">
        <f t="shared" si="3"/>
        <v>332471932981.81531</v>
      </c>
      <c r="K9" s="11">
        <f t="shared" si="4"/>
        <v>1.3799999999999812E-2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11"/>
      <c r="H10" s="10"/>
      <c r="I10" s="10">
        <f t="shared" si="5"/>
        <v>4881</v>
      </c>
      <c r="J10" s="10">
        <f t="shared" si="3"/>
        <v>327946274395.16211</v>
      </c>
      <c r="K10" s="11">
        <f t="shared" si="4"/>
        <v>1.419999999999999E-2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11"/>
      <c r="H11" s="10"/>
      <c r="I11" s="10">
        <f t="shared" si="5"/>
        <v>4881</v>
      </c>
      <c r="J11" s="10">
        <f t="shared" si="3"/>
        <v>323354638528.0636</v>
      </c>
      <c r="K11" s="11">
        <f t="shared" si="4"/>
        <v>1.4599999999999946E-2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11"/>
      <c r="H12" s="10"/>
      <c r="I12" s="10">
        <f t="shared" si="5"/>
        <v>4881</v>
      </c>
      <c r="J12" s="10">
        <f t="shared" si="3"/>
        <v>318701595237.59473</v>
      </c>
      <c r="K12" s="11">
        <f t="shared" si="4"/>
        <v>1.4899999999999913E-2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11"/>
      <c r="H13" s="10"/>
      <c r="I13" s="10">
        <f t="shared" si="5"/>
        <v>4881</v>
      </c>
      <c r="J13" s="10">
        <f t="shared" si="3"/>
        <v>314022657638.77698</v>
      </c>
      <c r="K13" s="11">
        <f t="shared" si="4"/>
        <v>1.5200000000000102E-2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11"/>
      <c r="H14" s="10"/>
      <c r="I14" s="10">
        <f t="shared" si="5"/>
        <v>4881</v>
      </c>
      <c r="J14" s="10">
        <f t="shared" si="3"/>
        <v>309320978761.60059</v>
      </c>
      <c r="K14" s="11">
        <f t="shared" si="4"/>
        <v>1.5600000000000058E-2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11"/>
      <c r="H15" s="10"/>
      <c r="I15" s="10">
        <f t="shared" si="5"/>
        <v>4881</v>
      </c>
      <c r="J15" s="10">
        <f t="shared" si="3"/>
        <v>304569691573.06085</v>
      </c>
      <c r="K15" s="11">
        <f t="shared" si="4"/>
        <v>1.6200000000000214E-2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11"/>
      <c r="H16" s="10"/>
      <c r="I16" s="10">
        <f t="shared" si="5"/>
        <v>4881</v>
      </c>
      <c r="J16" s="10">
        <f t="shared" si="3"/>
        <v>299714319595.61188</v>
      </c>
      <c r="K16" s="11">
        <f t="shared" si="4"/>
        <v>1.6999999999999682E-2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11"/>
      <c r="H17" s="10"/>
      <c r="I17" s="10">
        <f t="shared" si="5"/>
        <v>4881</v>
      </c>
      <c r="J17" s="10">
        <f t="shared" si="3"/>
        <v>294704345718.39917</v>
      </c>
      <c r="K17" s="11">
        <f t="shared" si="4"/>
        <v>1.8100000000000005E-2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11"/>
      <c r="H18" s="10"/>
      <c r="I18" s="10">
        <f t="shared" si="5"/>
        <v>4881</v>
      </c>
      <c r="J18" s="10">
        <f t="shared" si="3"/>
        <v>289465028698.94818</v>
      </c>
      <c r="K18" s="11">
        <f t="shared" si="4"/>
        <v>1.9299999999999873E-2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11"/>
      <c r="H19" s="10"/>
      <c r="I19" s="10">
        <f t="shared" si="5"/>
        <v>4881</v>
      </c>
      <c r="J19" s="10">
        <f t="shared" si="3"/>
        <v>283984134895.4657</v>
      </c>
      <c r="K19" s="11">
        <f t="shared" si="4"/>
        <v>2.0500000000000185E-2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11"/>
      <c r="H20" s="10"/>
      <c r="I20" s="10">
        <f t="shared" si="5"/>
        <v>4881</v>
      </c>
      <c r="J20" s="10">
        <f t="shared" si="3"/>
        <v>278279407050.92175</v>
      </c>
      <c r="K20" s="11">
        <f t="shared" si="4"/>
        <v>2.1500000000000075E-2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11"/>
      <c r="H21" s="10"/>
      <c r="I21" s="10">
        <f t="shared" si="5"/>
        <v>4881</v>
      </c>
      <c r="J21" s="10">
        <f t="shared" si="3"/>
        <v>272422327019.99191</v>
      </c>
      <c r="K21" s="11">
        <f t="shared" si="4"/>
        <v>2.2199999999999998E-2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11"/>
      <c r="H22" s="10"/>
      <c r="I22" s="10">
        <f t="shared" si="5"/>
        <v>4881</v>
      </c>
      <c r="J22" s="10">
        <f t="shared" si="3"/>
        <v>266505896125.99484</v>
      </c>
      <c r="K22" s="11">
        <f t="shared" si="4"/>
        <v>2.2699999999999942E-2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11"/>
      <c r="H23" s="10"/>
      <c r="I23" s="10">
        <f t="shared" si="5"/>
        <v>4881</v>
      </c>
      <c r="J23" s="10">
        <f t="shared" si="3"/>
        <v>260590491958.5361</v>
      </c>
      <c r="K23" s="11">
        <f t="shared" si="4"/>
        <v>2.2999999999999909E-2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11"/>
      <c r="H24" s="10"/>
      <c r="I24" s="10">
        <f t="shared" si="5"/>
        <v>4881</v>
      </c>
      <c r="J24" s="10">
        <f t="shared" si="3"/>
        <v>254731663693.58371</v>
      </c>
      <c r="K24" s="11">
        <f t="shared" si="4"/>
        <v>2.3500000000000076E-2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11"/>
      <c r="H25" s="10"/>
      <c r="I25" s="10">
        <f t="shared" si="5"/>
        <v>4881</v>
      </c>
      <c r="J25" s="10">
        <f t="shared" si="3"/>
        <v>248882915186.69632</v>
      </c>
      <c r="K25" s="11">
        <f t="shared" si="4"/>
        <v>2.410000000000001E-2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11"/>
      <c r="H26" s="10"/>
      <c r="I26" s="10">
        <f t="shared" si="5"/>
        <v>4881</v>
      </c>
      <c r="J26" s="10">
        <f t="shared" si="3"/>
        <v>243025988855.284</v>
      </c>
      <c r="K26" s="11">
        <f t="shared" si="4"/>
        <v>2.4899999999999922E-2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11"/>
      <c r="H27" s="10"/>
      <c r="I27" s="10">
        <f t="shared" si="5"/>
        <v>4881</v>
      </c>
      <c r="J27" s="10">
        <f t="shared" si="3"/>
        <v>237121659532.91446</v>
      </c>
      <c r="K27" s="11">
        <f t="shared" si="4"/>
        <v>2.5600000000000067E-2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11"/>
      <c r="H28" s="10"/>
      <c r="I28" s="10">
        <f t="shared" si="5"/>
        <v>4881</v>
      </c>
      <c r="J28" s="10">
        <f t="shared" si="3"/>
        <v>231202866159.23795</v>
      </c>
      <c r="K28" s="11">
        <f t="shared" si="4"/>
        <v>2.629999999999999E-2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11"/>
      <c r="H29" s="10"/>
      <c r="I29" s="10">
        <f t="shared" si="5"/>
        <v>4881</v>
      </c>
      <c r="J29" s="10">
        <f t="shared" si="3"/>
        <v>225278053355.9758</v>
      </c>
      <c r="K29" s="11">
        <f t="shared" si="4"/>
        <v>2.6999999999999913E-2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11"/>
      <c r="H30" s="10"/>
      <c r="I30" s="10">
        <f t="shared" si="5"/>
        <v>4881</v>
      </c>
      <c r="J30" s="10">
        <f t="shared" si="3"/>
        <v>219355456042.8197</v>
      </c>
      <c r="K30" s="11">
        <f t="shared" si="4"/>
        <v>2.7700000000000058E-2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11"/>
      <c r="H31" s="10"/>
      <c r="I31" s="10">
        <f t="shared" si="5"/>
        <v>4881</v>
      </c>
      <c r="J31" s="10">
        <f t="shared" si="3"/>
        <v>213443082653.32263</v>
      </c>
      <c r="K31" s="11">
        <f t="shared" si="4"/>
        <v>2.8399999999999981E-2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11"/>
      <c r="H32" s="10"/>
      <c r="I32" s="10">
        <f t="shared" si="5"/>
        <v>4881</v>
      </c>
      <c r="J32" s="10">
        <f t="shared" si="3"/>
        <v>207548699585.10562</v>
      </c>
      <c r="K32" s="11">
        <f t="shared" si="4"/>
        <v>2.9199999999999893E-2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11"/>
      <c r="H33" s="10"/>
      <c r="I33" s="10">
        <f t="shared" si="5"/>
        <v>4881</v>
      </c>
      <c r="J33" s="10">
        <f t="shared" si="3"/>
        <v>201660221128.16327</v>
      </c>
      <c r="K33" s="11">
        <f t="shared" si="4"/>
        <v>3.0100000000000016E-2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11"/>
      <c r="H34" s="10"/>
      <c r="I34" s="10">
        <f t="shared" si="5"/>
        <v>4881</v>
      </c>
      <c r="J34" s="10">
        <f t="shared" ref="J34:J65" si="6">IF(I34="","",I34*C34)</f>
        <v>195767615889.87793</v>
      </c>
      <c r="K34" s="11">
        <f t="shared" ref="K34:K65" si="7">IFERROR(J34/J35-1,"")</f>
        <v>3.1199999999999894E-2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11"/>
      <c r="H35" s="10"/>
      <c r="I35" s="10">
        <f t="shared" ref="I35:I66" si="8">IF(H35&lt;&gt;"",H35,I34/(1+IF(G34="",0,G34)))</f>
        <v>4881</v>
      </c>
      <c r="J35" s="10">
        <f t="shared" si="6"/>
        <v>189844468473.50461</v>
      </c>
      <c r="K35" s="11">
        <f t="shared" si="7"/>
        <v>3.259999999999974E-2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11"/>
      <c r="H36" s="10"/>
      <c r="I36" s="10">
        <f t="shared" si="8"/>
        <v>4881</v>
      </c>
      <c r="J36" s="10">
        <f t="shared" si="6"/>
        <v>183850928213.73682</v>
      </c>
      <c r="K36" s="11">
        <f t="shared" si="7"/>
        <v>3.4100000000000019E-2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11"/>
      <c r="H37" s="10"/>
      <c r="I37" s="10">
        <f t="shared" si="8"/>
        <v>4881</v>
      </c>
      <c r="J37" s="10">
        <f t="shared" si="6"/>
        <v>177788345627.82788</v>
      </c>
      <c r="K37" s="11">
        <f t="shared" si="7"/>
        <v>3.4200000000000008E-2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11"/>
      <c r="H38" s="10"/>
      <c r="I38" s="10">
        <f t="shared" si="8"/>
        <v>4881</v>
      </c>
      <c r="J38" s="10">
        <f t="shared" si="6"/>
        <v>171909055915.51718</v>
      </c>
      <c r="K38" s="11">
        <f t="shared" si="7"/>
        <v>3.1700000000000061E-2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11"/>
      <c r="H39" s="10"/>
      <c r="I39" s="10">
        <f t="shared" si="8"/>
        <v>4881</v>
      </c>
      <c r="J39" s="10">
        <f t="shared" si="6"/>
        <v>166626980629.56012</v>
      </c>
      <c r="K39" s="11">
        <f t="shared" si="7"/>
        <v>2.729999999999988E-2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11"/>
      <c r="H40" s="10"/>
      <c r="I40" s="10">
        <f t="shared" si="8"/>
        <v>4881</v>
      </c>
      <c r="J40" s="10">
        <f t="shared" si="6"/>
        <v>162198949313.30685</v>
      </c>
      <c r="K40" s="11">
        <f t="shared" si="7"/>
        <v>2.4100000000000232E-2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11"/>
      <c r="H41" s="10"/>
      <c r="I41" s="10">
        <f t="shared" si="8"/>
        <v>4881</v>
      </c>
      <c r="J41" s="10">
        <f t="shared" si="6"/>
        <v>158381944452.01331</v>
      </c>
      <c r="K41" s="11">
        <f t="shared" si="7"/>
        <v>2.4000000000000021E-2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11"/>
      <c r="H42" s="10"/>
      <c r="I42" s="10">
        <f t="shared" si="8"/>
        <v>4881</v>
      </c>
      <c r="J42" s="10">
        <f t="shared" si="6"/>
        <v>154669867628.91925</v>
      </c>
      <c r="K42" s="11">
        <f t="shared" si="7"/>
        <v>2.7399999999999869E-2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11"/>
      <c r="H43" s="10"/>
      <c r="I43" s="10">
        <f t="shared" si="8"/>
        <v>4881</v>
      </c>
      <c r="J43" s="10">
        <f t="shared" si="6"/>
        <v>150544936372.31775</v>
      </c>
      <c r="K43" s="11">
        <f t="shared" si="7"/>
        <v>3.1099999999999905E-2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11"/>
      <c r="H44" s="10"/>
      <c r="I44" s="10">
        <f t="shared" si="8"/>
        <v>4881</v>
      </c>
      <c r="J44" s="10">
        <f t="shared" si="6"/>
        <v>146004205578.81656</v>
      </c>
      <c r="K44" s="11">
        <f t="shared" si="7"/>
        <v>3.2999999999999918E-2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11"/>
      <c r="H45" s="10"/>
      <c r="I45" s="10">
        <f t="shared" si="8"/>
        <v>4881</v>
      </c>
      <c r="J45" s="10">
        <f t="shared" si="6"/>
        <v>141339986039.51266</v>
      </c>
      <c r="K45" s="11">
        <f t="shared" si="7"/>
        <v>3.2299999999999995E-2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11"/>
      <c r="H46" s="10"/>
      <c r="I46" s="10">
        <f t="shared" si="8"/>
        <v>4881</v>
      </c>
      <c r="J46" s="10">
        <f t="shared" si="6"/>
        <v>136917549200.34163</v>
      </c>
      <c r="K46" s="11">
        <f t="shared" si="7"/>
        <v>3.1300000000000106E-2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11"/>
      <c r="H47" s="10"/>
      <c r="I47" s="10">
        <f t="shared" si="8"/>
        <v>4881</v>
      </c>
      <c r="J47" s="10">
        <f t="shared" si="6"/>
        <v>132762095607.81694</v>
      </c>
      <c r="K47" s="11">
        <f t="shared" si="7"/>
        <v>3.0999999999999917E-2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11"/>
      <c r="H48" s="10"/>
      <c r="I48" s="10">
        <f t="shared" si="8"/>
        <v>4881</v>
      </c>
      <c r="J48" s="10">
        <f t="shared" si="6"/>
        <v>128770218824.26474</v>
      </c>
      <c r="K48" s="11">
        <f t="shared" si="7"/>
        <v>3.1099999999999905E-2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11"/>
      <c r="H49" s="10"/>
      <c r="I49" s="10">
        <f t="shared" si="8"/>
        <v>4881</v>
      </c>
      <c r="J49" s="10">
        <f t="shared" si="6"/>
        <v>124886256254.74226</v>
      </c>
      <c r="K49" s="11">
        <f t="shared" si="7"/>
        <v>3.1199999999999894E-2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11"/>
      <c r="H50" s="10"/>
      <c r="I50" s="10">
        <f t="shared" si="8"/>
        <v>4881</v>
      </c>
      <c r="J50" s="10">
        <f t="shared" si="6"/>
        <v>121107696135.32028</v>
      </c>
      <c r="K50" s="11">
        <f t="shared" si="7"/>
        <v>3.1199999999999894E-2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11"/>
      <c r="H51" s="10"/>
      <c r="I51" s="10">
        <f t="shared" si="8"/>
        <v>4881</v>
      </c>
      <c r="J51" s="10">
        <f t="shared" si="6"/>
        <v>117443460177.77376</v>
      </c>
      <c r="K51" s="11">
        <f t="shared" si="7"/>
        <v>3.1199999999999894E-2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11"/>
      <c r="H52" s="10"/>
      <c r="I52" s="10">
        <f t="shared" si="8"/>
        <v>4881</v>
      </c>
      <c r="J52" s="10">
        <f t="shared" si="6"/>
        <v>113890089388.8419</v>
      </c>
      <c r="K52" s="11">
        <f t="shared" si="7"/>
        <v>3.1100000000000128E-2</v>
      </c>
      <c r="L52" t="inlineStr">
        <is>
          <t xml:space="preserve">Arten Fiscal Crisis - trade &amp; financial fallout across the region.</t>
        </is>
      </c>
      <c r="M52" t="inlineStr">
        <is>
          <t xml:space="preserve">Arten Fiscal Crisis (1713-15): capital flight and imperial-debt default triggered by the Arten Revolution and the 1715 Declaration of Rights.</t>
        </is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11"/>
      <c r="H53" s="10"/>
      <c r="I53" s="10">
        <f t="shared" si="8"/>
        <v>4881</v>
      </c>
      <c r="J53" s="10">
        <f t="shared" si="6"/>
        <v>110454940732.07439</v>
      </c>
      <c r="K53" s="11">
        <f t="shared" si="7"/>
        <v>3.0999999999999917E-2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11"/>
      <c r="H54" s="10"/>
      <c r="I54" s="10">
        <f t="shared" si="8"/>
        <v>4881</v>
      </c>
      <c r="J54" s="10">
        <f t="shared" si="6"/>
        <v>107133793144.59204</v>
      </c>
      <c r="K54" s="11">
        <f t="shared" si="7"/>
        <v>3.0799999999999939E-2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11"/>
      <c r="H55" s="10"/>
      <c r="I55" s="10">
        <f t="shared" si="8"/>
        <v>4881</v>
      </c>
      <c r="J55" s="10">
        <f t="shared" si="6"/>
        <v>103932667000.9624</v>
      </c>
      <c r="K55" s="11">
        <f t="shared" si="7"/>
        <v>3.0599999999999961E-2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11"/>
      <c r="H56" s="10"/>
      <c r="I56" s="10">
        <f t="shared" si="8"/>
        <v>4881</v>
      </c>
      <c r="J56" s="10">
        <f t="shared" si="6"/>
        <v>100846756259.42404</v>
      </c>
      <c r="K56" s="11">
        <f t="shared" si="7"/>
        <v>3.0399999999999983E-2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11"/>
      <c r="H57" s="10"/>
      <c r="I57" s="10">
        <f t="shared" si="8"/>
        <v>4881</v>
      </c>
      <c r="J57" s="10">
        <f t="shared" si="6"/>
        <v>97871463761.08699</v>
      </c>
      <c r="K57" s="11">
        <f t="shared" si="7"/>
        <v>3.0299999999999994E-2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11"/>
      <c r="H58" s="10"/>
      <c r="I58" s="10">
        <f t="shared" si="8"/>
        <v>4881</v>
      </c>
      <c r="J58" s="10">
        <f t="shared" si="6"/>
        <v>94993170689.204102</v>
      </c>
      <c r="K58" s="11">
        <f t="shared" si="7"/>
        <v>3.0399999999999983E-2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11"/>
      <c r="H59" s="10"/>
      <c r="I59" s="10">
        <f t="shared" si="8"/>
        <v>4881</v>
      </c>
      <c r="J59" s="10">
        <f t="shared" si="6"/>
        <v>92190577144.025726</v>
      </c>
      <c r="K59" s="11">
        <f t="shared" si="7"/>
        <v>3.0399999999999983E-2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11"/>
      <c r="H60" s="10"/>
      <c r="I60" s="10">
        <f t="shared" si="8"/>
        <v>4881</v>
      </c>
      <c r="J60" s="10">
        <f t="shared" si="6"/>
        <v>89470668812.136765</v>
      </c>
      <c r="K60" s="11">
        <f t="shared" si="7"/>
        <v>3.0200000000000005E-2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11"/>
      <c r="H61" s="10"/>
      <c r="I61" s="10">
        <f t="shared" si="8"/>
        <v>4881</v>
      </c>
      <c r="J61" s="10">
        <f t="shared" si="6"/>
        <v>86847863339.290207</v>
      </c>
      <c r="K61" s="11">
        <f t="shared" si="7"/>
        <v>3.0000000000000027E-2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11"/>
      <c r="H62" s="10"/>
      <c r="I62" s="10">
        <f t="shared" si="8"/>
        <v>4881</v>
      </c>
      <c r="J62" s="10">
        <f t="shared" si="6"/>
        <v>84318313921.640976</v>
      </c>
      <c r="K62" s="11">
        <f t="shared" si="7"/>
        <v>2.9800000000000049E-2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11"/>
      <c r="H63" s="10"/>
      <c r="I63" s="10">
        <f t="shared" si="8"/>
        <v>4881</v>
      </c>
      <c r="J63" s="10">
        <f t="shared" si="6"/>
        <v>81878339407.303329</v>
      </c>
      <c r="K63" s="11">
        <f t="shared" si="7"/>
        <v>2.949999999999986E-2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11"/>
      <c r="H64" s="10"/>
      <c r="I64" s="10">
        <f t="shared" si="8"/>
        <v>4881</v>
      </c>
      <c r="J64" s="10">
        <f t="shared" si="6"/>
        <v>79532141240.702606</v>
      </c>
      <c r="K64" s="11">
        <f t="shared" si="7"/>
        <v>2.9199999999999893E-2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11"/>
      <c r="H65" s="10"/>
      <c r="I65" s="10">
        <f t="shared" si="8"/>
        <v>4881</v>
      </c>
      <c r="J65" s="10">
        <f t="shared" si="6"/>
        <v>77275691061.700943</v>
      </c>
      <c r="K65" s="11">
        <f t="shared" si="7"/>
        <v>2.9000000000000137E-2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6">
        <f>SUM(F2)</f>
        <v>74091042</v>
      </c>
      <c r="G66" s="11"/>
      <c r="H66" s="10"/>
      <c r="I66" s="10">
        <f t="shared" si="8"/>
        <v>4881</v>
      </c>
      <c r="J66" s="10">
        <f t="shared" ref="J66:J97" si="9">IF(I66="","",I66*C66)</f>
        <v>75097853315.549988</v>
      </c>
      <c r="K66" s="11">
        <f t="shared" ref="K66:K97" si="10">IFERROR(J66/J67-1,"")</f>
        <v>2.8699999999999726E-2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11"/>
      <c r="H67" s="10"/>
      <c r="I67" s="10">
        <f t="shared" ref="I67:I98" si="11">IF(H67&lt;&gt;"",H67,I66/(1+IF(G66="",0,G66)))</f>
        <v>4881</v>
      </c>
      <c r="J67" s="10">
        <f t="shared" si="9"/>
        <v>73002676500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5">
        <v>1158763</v>
      </c>
      <c r="G2" s="11"/>
      <c r="H2" s="10"/>
      <c r="I2" s="10">
        <f>IF(H2&lt;&gt;"",H2,16786)</f>
        <v>16786</v>
      </c>
      <c r="J2" s="10">
        <f t="shared" ref="J2:J33" si="3">IF(I2="","",I2*C2)</f>
        <v>19449134969.096195</v>
      </c>
      <c r="K2" s="11">
        <f t="shared" ref="K2:K33" si="4">IFERROR(J2/J3-1,"")</f>
        <v>1.1800000000000255E-2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11"/>
      <c r="H3" s="10"/>
      <c r="I3" s="10">
        <f t="shared" ref="I3:I34" si="5">IF(H3&lt;&gt;"",H3,I2/(1+IF(G2="",0,G2)))</f>
        <v>16786</v>
      </c>
      <c r="J3" s="10">
        <f t="shared" si="3"/>
        <v>19222311691.140732</v>
      </c>
      <c r="K3" s="11">
        <f t="shared" si="4"/>
        <v>1.1500000000000066E-2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11"/>
      <c r="H4" s="10"/>
      <c r="I4" s="10">
        <f t="shared" si="5"/>
        <v>16786</v>
      </c>
      <c r="J4" s="10">
        <f t="shared" si="3"/>
        <v>19003768355.057568</v>
      </c>
      <c r="K4" s="11">
        <f t="shared" si="4"/>
        <v>1.089999999999991E-2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11"/>
      <c r="H5" s="10"/>
      <c r="I5" s="10">
        <f t="shared" si="5"/>
        <v>16786</v>
      </c>
      <c r="J5" s="10">
        <f t="shared" si="3"/>
        <v>18798860772.635838</v>
      </c>
      <c r="K5" s="11">
        <f t="shared" si="4"/>
        <v>1.0099999999999998E-2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11"/>
      <c r="H6" s="10"/>
      <c r="I6" s="10">
        <f t="shared" si="5"/>
        <v>16786</v>
      </c>
      <c r="J6" s="10">
        <f t="shared" si="3"/>
        <v>18610890775.800255</v>
      </c>
      <c r="K6" s="11">
        <f t="shared" si="4"/>
        <v>8.8999999999996859E-3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11"/>
      <c r="H7" s="10"/>
      <c r="I7" s="10">
        <f t="shared" si="5"/>
        <v>16786</v>
      </c>
      <c r="J7" s="10">
        <f t="shared" si="3"/>
        <v>18446715012.191753</v>
      </c>
      <c r="K7" s="11">
        <f t="shared" si="4"/>
        <v>7.8000000000000291E-3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11"/>
      <c r="H8" s="10"/>
      <c r="I8" s="10">
        <f t="shared" si="5"/>
        <v>16786</v>
      </c>
      <c r="J8" s="10">
        <f t="shared" si="3"/>
        <v>18303944247.064648</v>
      </c>
      <c r="K8" s="11">
        <f t="shared" si="4"/>
        <v>7.3000000000000842E-3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11"/>
      <c r="H9" s="10"/>
      <c r="I9" s="10">
        <f t="shared" si="5"/>
        <v>16786</v>
      </c>
      <c r="J9" s="10">
        <f t="shared" si="3"/>
        <v>18171293802.3078</v>
      </c>
      <c r="K9" s="11">
        <f t="shared" si="4"/>
        <v>6.7999999999999172E-3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11"/>
      <c r="H10" s="10"/>
      <c r="I10" s="10">
        <f t="shared" si="5"/>
        <v>16786</v>
      </c>
      <c r="J10" s="10">
        <f t="shared" si="3"/>
        <v>18048563570.031586</v>
      </c>
      <c r="K10" s="11">
        <f t="shared" si="4"/>
        <v>4.1999999999999815E-3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11"/>
      <c r="H11" s="10"/>
      <c r="I11" s="10">
        <f t="shared" si="5"/>
        <v>16786</v>
      </c>
      <c r="J11" s="10">
        <f t="shared" si="3"/>
        <v>17973076648.109528</v>
      </c>
      <c r="K11" s="11">
        <f t="shared" si="4"/>
        <v>-4.0999999999998815E-3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11"/>
      <c r="H12" s="10"/>
      <c r="I12" s="10">
        <f t="shared" si="5"/>
        <v>16786</v>
      </c>
      <c r="J12" s="10">
        <f t="shared" si="3"/>
        <v>18047069633.607315</v>
      </c>
      <c r="K12" s="11">
        <f t="shared" si="4"/>
        <v>-9.199999999999986E-3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11"/>
      <c r="H13" s="10"/>
      <c r="I13" s="10">
        <f t="shared" si="5"/>
        <v>16786</v>
      </c>
      <c r="J13" s="10">
        <f t="shared" si="3"/>
        <v>18214644361.735279</v>
      </c>
      <c r="K13" s="11">
        <f t="shared" si="4"/>
        <v>-6.9999999999998952E-3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11"/>
      <c r="H14" s="10"/>
      <c r="I14" s="10">
        <f t="shared" si="5"/>
        <v>16786</v>
      </c>
      <c r="J14" s="10">
        <f t="shared" si="3"/>
        <v>18343045681.505817</v>
      </c>
      <c r="K14" s="11">
        <f t="shared" si="4"/>
        <v>-4.8000000000000265E-3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11"/>
      <c r="H15" s="10"/>
      <c r="I15" s="10">
        <f t="shared" si="5"/>
        <v>16786</v>
      </c>
      <c r="J15" s="10">
        <f t="shared" si="3"/>
        <v>18431516962.927872</v>
      </c>
      <c r="K15" s="11">
        <f t="shared" si="4"/>
        <v>-3.0999999999998806E-3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11"/>
      <c r="H16" s="10"/>
      <c r="I16" s="10">
        <f t="shared" si="5"/>
        <v>16786</v>
      </c>
      <c r="J16" s="10">
        <f t="shared" si="3"/>
        <v>18488832343.191765</v>
      </c>
      <c r="K16" s="11">
        <f t="shared" si="4"/>
        <v>-1.4999999999999458E-3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11"/>
      <c r="H17" s="10"/>
      <c r="I17" s="10">
        <f t="shared" si="5"/>
        <v>16786</v>
      </c>
      <c r="J17" s="10">
        <f t="shared" si="3"/>
        <v>18516607254.072872</v>
      </c>
      <c r="K17" s="11">
        <f t="shared" si="4"/>
        <v>2.9999999999974492E-4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11"/>
      <c r="H18" s="10"/>
      <c r="I18" s="10">
        <f t="shared" si="5"/>
        <v>16786</v>
      </c>
      <c r="J18" s="10">
        <f t="shared" si="3"/>
        <v>18511053937.89151</v>
      </c>
      <c r="K18" s="11">
        <f t="shared" si="4"/>
        <v>2.6000000000001577E-3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11"/>
      <c r="H19" s="10"/>
      <c r="I19" s="10">
        <f t="shared" si="5"/>
        <v>16786</v>
      </c>
      <c r="J19" s="10">
        <f t="shared" si="3"/>
        <v>18463050007.871044</v>
      </c>
      <c r="K19" s="11">
        <f t="shared" si="4"/>
        <v>4.9999999999998934E-3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11"/>
      <c r="H20" s="10"/>
      <c r="I20" s="10">
        <f t="shared" si="5"/>
        <v>16786</v>
      </c>
      <c r="J20" s="10">
        <f t="shared" si="3"/>
        <v>18371194037.682632</v>
      </c>
      <c r="K20" s="11">
        <f t="shared" si="4"/>
        <v>8.0000000000000071E-3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11"/>
      <c r="H21" s="10"/>
      <c r="I21" s="10">
        <f t="shared" si="5"/>
        <v>16786</v>
      </c>
      <c r="J21" s="10">
        <f t="shared" si="3"/>
        <v>18225390910.399437</v>
      </c>
      <c r="K21" s="11">
        <f t="shared" si="4"/>
        <v>1.0799999999999921E-2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11"/>
      <c r="H22" s="10"/>
      <c r="I22" s="10">
        <f t="shared" si="5"/>
        <v>16786</v>
      </c>
      <c r="J22" s="10">
        <f t="shared" si="3"/>
        <v>18030659784.724415</v>
      </c>
      <c r="K22" s="11">
        <f t="shared" si="4"/>
        <v>1.2299999999999978E-2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11"/>
      <c r="H23" s="10"/>
      <c r="I23" s="10">
        <f t="shared" si="5"/>
        <v>16786</v>
      </c>
      <c r="J23" s="10">
        <f t="shared" si="3"/>
        <v>17811577382.914566</v>
      </c>
      <c r="K23" s="11">
        <f t="shared" si="4"/>
        <v>1.3600000000000056E-2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11"/>
      <c r="H24" s="10"/>
      <c r="I24" s="10">
        <f t="shared" si="5"/>
        <v>16786</v>
      </c>
      <c r="J24" s="10">
        <f t="shared" si="3"/>
        <v>17572590156.782326</v>
      </c>
      <c r="K24" s="11">
        <f t="shared" si="4"/>
        <v>1.5200000000000102E-2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11"/>
      <c r="H25" s="10"/>
      <c r="I25" s="10">
        <f t="shared" si="5"/>
        <v>16786</v>
      </c>
      <c r="J25" s="10">
        <f t="shared" si="3"/>
        <v>17309485970.03775</v>
      </c>
      <c r="K25" s="11">
        <f t="shared" si="4"/>
        <v>1.6799999999999926E-2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11"/>
      <c r="H26" s="10"/>
      <c r="I26" s="10">
        <f t="shared" si="5"/>
        <v>16786</v>
      </c>
      <c r="J26" s="10">
        <f t="shared" si="3"/>
        <v>17023491315.930124</v>
      </c>
      <c r="K26" s="11">
        <f t="shared" si="4"/>
        <v>1.8100000000000005E-2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11"/>
      <c r="H27" s="10"/>
      <c r="I27" s="10">
        <f t="shared" si="5"/>
        <v>16786</v>
      </c>
      <c r="J27" s="10">
        <f t="shared" si="3"/>
        <v>16720844038.827351</v>
      </c>
      <c r="K27" s="11">
        <f t="shared" si="4"/>
        <v>1.9300000000000095E-2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11"/>
      <c r="H28" s="10"/>
      <c r="I28" s="10">
        <f t="shared" si="5"/>
        <v>16786</v>
      </c>
      <c r="J28" s="10">
        <f t="shared" si="3"/>
        <v>16404242165.042038</v>
      </c>
      <c r="K28" s="11">
        <f t="shared" si="4"/>
        <v>2.0499999999999963E-2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11"/>
      <c r="H29" s="10"/>
      <c r="I29" s="10">
        <f t="shared" si="5"/>
        <v>16786</v>
      </c>
      <c r="J29" s="10">
        <f t="shared" si="3"/>
        <v>16074710597.787395</v>
      </c>
      <c r="K29" s="11">
        <f t="shared" si="4"/>
        <v>2.1400000000000086E-2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11"/>
      <c r="H30" s="10"/>
      <c r="I30" s="10">
        <f t="shared" si="5"/>
        <v>16786</v>
      </c>
      <c r="J30" s="10">
        <f t="shared" si="3"/>
        <v>15737919128.438805</v>
      </c>
      <c r="K30" s="11">
        <f t="shared" si="4"/>
        <v>2.2399999999999975E-2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11"/>
      <c r="H31" s="10"/>
      <c r="I31" s="10">
        <f t="shared" si="5"/>
        <v>16786</v>
      </c>
      <c r="J31" s="10">
        <f t="shared" si="3"/>
        <v>15393113388.535608</v>
      </c>
      <c r="K31" s="11">
        <f t="shared" si="4"/>
        <v>2.5700000000000056E-2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11"/>
      <c r="H32" s="10"/>
      <c r="I32" s="10">
        <f t="shared" si="5"/>
        <v>16786</v>
      </c>
      <c r="J32" s="10">
        <f t="shared" si="3"/>
        <v>15007422627.021164</v>
      </c>
      <c r="K32" s="11">
        <f t="shared" si="4"/>
        <v>2.8699999999999948E-2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11"/>
      <c r="H33" s="10"/>
      <c r="I33" s="10">
        <f t="shared" si="5"/>
        <v>16786</v>
      </c>
      <c r="J33" s="10">
        <f t="shared" si="3"/>
        <v>14588726185.497389</v>
      </c>
      <c r="K33" s="11">
        <f t="shared" si="4"/>
        <v>2.8999999999999915E-2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11"/>
      <c r="H34" s="10"/>
      <c r="I34" s="10">
        <f t="shared" si="5"/>
        <v>16786</v>
      </c>
      <c r="J34" s="10">
        <f t="shared" ref="J34:J65" si="6">IF(I34="","",I34*C34)</f>
        <v>14177576467.927492</v>
      </c>
      <c r="K34" s="11">
        <f t="shared" ref="K34:K65" si="7">IFERROR(J34/J35-1,"")</f>
        <v>2.9300000000000104E-2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11"/>
      <c r="H35" s="10"/>
      <c r="I35" s="10">
        <f t="shared" ref="I35:I66" si="8">IF(H35&lt;&gt;"",H35,I34/(1+IF(G34="",0,G34)))</f>
        <v>16786</v>
      </c>
      <c r="J35" s="10">
        <f t="shared" si="6"/>
        <v>13773998317.232576</v>
      </c>
      <c r="K35" s="11">
        <f t="shared" si="7"/>
        <v>2.9500000000000304E-2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11"/>
      <c r="H36" s="10"/>
      <c r="I36" s="10">
        <f t="shared" si="8"/>
        <v>16786</v>
      </c>
      <c r="J36" s="10">
        <f t="shared" si="6"/>
        <v>13379308710.279333</v>
      </c>
      <c r="K36" s="11">
        <f t="shared" si="7"/>
        <v>2.9500000000000082E-2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11"/>
      <c r="H37" s="10"/>
      <c r="I37" s="10">
        <f t="shared" si="8"/>
        <v>16786</v>
      </c>
      <c r="J37" s="10">
        <f t="shared" si="6"/>
        <v>12995928810.37332</v>
      </c>
      <c r="K37" s="11">
        <f t="shared" si="7"/>
        <v>2.949999999999986E-2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11"/>
      <c r="H38" s="10"/>
      <c r="I38" s="10">
        <f t="shared" si="8"/>
        <v>16786</v>
      </c>
      <c r="J38" s="10">
        <f t="shared" si="6"/>
        <v>12623534541.401962</v>
      </c>
      <c r="K38" s="11">
        <f t="shared" si="7"/>
        <v>2.9300000000000104E-2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11"/>
      <c r="H39" s="10"/>
      <c r="I39" s="10">
        <f t="shared" si="8"/>
        <v>16786</v>
      </c>
      <c r="J39" s="10">
        <f t="shared" si="6"/>
        <v>12264193666.960032</v>
      </c>
      <c r="K39" s="11">
        <f t="shared" si="7"/>
        <v>2.8899999999999704E-2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11"/>
      <c r="H40" s="10"/>
      <c r="I40" s="10">
        <f t="shared" si="8"/>
        <v>16786</v>
      </c>
      <c r="J40" s="10">
        <f t="shared" si="6"/>
        <v>11919713934.259922</v>
      </c>
      <c r="K40" s="11">
        <f t="shared" si="7"/>
        <v>2.9300000000000104E-2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11"/>
      <c r="H41" s="10"/>
      <c r="I41" s="10">
        <f t="shared" si="8"/>
        <v>16786</v>
      </c>
      <c r="J41" s="10">
        <f t="shared" si="6"/>
        <v>11580407980.433228</v>
      </c>
      <c r="K41" s="11">
        <f t="shared" si="7"/>
        <v>3.2599999999999962E-2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11"/>
      <c r="H42" s="10"/>
      <c r="I42" s="10">
        <f t="shared" si="8"/>
        <v>16786</v>
      </c>
      <c r="J42" s="10">
        <f t="shared" si="6"/>
        <v>11214805326.780193</v>
      </c>
      <c r="K42" s="11">
        <f t="shared" si="7"/>
        <v>3.5199999999999898E-2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11"/>
      <c r="H43" s="10"/>
      <c r="I43" s="10">
        <f t="shared" si="8"/>
        <v>16786</v>
      </c>
      <c r="J43" s="10">
        <f t="shared" si="6"/>
        <v>10833467278.574377</v>
      </c>
      <c r="K43" s="11">
        <f t="shared" si="7"/>
        <v>3.5099999999999909E-2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11"/>
      <c r="H44" s="10"/>
      <c r="I44" s="10">
        <f t="shared" si="8"/>
        <v>16786</v>
      </c>
      <c r="J44" s="10">
        <f t="shared" si="6"/>
        <v>10466106925.489691</v>
      </c>
      <c r="K44" s="11">
        <f t="shared" si="7"/>
        <v>3.5300000000000109E-2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11"/>
      <c r="H45" s="10"/>
      <c r="I45" s="10">
        <f t="shared" si="8"/>
        <v>16786</v>
      </c>
      <c r="J45" s="10">
        <f t="shared" si="6"/>
        <v>10109250386.834435</v>
      </c>
      <c r="K45" s="11">
        <f t="shared" si="7"/>
        <v>3.5800000000000054E-2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11"/>
      <c r="H46" s="10"/>
      <c r="I46" s="10">
        <f t="shared" si="8"/>
        <v>16786</v>
      </c>
      <c r="J46" s="10">
        <f t="shared" si="6"/>
        <v>9759847834.3641968</v>
      </c>
      <c r="K46" s="11">
        <f t="shared" si="7"/>
        <v>3.6299999999999999E-2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11"/>
      <c r="H47" s="10"/>
      <c r="I47" s="10">
        <f t="shared" si="8"/>
        <v>16786</v>
      </c>
      <c r="J47" s="10">
        <f t="shared" si="6"/>
        <v>9417975329.8892174</v>
      </c>
      <c r="K47" s="11">
        <f t="shared" si="7"/>
        <v>3.6699999999999955E-2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11"/>
      <c r="H48" s="10"/>
      <c r="I48" s="10">
        <f t="shared" si="8"/>
        <v>16786</v>
      </c>
      <c r="J48" s="10">
        <f t="shared" si="6"/>
        <v>9084571553.8624649</v>
      </c>
      <c r="K48" s="11">
        <f t="shared" si="7"/>
        <v>3.6999999999999922E-2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11"/>
      <c r="H49" s="10"/>
      <c r="I49" s="10">
        <f t="shared" si="8"/>
        <v>16786</v>
      </c>
      <c r="J49" s="10">
        <f t="shared" si="6"/>
        <v>8760435442.490324</v>
      </c>
      <c r="K49" s="11">
        <f t="shared" si="7"/>
        <v>3.7300000000000111E-2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11"/>
      <c r="H50" s="10"/>
      <c r="I50" s="10">
        <f t="shared" si="8"/>
        <v>16786</v>
      </c>
      <c r="J50" s="10">
        <f t="shared" si="6"/>
        <v>8445421230.5893412</v>
      </c>
      <c r="K50" s="11">
        <f t="shared" si="7"/>
        <v>3.6399999999999988E-2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11"/>
      <c r="H51" s="10"/>
      <c r="I51" s="10">
        <f t="shared" si="8"/>
        <v>16786</v>
      </c>
      <c r="J51" s="10">
        <f t="shared" si="6"/>
        <v>8148804738.1217108</v>
      </c>
      <c r="K51" s="11">
        <f t="shared" si="7"/>
        <v>3.2499999999999973E-2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11"/>
      <c r="H52" s="10"/>
      <c r="I52" s="10">
        <f t="shared" si="8"/>
        <v>16786</v>
      </c>
      <c r="J52" s="10">
        <f t="shared" si="6"/>
        <v>7892304831.1106167</v>
      </c>
      <c r="K52" s="11">
        <f t="shared" si="7"/>
        <v>2.970000000000006E-2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11"/>
      <c r="H53" s="10"/>
      <c r="I53" s="10">
        <f t="shared" si="8"/>
        <v>16786</v>
      </c>
      <c r="J53" s="10">
        <f t="shared" si="6"/>
        <v>7664664301.360218</v>
      </c>
      <c r="K53" s="11">
        <f t="shared" si="7"/>
        <v>2.9900000000000038E-2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11"/>
      <c r="H54" s="10"/>
      <c r="I54" s="10">
        <f t="shared" si="8"/>
        <v>16786</v>
      </c>
      <c r="J54" s="10">
        <f t="shared" si="6"/>
        <v>7442144190.0769176</v>
      </c>
      <c r="K54" s="11">
        <f t="shared" si="7"/>
        <v>3.0100000000000016E-2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11"/>
      <c r="H55" s="10"/>
      <c r="I55" s="10">
        <f t="shared" si="8"/>
        <v>16786</v>
      </c>
      <c r="J55" s="10">
        <f t="shared" si="6"/>
        <v>7224681283.4452162</v>
      </c>
      <c r="K55" s="11">
        <f t="shared" si="7"/>
        <v>3.0299999999999994E-2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11"/>
      <c r="H56" s="10"/>
      <c r="I56" s="10">
        <f t="shared" si="8"/>
        <v>16786</v>
      </c>
      <c r="J56" s="10">
        <f t="shared" si="6"/>
        <v>7012211281.6123619</v>
      </c>
      <c r="K56" s="11">
        <f t="shared" si="7"/>
        <v>3.0299999999999994E-2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11"/>
      <c r="H57" s="10"/>
      <c r="I57" s="10">
        <f t="shared" si="8"/>
        <v>16786</v>
      </c>
      <c r="J57" s="10">
        <f t="shared" si="6"/>
        <v>6805989790.9466772</v>
      </c>
      <c r="K57" s="11">
        <f t="shared" si="7"/>
        <v>3.0100000000000016E-2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11"/>
      <c r="H58" s="10"/>
      <c r="I58" s="10">
        <f t="shared" si="8"/>
        <v>16786</v>
      </c>
      <c r="J58" s="10">
        <f t="shared" si="6"/>
        <v>6607115611.0539532</v>
      </c>
      <c r="K58" s="11">
        <f t="shared" si="7"/>
        <v>2.970000000000006E-2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11"/>
      <c r="H59" s="10"/>
      <c r="I59" s="10">
        <f t="shared" si="8"/>
        <v>16786</v>
      </c>
      <c r="J59" s="10">
        <f t="shared" si="6"/>
        <v>6416544246.9204168</v>
      </c>
      <c r="K59" s="11">
        <f t="shared" si="7"/>
        <v>2.9099999999999904E-2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11"/>
      <c r="H60" s="10"/>
      <c r="I60" s="10">
        <f t="shared" si="8"/>
        <v>16786</v>
      </c>
      <c r="J60" s="10">
        <f t="shared" si="6"/>
        <v>6235102756.7004347</v>
      </c>
      <c r="K60" s="11">
        <f t="shared" si="7"/>
        <v>2.6399999999999757E-2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11"/>
      <c r="H61" s="10"/>
      <c r="I61" s="10">
        <f t="shared" si="8"/>
        <v>16786</v>
      </c>
      <c r="J61" s="10">
        <f t="shared" si="6"/>
        <v>6074729887.6660519</v>
      </c>
      <c r="K61" s="11">
        <f t="shared" si="7"/>
        <v>2.3500000000000076E-2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11"/>
      <c r="H62" s="10"/>
      <c r="I62" s="10">
        <f t="shared" si="8"/>
        <v>16786</v>
      </c>
      <c r="J62" s="10">
        <f t="shared" si="6"/>
        <v>5935251477.9345884</v>
      </c>
      <c r="K62" s="11">
        <f t="shared" si="7"/>
        <v>2.2800000000000153E-2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11"/>
      <c r="H63" s="10"/>
      <c r="I63" s="10">
        <f t="shared" si="8"/>
        <v>16786</v>
      </c>
      <c r="J63" s="10">
        <f t="shared" si="6"/>
        <v>5802944346.8269339</v>
      </c>
      <c r="K63" s="11">
        <f t="shared" si="7"/>
        <v>2.1800000000000042E-2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11"/>
      <c r="H64" s="10"/>
      <c r="I64" s="10">
        <f t="shared" si="8"/>
        <v>16786</v>
      </c>
      <c r="J64" s="10">
        <f t="shared" si="6"/>
        <v>5679139114.13871</v>
      </c>
      <c r="K64" s="11">
        <f t="shared" si="7"/>
        <v>2.079999999999993E-2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11"/>
      <c r="H65" s="10"/>
      <c r="I65" s="10">
        <f t="shared" si="8"/>
        <v>16786</v>
      </c>
      <c r="J65" s="10">
        <f t="shared" si="6"/>
        <v>5563419978.5841599</v>
      </c>
      <c r="K65" s="11">
        <f t="shared" si="7"/>
        <v>1.9800000000000262E-2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6">
        <f>SUM(F2)</f>
        <v>1158763</v>
      </c>
      <c r="G66" s="11"/>
      <c r="H66" s="10"/>
      <c r="I66" s="10">
        <f t="shared" si="8"/>
        <v>16786</v>
      </c>
      <c r="J66" s="10">
        <f t="shared" ref="J66:J97" si="9">IF(I66="","",I66*C66)</f>
        <v>5455402999.1999989</v>
      </c>
      <c r="K66" s="11">
        <f t="shared" ref="K66:K97" si="10">IFERROR(J66/J67-1,"")</f>
        <v>1.8799999999999706E-2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11"/>
      <c r="H67" s="10"/>
      <c r="I67" s="10">
        <f t="shared" ref="I67:I98" si="11">IF(H67&lt;&gt;"",H67,I66/(1+IF(G66="",0,G66)))</f>
        <v>16786</v>
      </c>
      <c r="J67" s="10">
        <f t="shared" si="9"/>
        <v>5354734000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5">
        <v>143925</v>
      </c>
      <c r="G2" s="11"/>
      <c r="H2" s="10"/>
      <c r="I2" s="10">
        <f>IF(H2&lt;&gt;"",H2,1071)</f>
        <v>1071</v>
      </c>
      <c r="J2" s="10">
        <f t="shared" ref="J2:J33" si="3">IF(I2="","",I2*C2)</f>
        <v>154142253.95295504</v>
      </c>
      <c r="K2" s="11">
        <f t="shared" ref="K2:K33" si="4">IFERROR(J2/J3-1,"")</f>
        <v>6.7999999999999172E-3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11"/>
      <c r="H3" s="10"/>
      <c r="I3" s="10">
        <f t="shared" ref="I3:I34" si="5">IF(H3&lt;&gt;"",H3,I2/(1+IF(G2="",0,G2)))</f>
        <v>1071</v>
      </c>
      <c r="J3" s="10">
        <f t="shared" si="3"/>
        <v>153101166.02399191</v>
      </c>
      <c r="K3" s="11">
        <f t="shared" si="4"/>
        <v>5.9000000000000163E-3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11"/>
      <c r="H4" s="10"/>
      <c r="I4" s="10">
        <f t="shared" si="5"/>
        <v>1071</v>
      </c>
      <c r="J4" s="10">
        <f t="shared" si="3"/>
        <v>152203167.33670536</v>
      </c>
      <c r="K4" s="11">
        <f t="shared" si="4"/>
        <v>4.6999999999999265E-3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11"/>
      <c r="H5" s="10"/>
      <c r="I5" s="10">
        <f t="shared" si="5"/>
        <v>1071</v>
      </c>
      <c r="J5" s="10">
        <f t="shared" si="3"/>
        <v>151491158.88992274</v>
      </c>
      <c r="K5" s="11">
        <f t="shared" si="4"/>
        <v>4.5999999999999375E-3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11"/>
      <c r="H6" s="10"/>
      <c r="I6" s="10">
        <f t="shared" si="5"/>
        <v>1071</v>
      </c>
      <c r="J6" s="10">
        <f t="shared" si="3"/>
        <v>150797490.43392667</v>
      </c>
      <c r="K6" s="11">
        <f t="shared" si="4"/>
        <v>2.3999999999999577E-3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11"/>
      <c r="H7" s="10"/>
      <c r="I7" s="10">
        <f t="shared" si="5"/>
        <v>1071</v>
      </c>
      <c r="J7" s="10">
        <f t="shared" si="3"/>
        <v>150436442.97079676</v>
      </c>
      <c r="K7" s="11">
        <f t="shared" si="4"/>
        <v>-4.7999999999998044E-3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11"/>
      <c r="H8" s="10"/>
      <c r="I8" s="10">
        <f t="shared" si="5"/>
        <v>1071</v>
      </c>
      <c r="J8" s="10">
        <f t="shared" si="3"/>
        <v>151162020.6700128</v>
      </c>
      <c r="K8" s="11">
        <f t="shared" si="4"/>
        <v>-4.3999999999999595E-3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11"/>
      <c r="H9" s="10"/>
      <c r="I9" s="10">
        <f t="shared" si="5"/>
        <v>1071</v>
      </c>
      <c r="J9" s="10">
        <f t="shared" si="3"/>
        <v>151830072.99117395</v>
      </c>
      <c r="K9" s="11">
        <f t="shared" si="4"/>
        <v>-4.5000000000000595E-3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11"/>
      <c r="H10" s="10"/>
      <c r="I10" s="10">
        <f t="shared" si="5"/>
        <v>1071</v>
      </c>
      <c r="J10" s="10">
        <f t="shared" si="3"/>
        <v>152516396.77666897</v>
      </c>
      <c r="K10" s="11">
        <f t="shared" si="4"/>
        <v>-4.7999999999999154E-3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11"/>
      <c r="H11" s="10"/>
      <c r="I11" s="10">
        <f t="shared" si="5"/>
        <v>1071</v>
      </c>
      <c r="J11" s="10">
        <f t="shared" si="3"/>
        <v>153252006.4074246</v>
      </c>
      <c r="K11" s="11">
        <f t="shared" si="4"/>
        <v>-5.3999999999999604E-3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11"/>
      <c r="H12" s="10"/>
      <c r="I12" s="10">
        <f t="shared" si="5"/>
        <v>1071</v>
      </c>
      <c r="J12" s="10">
        <f t="shared" si="3"/>
        <v>154084060.333224</v>
      </c>
      <c r="K12" s="11">
        <f t="shared" si="4"/>
        <v>-4.8000000000001375E-3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11"/>
      <c r="H13" s="10"/>
      <c r="I13" s="10">
        <f t="shared" si="5"/>
        <v>1071</v>
      </c>
      <c r="J13" s="10">
        <f t="shared" si="3"/>
        <v>154827231.0422267</v>
      </c>
      <c r="K13" s="11">
        <f t="shared" si="4"/>
        <v>-3.3999999999999586E-3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11"/>
      <c r="H14" s="10"/>
      <c r="I14" s="10">
        <f t="shared" si="5"/>
        <v>1071</v>
      </c>
      <c r="J14" s="10">
        <f t="shared" si="3"/>
        <v>155355439.53665131</v>
      </c>
      <c r="K14" s="11">
        <f t="shared" si="4"/>
        <v>-2.0000000000001128E-3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11"/>
      <c r="H15" s="10"/>
      <c r="I15" s="10">
        <f t="shared" si="5"/>
        <v>1071</v>
      </c>
      <c r="J15" s="10">
        <f t="shared" si="3"/>
        <v>155666773.08281696</v>
      </c>
      <c r="K15" s="11">
        <f t="shared" si="4"/>
        <v>4.0000000000000036E-3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11"/>
      <c r="H16" s="10"/>
      <c r="I16" s="10">
        <f t="shared" si="5"/>
        <v>1071</v>
      </c>
      <c r="J16" s="10">
        <f t="shared" si="3"/>
        <v>155046586.73587346</v>
      </c>
      <c r="K16" s="11">
        <f t="shared" si="4"/>
        <v>1.0299999999999976E-2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11"/>
      <c r="H17" s="10"/>
      <c r="I17" s="10">
        <f t="shared" si="5"/>
        <v>1071</v>
      </c>
      <c r="J17" s="10">
        <f t="shared" si="3"/>
        <v>153465888.0885613</v>
      </c>
      <c r="K17" s="11">
        <f t="shared" si="4"/>
        <v>1.1007818181818285E-2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11"/>
      <c r="H18" s="10"/>
      <c r="I18" s="10">
        <f t="shared" si="5"/>
        <v>1071</v>
      </c>
      <c r="J18" s="10">
        <f t="shared" si="3"/>
        <v>151794956.80315521</v>
      </c>
      <c r="K18" s="11">
        <f t="shared" si="4"/>
        <v>1.2192727272727355E-2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11"/>
      <c r="H19" s="10"/>
      <c r="I19" s="10">
        <f t="shared" si="5"/>
        <v>1071</v>
      </c>
      <c r="J19" s="10">
        <f t="shared" si="3"/>
        <v>149966456.69659632</v>
      </c>
      <c r="K19" s="11">
        <f t="shared" si="4"/>
        <v>1.3307272727272945E-2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11"/>
      <c r="H20" s="10"/>
      <c r="I20" s="10">
        <f t="shared" si="5"/>
        <v>1071</v>
      </c>
      <c r="J20" s="10">
        <f t="shared" si="3"/>
        <v>147997019.98878193</v>
      </c>
      <c r="K20" s="11">
        <f t="shared" si="4"/>
        <v>1.4221818181818335E-2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11"/>
      <c r="H21" s="10"/>
      <c r="I21" s="10">
        <f t="shared" si="5"/>
        <v>1071</v>
      </c>
      <c r="J21" s="10">
        <f t="shared" si="3"/>
        <v>145921747.42808646</v>
      </c>
      <c r="K21" s="11">
        <f t="shared" si="4"/>
        <v>1.473636363636377E-2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11"/>
      <c r="H22" s="10"/>
      <c r="I22" s="10">
        <f t="shared" si="5"/>
        <v>1071</v>
      </c>
      <c r="J22" s="10">
        <f t="shared" si="3"/>
        <v>143802619.73185608</v>
      </c>
      <c r="K22" s="11">
        <f t="shared" si="4"/>
        <v>1.5250909090909204E-2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11"/>
      <c r="H23" s="10"/>
      <c r="I23" s="10">
        <f t="shared" si="5"/>
        <v>1071</v>
      </c>
      <c r="J23" s="10">
        <f t="shared" si="3"/>
        <v>141642443.69957957</v>
      </c>
      <c r="K23" s="11">
        <f t="shared" si="4"/>
        <v>1.5765454545454416E-2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11"/>
      <c r="H24" s="10"/>
      <c r="I24" s="10">
        <f t="shared" si="5"/>
        <v>1071</v>
      </c>
      <c r="J24" s="10">
        <f t="shared" si="3"/>
        <v>139444044.94732815</v>
      </c>
      <c r="K24" s="11">
        <f t="shared" si="4"/>
        <v>1.6280000000000072E-2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11"/>
      <c r="H25" s="10"/>
      <c r="I25" s="10">
        <f t="shared" si="5"/>
        <v>1071</v>
      </c>
      <c r="J25" s="10">
        <f t="shared" si="3"/>
        <v>137210261.88385892</v>
      </c>
      <c r="K25" s="11">
        <f t="shared" si="4"/>
        <v>1.6794545454545506E-2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11"/>
      <c r="H26" s="10"/>
      <c r="I26" s="10">
        <f t="shared" si="5"/>
        <v>1071</v>
      </c>
      <c r="J26" s="10">
        <f t="shared" si="3"/>
        <v>134943939.75384748</v>
      </c>
      <c r="K26" s="11">
        <f t="shared" si="4"/>
        <v>1.7309090909091163E-2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11"/>
      <c r="H27" s="10"/>
      <c r="I27" s="10">
        <f t="shared" si="5"/>
        <v>1071</v>
      </c>
      <c r="J27" s="10">
        <f t="shared" si="3"/>
        <v>132647924.76518463</v>
      </c>
      <c r="K27" s="11">
        <f t="shared" si="4"/>
        <v>1.7823636363636375E-2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11"/>
      <c r="H28" s="10"/>
      <c r="I28" s="10">
        <f t="shared" si="5"/>
        <v>1071</v>
      </c>
      <c r="J28" s="10">
        <f t="shared" si="3"/>
        <v>130325058.31667845</v>
      </c>
      <c r="K28" s="11">
        <f t="shared" si="4"/>
        <v>1.8338181818181809E-2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11"/>
      <c r="H29" s="10"/>
      <c r="I29" s="10">
        <f t="shared" si="5"/>
        <v>1071</v>
      </c>
      <c r="J29" s="10">
        <f t="shared" si="3"/>
        <v>127978171.34185311</v>
      </c>
      <c r="K29" s="11">
        <f t="shared" si="4"/>
        <v>1.8852727272727243E-2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11"/>
      <c r="H30" s="10"/>
      <c r="I30" s="10">
        <f t="shared" si="5"/>
        <v>1071</v>
      </c>
      <c r="J30" s="10">
        <f t="shared" si="3"/>
        <v>125610078.78383568</v>
      </c>
      <c r="K30" s="11">
        <f t="shared" si="4"/>
        <v>1.93672727272729E-2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11"/>
      <c r="H31" s="10"/>
      <c r="I31" s="10">
        <f t="shared" si="5"/>
        <v>1071</v>
      </c>
      <c r="J31" s="10">
        <f t="shared" si="3"/>
        <v>123223574.21557333</v>
      </c>
      <c r="K31" s="11">
        <f t="shared" si="4"/>
        <v>1.9881818181818112E-2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11"/>
      <c r="H32" s="10"/>
      <c r="I32" s="10">
        <f t="shared" si="5"/>
        <v>1071</v>
      </c>
      <c r="J32" s="10">
        <f t="shared" si="3"/>
        <v>120821424.61883344</v>
      </c>
      <c r="K32" s="11">
        <f t="shared" si="4"/>
        <v>2.0396363636363768E-2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11"/>
      <c r="H33" s="10"/>
      <c r="I33" s="10">
        <f t="shared" si="5"/>
        <v>1071</v>
      </c>
      <c r="J33" s="10">
        <f t="shared" si="3"/>
        <v>118406365.33460861</v>
      </c>
      <c r="K33" s="11">
        <f t="shared" si="4"/>
        <v>2.0910909090909202E-2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11"/>
      <c r="H34" s="10"/>
      <c r="I34" s="10">
        <f t="shared" si="5"/>
        <v>1071</v>
      </c>
      <c r="J34" s="10">
        <f t="shared" ref="J34:J65" si="6">IF(I34="","",I34*C34)</f>
        <v>115981095.19668663</v>
      </c>
      <c r="K34" s="11">
        <f t="shared" ref="K34:K65" si="7">IFERROR(J34/J35-1,"")</f>
        <v>2.1425454545454636E-2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11"/>
      <c r="H35" s="10"/>
      <c r="I35" s="10">
        <f t="shared" ref="I35:I66" si="8">IF(H35&lt;&gt;"",H35,I34/(1+IF(G34="",0,G34)))</f>
        <v>1071</v>
      </c>
      <c r="J35" s="10">
        <f t="shared" si="6"/>
        <v>113548271.85925131</v>
      </c>
      <c r="K35" s="11">
        <f t="shared" si="7"/>
        <v>2.1940000000000071E-2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11"/>
      <c r="H36" s="10"/>
      <c r="I36" s="10">
        <f t="shared" si="8"/>
        <v>1071</v>
      </c>
      <c r="J36" s="10">
        <f t="shared" si="6"/>
        <v>111110507.32846478</v>
      </c>
      <c r="K36" s="11">
        <f t="shared" si="7"/>
        <v>2.2799999999999709E-2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11"/>
      <c r="H37" s="10"/>
      <c r="I37" s="10">
        <f t="shared" si="8"/>
        <v>1071</v>
      </c>
      <c r="J37" s="10">
        <f t="shared" si="6"/>
        <v>108633659.88312945</v>
      </c>
      <c r="K37" s="11">
        <f t="shared" si="7"/>
        <v>2.3300000000000098E-2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11"/>
      <c r="H38" s="10"/>
      <c r="I38" s="10">
        <f t="shared" si="8"/>
        <v>1071</v>
      </c>
      <c r="J38" s="10">
        <f t="shared" si="6"/>
        <v>106160128.88022029</v>
      </c>
      <c r="K38" s="11">
        <f t="shared" si="7"/>
        <v>2.3400000000000087E-2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11"/>
      <c r="H39" s="10"/>
      <c r="I39" s="10">
        <f t="shared" si="8"/>
        <v>1071</v>
      </c>
      <c r="J39" s="10">
        <f t="shared" si="6"/>
        <v>103732781.78641811</v>
      </c>
      <c r="K39" s="11">
        <f t="shared" si="7"/>
        <v>2.3600000000000065E-2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11"/>
      <c r="H40" s="10"/>
      <c r="I40" s="10">
        <f t="shared" si="8"/>
        <v>1071</v>
      </c>
      <c r="J40" s="10">
        <f t="shared" si="6"/>
        <v>101341131.09263198</v>
      </c>
      <c r="K40" s="11">
        <f t="shared" si="7"/>
        <v>2.410000000000001E-2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11"/>
      <c r="H41" s="10"/>
      <c r="I41" s="10">
        <f t="shared" si="8"/>
        <v>1071</v>
      </c>
      <c r="J41" s="10">
        <f t="shared" si="6"/>
        <v>98956284.632977232</v>
      </c>
      <c r="K41" s="11">
        <f t="shared" si="7"/>
        <v>2.4799999999999933E-2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11"/>
      <c r="H42" s="10"/>
      <c r="I42" s="10">
        <f t="shared" si="8"/>
        <v>1071</v>
      </c>
      <c r="J42" s="10">
        <f t="shared" si="6"/>
        <v>96561557.994708464</v>
      </c>
      <c r="K42" s="11">
        <f t="shared" si="7"/>
        <v>2.5500000000000078E-2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11"/>
      <c r="H43" s="10"/>
      <c r="I43" s="10">
        <f t="shared" si="8"/>
        <v>1071</v>
      </c>
      <c r="J43" s="10">
        <f t="shared" si="6"/>
        <v>94160466.108930722</v>
      </c>
      <c r="K43" s="11">
        <f t="shared" si="7"/>
        <v>2.6200000000000223E-2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11"/>
      <c r="H44" s="10"/>
      <c r="I44" s="10">
        <f t="shared" si="8"/>
        <v>1071</v>
      </c>
      <c r="J44" s="10">
        <f t="shared" si="6"/>
        <v>91756447.192487538</v>
      </c>
      <c r="K44" s="11">
        <f t="shared" si="7"/>
        <v>2.6699999999999946E-2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11"/>
      <c r="H45" s="10"/>
      <c r="I45" s="10">
        <f t="shared" si="8"/>
        <v>1071</v>
      </c>
      <c r="J45" s="10">
        <f t="shared" si="6"/>
        <v>89370261.217967793</v>
      </c>
      <c r="K45" s="11">
        <f t="shared" si="7"/>
        <v>2.7199999999999669E-2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11"/>
      <c r="H46" s="10"/>
      <c r="I46" s="10">
        <f t="shared" si="8"/>
        <v>1071</v>
      </c>
      <c r="J46" s="10">
        <f t="shared" si="6"/>
        <v>87003758.973878324</v>
      </c>
      <c r="K46" s="11">
        <f t="shared" si="7"/>
        <v>2.7700000000000058E-2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11"/>
      <c r="H47" s="10"/>
      <c r="I47" s="10">
        <f t="shared" si="8"/>
        <v>1071</v>
      </c>
      <c r="J47" s="10">
        <f t="shared" si="6"/>
        <v>84658712.633918762</v>
      </c>
      <c r="K47" s="11">
        <f t="shared" si="7"/>
        <v>2.8100000000000014E-2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11"/>
      <c r="H48" s="10"/>
      <c r="I48" s="10">
        <f t="shared" si="8"/>
        <v>1071</v>
      </c>
      <c r="J48" s="10">
        <f t="shared" si="6"/>
        <v>82344823.10467732</v>
      </c>
      <c r="K48" s="11">
        <f t="shared" si="7"/>
        <v>2.8399999999999759E-2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11"/>
      <c r="H49" s="10"/>
      <c r="I49" s="10">
        <f t="shared" si="8"/>
        <v>1071</v>
      </c>
      <c r="J49" s="10">
        <f t="shared" si="6"/>
        <v>80070812.042665631</v>
      </c>
      <c r="K49" s="11">
        <f t="shared" si="7"/>
        <v>2.849999999999997E-2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11"/>
      <c r="H50" s="10"/>
      <c r="I50" s="10">
        <f t="shared" si="8"/>
        <v>1071</v>
      </c>
      <c r="J50" s="10">
        <f t="shared" si="6"/>
        <v>77852029.210175633</v>
      </c>
      <c r="K50" s="11">
        <f t="shared" si="7"/>
        <v>2.870000000000017E-2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11"/>
      <c r="H51" s="10"/>
      <c r="I51" s="10">
        <f t="shared" si="8"/>
        <v>1071</v>
      </c>
      <c r="J51" s="10">
        <f t="shared" si="6"/>
        <v>75680012.841621101</v>
      </c>
      <c r="K51" s="11">
        <f t="shared" si="7"/>
        <v>2.8999999999999693E-2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11"/>
      <c r="H52" s="10"/>
      <c r="I52" s="10">
        <f t="shared" si="8"/>
        <v>1071</v>
      </c>
      <c r="J52" s="10">
        <f t="shared" si="6"/>
        <v>73547145.618679419</v>
      </c>
      <c r="K52" s="11">
        <f t="shared" si="7"/>
        <v>2.9199999999999893E-2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11"/>
      <c r="H53" s="10"/>
      <c r="I53" s="10">
        <f t="shared" si="8"/>
        <v>1071</v>
      </c>
      <c r="J53" s="10">
        <f t="shared" si="6"/>
        <v>71460499.046521008</v>
      </c>
      <c r="K53" s="11">
        <f t="shared" si="7"/>
        <v>2.9300000000000104E-2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11"/>
      <c r="H54" s="10"/>
      <c r="I54" s="10">
        <f t="shared" si="8"/>
        <v>1071</v>
      </c>
      <c r="J54" s="10">
        <f t="shared" si="6"/>
        <v>69426308.21579811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11"/>
      <c r="H55" s="10"/>
      <c r="I55" s="10">
        <f t="shared" si="8"/>
        <v>1071</v>
      </c>
      <c r="J55" s="10">
        <f t="shared" si="6"/>
        <v>67456576.191020325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11"/>
      <c r="H56" s="10"/>
      <c r="I56" s="10">
        <f t="shared" si="8"/>
        <v>1071</v>
      </c>
      <c r="J56" s="10">
        <f t="shared" si="6"/>
        <v>65568211.6942266</v>
      </c>
      <c r="K56" s="11">
        <f t="shared" si="7"/>
        <v>2.8000000000000025E-2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11"/>
      <c r="H57" s="10"/>
      <c r="I57" s="10">
        <f t="shared" si="8"/>
        <v>1071</v>
      </c>
      <c r="J57" s="10">
        <f t="shared" si="6"/>
        <v>63782307.09555117</v>
      </c>
      <c r="K57" s="11">
        <f t="shared" si="7"/>
        <v>2.6999999999999913E-2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11"/>
      <c r="H58" s="10"/>
      <c r="I58" s="10">
        <f t="shared" si="8"/>
        <v>1071</v>
      </c>
      <c r="J58" s="10">
        <f t="shared" si="6"/>
        <v>62105459.684080988</v>
      </c>
      <c r="K58" s="11">
        <f t="shared" si="7"/>
        <v>2.5600000000000067E-2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11"/>
      <c r="H59" s="10"/>
      <c r="I59" s="10">
        <f t="shared" si="8"/>
        <v>1071</v>
      </c>
      <c r="J59" s="10">
        <f t="shared" si="6"/>
        <v>60555245.40179503</v>
      </c>
      <c r="K59" s="11">
        <f t="shared" si="7"/>
        <v>2.410000000000001E-2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11"/>
      <c r="H60" s="10"/>
      <c r="I60" s="10">
        <f t="shared" si="8"/>
        <v>1071</v>
      </c>
      <c r="J60" s="10">
        <f t="shared" si="6"/>
        <v>59130207.403373718</v>
      </c>
      <c r="K60" s="11">
        <f t="shared" si="7"/>
        <v>2.2399999999999975E-2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11"/>
      <c r="H61" s="10"/>
      <c r="I61" s="10">
        <f t="shared" si="8"/>
        <v>1071</v>
      </c>
      <c r="J61" s="10">
        <f t="shared" si="6"/>
        <v>57834709.901578367</v>
      </c>
      <c r="K61" s="11">
        <f t="shared" si="7"/>
        <v>2.0999999999999908E-2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11"/>
      <c r="H62" s="10"/>
      <c r="I62" s="10">
        <f t="shared" si="8"/>
        <v>1071</v>
      </c>
      <c r="J62" s="10">
        <f t="shared" si="6"/>
        <v>56645161.509871081</v>
      </c>
      <c r="K62" s="11">
        <f t="shared" si="7"/>
        <v>1.980000000000004E-2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11"/>
      <c r="H63" s="10"/>
      <c r="I63" s="10">
        <f t="shared" si="8"/>
        <v>1071</v>
      </c>
      <c r="J63" s="10">
        <f t="shared" si="6"/>
        <v>55545363.316210121</v>
      </c>
      <c r="K63" s="11">
        <f t="shared" si="7"/>
        <v>1.8799999999999928E-2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11"/>
      <c r="H64" s="10"/>
      <c r="I64" s="10">
        <f t="shared" si="8"/>
        <v>1071</v>
      </c>
      <c r="J64" s="10">
        <f t="shared" si="6"/>
        <v>54520380.169032313</v>
      </c>
      <c r="K64" s="11">
        <f t="shared" si="7"/>
        <v>1.7900000000000027E-2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11"/>
      <c r="H65" s="10"/>
      <c r="I65" s="10">
        <f t="shared" si="8"/>
        <v>1071</v>
      </c>
      <c r="J65" s="10">
        <f t="shared" si="6"/>
        <v>53561627.044928096</v>
      </c>
      <c r="K65" s="11">
        <f t="shared" si="7"/>
        <v>1.6899999999999915E-2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6">
        <f>SUM(F2)</f>
        <v>143925</v>
      </c>
      <c r="G66" s="11"/>
      <c r="H66" s="10"/>
      <c r="I66" s="10">
        <f t="shared" si="8"/>
        <v>1071</v>
      </c>
      <c r="J66" s="10">
        <f t="shared" ref="J66:J97" si="9">IF(I66="","",I66*C66)</f>
        <v>52671479.049000002</v>
      </c>
      <c r="K66" s="11">
        <f t="shared" ref="K66:K97" si="10">IFERROR(J66/J67-1,"")</f>
        <v>1.5900000000000025E-2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11"/>
      <c r="H67" s="10"/>
      <c r="I67" s="10">
        <f t="shared" ref="I67:I98" si="11">IF(H67&lt;&gt;"",H67,I66/(1+IF(G66="",0,G66)))</f>
        <v>1071</v>
      </c>
      <c r="J67" s="10">
        <f t="shared" si="9"/>
        <v>51847110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5">
        <v>10360</v>
      </c>
      <c r="G2" s="11"/>
      <c r="H2" s="10"/>
      <c r="I2" s="10">
        <f>IF(H2&lt;&gt;"",H2,3532)</f>
        <v>3532</v>
      </c>
      <c r="J2" s="10">
        <f t="shared" ref="J2:J33" si="3">IF(I2="","",I2*C2)</f>
        <v>36569717.070098542</v>
      </c>
      <c r="K2" s="11">
        <f t="shared" ref="K2:K33" si="4">IFERROR(J2/J3-1,"")</f>
        <v>2.2299999999999986E-2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11"/>
      <c r="H3" s="10"/>
      <c r="I3" s="10">
        <f t="shared" ref="I3:I34" si="5">IF(H3&lt;&gt;"",H3,I2/(1+IF(G2="",0,G2)))</f>
        <v>3532</v>
      </c>
      <c r="J3" s="10">
        <f t="shared" si="3"/>
        <v>35772001.438030466</v>
      </c>
      <c r="K3" s="11">
        <f t="shared" si="4"/>
        <v>2.2400000000000198E-2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11"/>
      <c r="H4" s="10"/>
      <c r="I4" s="10">
        <f t="shared" si="5"/>
        <v>3532</v>
      </c>
      <c r="J4" s="10">
        <f t="shared" si="3"/>
        <v>34988264.31732244</v>
      </c>
      <c r="K4" s="11">
        <f t="shared" si="4"/>
        <v>2.2299999999999764E-2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11"/>
      <c r="H5" s="10"/>
      <c r="I5" s="10">
        <f t="shared" si="5"/>
        <v>3532</v>
      </c>
      <c r="J5" s="10">
        <f t="shared" si="3"/>
        <v>34225045.796070084</v>
      </c>
      <c r="K5" s="11">
        <f t="shared" si="4"/>
        <v>2.200000000000002E-2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11"/>
      <c r="H6" s="10"/>
      <c r="I6" s="10">
        <f t="shared" si="5"/>
        <v>3532</v>
      </c>
      <c r="J6" s="10">
        <f t="shared" si="3"/>
        <v>33488303.12727014</v>
      </c>
      <c r="K6" s="11">
        <f t="shared" si="4"/>
        <v>2.1500000000000075E-2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11"/>
      <c r="H7" s="10"/>
      <c r="I7" s="10">
        <f t="shared" si="5"/>
        <v>3532</v>
      </c>
      <c r="J7" s="10">
        <f t="shared" si="3"/>
        <v>32783458.763847418</v>
      </c>
      <c r="K7" s="11">
        <f t="shared" si="4"/>
        <v>2.1099999999999897E-2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11"/>
      <c r="H8" s="10"/>
      <c r="I8" s="10">
        <f t="shared" si="5"/>
        <v>3532</v>
      </c>
      <c r="J8" s="10">
        <f t="shared" si="3"/>
        <v>32106021.705853902</v>
      </c>
      <c r="K8" s="11">
        <f t="shared" si="4"/>
        <v>2.079999999999993E-2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11"/>
      <c r="H9" s="10"/>
      <c r="I9" s="10">
        <f t="shared" si="5"/>
        <v>3532</v>
      </c>
      <c r="J9" s="10">
        <f t="shared" si="3"/>
        <v>31451823.771408606</v>
      </c>
      <c r="K9" s="11">
        <f t="shared" si="4"/>
        <v>2.059999999999973E-2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11"/>
      <c r="H10" s="10"/>
      <c r="I10" s="10">
        <f t="shared" si="5"/>
        <v>3532</v>
      </c>
      <c r="J10" s="10">
        <f t="shared" si="3"/>
        <v>30816993.701164622</v>
      </c>
      <c r="K10" s="11">
        <f t="shared" si="4"/>
        <v>2.0300000000000207E-2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11"/>
      <c r="H11" s="10"/>
      <c r="I11" s="10">
        <f t="shared" si="5"/>
        <v>3532</v>
      </c>
      <c r="J11" s="10">
        <f t="shared" si="3"/>
        <v>30203855.435817521</v>
      </c>
      <c r="K11" s="11">
        <f t="shared" si="4"/>
        <v>2.0199999999999996E-2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11"/>
      <c r="H12" s="10"/>
      <c r="I12" s="10">
        <f t="shared" si="5"/>
        <v>3532</v>
      </c>
      <c r="J12" s="10">
        <f t="shared" si="3"/>
        <v>29605817.913955618</v>
      </c>
      <c r="K12" s="11">
        <f t="shared" si="4"/>
        <v>2.0300000000000207E-2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11"/>
      <c r="H13" s="10"/>
      <c r="I13" s="10">
        <f t="shared" si="5"/>
        <v>3532</v>
      </c>
      <c r="J13" s="10">
        <f t="shared" si="3"/>
        <v>29016777.334073912</v>
      </c>
      <c r="K13" s="11">
        <f t="shared" si="4"/>
        <v>2.0799999999999708E-2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11"/>
      <c r="H14" s="10"/>
      <c r="I14" s="10">
        <f t="shared" si="5"/>
        <v>3532</v>
      </c>
      <c r="J14" s="10">
        <f t="shared" si="3"/>
        <v>28425526.3852605</v>
      </c>
      <c r="K14" s="11">
        <f t="shared" si="4"/>
        <v>2.1500000000000075E-2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11"/>
      <c r="H15" s="10"/>
      <c r="I15" s="10">
        <f t="shared" si="5"/>
        <v>3532</v>
      </c>
      <c r="J15" s="10">
        <f t="shared" si="3"/>
        <v>27827240.70999559</v>
      </c>
      <c r="K15" s="11">
        <f t="shared" si="4"/>
        <v>2.2399999999999975E-2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11"/>
      <c r="H16" s="10"/>
      <c r="I16" s="10">
        <f t="shared" si="5"/>
        <v>3532</v>
      </c>
      <c r="J16" s="10">
        <f t="shared" si="3"/>
        <v>27217567.204612277</v>
      </c>
      <c r="K16" s="11">
        <f t="shared" si="4"/>
        <v>2.3500000000000076E-2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11"/>
      <c r="H17" s="10"/>
      <c r="I17" s="10">
        <f t="shared" si="5"/>
        <v>3532</v>
      </c>
      <c r="J17" s="10">
        <f t="shared" si="3"/>
        <v>26592640.160832707</v>
      </c>
      <c r="K17" s="11">
        <f t="shared" si="4"/>
        <v>2.4499999999999966E-2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11"/>
      <c r="H18" s="10"/>
      <c r="I18" s="10">
        <f t="shared" si="5"/>
        <v>3532</v>
      </c>
      <c r="J18" s="10">
        <f t="shared" si="3"/>
        <v>25956700.986659549</v>
      </c>
      <c r="K18" s="11">
        <f t="shared" si="4"/>
        <v>2.5400000000000089E-2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11"/>
      <c r="H19" s="10"/>
      <c r="I19" s="10">
        <f t="shared" si="5"/>
        <v>3532</v>
      </c>
      <c r="J19" s="10">
        <f t="shared" si="3"/>
        <v>25313732.189057484</v>
      </c>
      <c r="K19" s="11">
        <f t="shared" si="4"/>
        <v>2.6100000000000012E-2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11"/>
      <c r="H20" s="10"/>
      <c r="I20" s="10">
        <f t="shared" si="5"/>
        <v>3532</v>
      </c>
      <c r="J20" s="10">
        <f t="shared" si="3"/>
        <v>24669849.126846783</v>
      </c>
      <c r="K20" s="11">
        <f t="shared" si="4"/>
        <v>2.6699999999999946E-2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11"/>
      <c r="H21" s="10"/>
      <c r="I21" s="10">
        <f t="shared" si="5"/>
        <v>3532</v>
      </c>
      <c r="J21" s="10">
        <f t="shared" si="3"/>
        <v>24028293.685445394</v>
      </c>
      <c r="K21" s="11">
        <f t="shared" si="4"/>
        <v>2.7100000000000124E-2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11"/>
      <c r="H22" s="10"/>
      <c r="I22" s="10">
        <f t="shared" si="5"/>
        <v>3532</v>
      </c>
      <c r="J22" s="10">
        <f t="shared" si="3"/>
        <v>23394307.940264232</v>
      </c>
      <c r="K22" s="11">
        <f t="shared" si="4"/>
        <v>2.7199999999999891E-2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11"/>
      <c r="H23" s="10"/>
      <c r="I23" s="10">
        <f t="shared" si="5"/>
        <v>3532</v>
      </c>
      <c r="J23" s="10">
        <f t="shared" si="3"/>
        <v>22774832.496363159</v>
      </c>
      <c r="K23" s="11">
        <f t="shared" si="4"/>
        <v>2.7200000000000113E-2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11"/>
      <c r="H24" s="10"/>
      <c r="I24" s="10">
        <f t="shared" si="5"/>
        <v>3532</v>
      </c>
      <c r="J24" s="10">
        <f t="shared" si="3"/>
        <v>22171760.607830178</v>
      </c>
      <c r="K24" s="11">
        <f t="shared" si="4"/>
        <v>2.7099999999999902E-2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11"/>
      <c r="H25" s="10"/>
      <c r="I25" s="10">
        <f t="shared" si="5"/>
        <v>3532</v>
      </c>
      <c r="J25" s="10">
        <f t="shared" si="3"/>
        <v>21586759.427349024</v>
      </c>
      <c r="K25" s="11">
        <f t="shared" si="4"/>
        <v>2.7200000000000113E-2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11"/>
      <c r="H26" s="10"/>
      <c r="I26" s="10">
        <f t="shared" si="5"/>
        <v>3532</v>
      </c>
      <c r="J26" s="10">
        <f t="shared" si="3"/>
        <v>21015147.417590559</v>
      </c>
      <c r="K26" s="11">
        <f t="shared" si="4"/>
        <v>2.7399999999999869E-2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11"/>
      <c r="H27" s="10"/>
      <c r="I27" s="10">
        <f t="shared" si="5"/>
        <v>3532</v>
      </c>
      <c r="J27" s="10">
        <f t="shared" si="3"/>
        <v>20454688.940617636</v>
      </c>
      <c r="K27" s="11">
        <f t="shared" si="4"/>
        <v>2.7600000000000069E-2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11"/>
      <c r="H28" s="10"/>
      <c r="I28" s="10">
        <f t="shared" si="5"/>
        <v>3532</v>
      </c>
      <c r="J28" s="10">
        <f t="shared" si="3"/>
        <v>19905302.589156903</v>
      </c>
      <c r="K28" s="11">
        <f t="shared" si="4"/>
        <v>2.7600000000000069E-2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11"/>
      <c r="H29" s="10"/>
      <c r="I29" s="10">
        <f t="shared" si="5"/>
        <v>3532</v>
      </c>
      <c r="J29" s="10">
        <f t="shared" si="3"/>
        <v>19370672.040829994</v>
      </c>
      <c r="K29" s="11">
        <f t="shared" si="4"/>
        <v>2.7099999999999902E-2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11"/>
      <c r="H30" s="10"/>
      <c r="I30" s="10">
        <f t="shared" si="5"/>
        <v>3532</v>
      </c>
      <c r="J30" s="10">
        <f t="shared" si="3"/>
        <v>18859577.49082854</v>
      </c>
      <c r="K30" s="11">
        <f t="shared" si="4"/>
        <v>2.5900000000000034E-2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11"/>
      <c r="H31" s="10"/>
      <c r="I31" s="10">
        <f t="shared" si="5"/>
        <v>3532</v>
      </c>
      <c r="J31" s="10">
        <f t="shared" si="3"/>
        <v>18383446.233383898</v>
      </c>
      <c r="K31" s="11">
        <f t="shared" si="4"/>
        <v>2.410000000000001E-2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11"/>
      <c r="H32" s="10"/>
      <c r="I32" s="10">
        <f t="shared" si="5"/>
        <v>3532</v>
      </c>
      <c r="J32" s="10">
        <f t="shared" si="3"/>
        <v>17950831.201429449</v>
      </c>
      <c r="K32" s="11">
        <f t="shared" si="4"/>
        <v>2.1600000000000064E-2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11"/>
      <c r="H33" s="10"/>
      <c r="I33" s="10">
        <f t="shared" si="5"/>
        <v>3532</v>
      </c>
      <c r="J33" s="10">
        <f t="shared" si="3"/>
        <v>17571291.309151769</v>
      </c>
      <c r="K33" s="11">
        <f t="shared" si="4"/>
        <v>1.9099999999999895E-2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11"/>
      <c r="H34" s="10"/>
      <c r="I34" s="10">
        <f t="shared" si="5"/>
        <v>3532</v>
      </c>
      <c r="J34" s="10">
        <f t="shared" ref="J34:J65" si="6">IF(I34="","",I34*C34)</f>
        <v>17241969.688108891</v>
      </c>
      <c r="K34" s="11">
        <f t="shared" ref="K34:K65" si="7">IFERROR(J34/J35-1,"")</f>
        <v>1.6899999999999693E-2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11"/>
      <c r="H35" s="10"/>
      <c r="I35" s="10">
        <f t="shared" ref="I35:I66" si="8">IF(H35&lt;&gt;"",H35,I34/(1+IF(G34="",0,G34)))</f>
        <v>3532</v>
      </c>
      <c r="J35" s="10">
        <f t="shared" si="6"/>
        <v>16955423.038753953</v>
      </c>
      <c r="K35" s="11">
        <f t="shared" si="7"/>
        <v>1.5200000000000102E-2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11"/>
      <c r="H36" s="10"/>
      <c r="I36" s="10">
        <f t="shared" si="8"/>
        <v>3532</v>
      </c>
      <c r="J36" s="10">
        <f t="shared" si="6"/>
        <v>16701559.336834073</v>
      </c>
      <c r="K36" s="11">
        <f t="shared" si="7"/>
        <v>1.419999999999999E-2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11"/>
      <c r="H37" s="10"/>
      <c r="I37" s="10">
        <f t="shared" si="8"/>
        <v>3532</v>
      </c>
      <c r="J37" s="10">
        <f t="shared" si="6"/>
        <v>16467717.744857101</v>
      </c>
      <c r="K37" s="11">
        <f t="shared" si="7"/>
        <v>1.3600000000000056E-2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11"/>
      <c r="H38" s="10"/>
      <c r="I38" s="10">
        <f t="shared" si="8"/>
        <v>3532</v>
      </c>
      <c r="J38" s="10">
        <f t="shared" si="6"/>
        <v>16246761.78458672</v>
      </c>
      <c r="K38" s="11">
        <f t="shared" si="7"/>
        <v>1.3400000000000079E-2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11"/>
      <c r="H39" s="10"/>
      <c r="I39" s="10">
        <f t="shared" si="8"/>
        <v>3532</v>
      </c>
      <c r="J39" s="10">
        <f t="shared" si="6"/>
        <v>16031933.870719083</v>
      </c>
      <c r="K39" s="11">
        <f t="shared" si="7"/>
        <v>1.3400000000000301E-2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11"/>
      <c r="H40" s="10"/>
      <c r="I40" s="10">
        <f t="shared" si="8"/>
        <v>3532</v>
      </c>
      <c r="J40" s="10">
        <f t="shared" si="6"/>
        <v>15819946.586460508</v>
      </c>
      <c r="K40" s="11">
        <f t="shared" si="7"/>
        <v>1.3500000000000068E-2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11"/>
      <c r="H41" s="10"/>
      <c r="I41" s="10">
        <f t="shared" si="8"/>
        <v>3532</v>
      </c>
      <c r="J41" s="10">
        <f t="shared" si="6"/>
        <v>15609222.088268878</v>
      </c>
      <c r="K41" s="11">
        <f t="shared" si="7"/>
        <v>1.3400000000000079E-2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11"/>
      <c r="H42" s="10"/>
      <c r="I42" s="10">
        <f t="shared" si="8"/>
        <v>3532</v>
      </c>
      <c r="J42" s="10">
        <f t="shared" si="6"/>
        <v>15402824.243407222</v>
      </c>
      <c r="K42" s="11">
        <f t="shared" si="7"/>
        <v>1.3199999999999878E-2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11"/>
      <c r="H43" s="10"/>
      <c r="I43" s="10">
        <f t="shared" si="8"/>
        <v>3532</v>
      </c>
      <c r="J43" s="10">
        <f t="shared" si="6"/>
        <v>15202155.787018577</v>
      </c>
      <c r="K43" s="11">
        <f t="shared" si="7"/>
        <v>1.2699999999999934E-2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11"/>
      <c r="H44" s="10"/>
      <c r="I44" s="10">
        <f t="shared" si="8"/>
        <v>3532</v>
      </c>
      <c r="J44" s="10">
        <f t="shared" si="6"/>
        <v>15011509.61490923</v>
      </c>
      <c r="K44" s="11">
        <f t="shared" si="7"/>
        <v>1.2000000000000011E-2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11"/>
      <c r="H45" s="10"/>
      <c r="I45" s="10">
        <f t="shared" si="8"/>
        <v>3532</v>
      </c>
      <c r="J45" s="10">
        <f t="shared" si="6"/>
        <v>14833507.524613863</v>
      </c>
      <c r="K45" s="11">
        <f t="shared" si="7"/>
        <v>1.1300000000000088E-2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11"/>
      <c r="H46" s="10"/>
      <c r="I46" s="10">
        <f t="shared" si="8"/>
        <v>3532</v>
      </c>
      <c r="J46" s="10">
        <f t="shared" si="6"/>
        <v>14667761.816092022</v>
      </c>
      <c r="K46" s="11">
        <f t="shared" si="7"/>
        <v>1.0699999999999932E-2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11"/>
      <c r="H47" s="10"/>
      <c r="I47" s="10">
        <f t="shared" si="8"/>
        <v>3532</v>
      </c>
      <c r="J47" s="10">
        <f t="shared" si="6"/>
        <v>14512478.29830021</v>
      </c>
      <c r="K47" s="11">
        <f t="shared" si="7"/>
        <v>1.0199999999999987E-2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11"/>
      <c r="H48" s="10"/>
      <c r="I48" s="10">
        <f t="shared" si="8"/>
        <v>3532</v>
      </c>
      <c r="J48" s="10">
        <f t="shared" si="6"/>
        <v>14365945.652643248</v>
      </c>
      <c r="K48" s="11">
        <f t="shared" si="7"/>
        <v>1.0000000000000009E-2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11"/>
      <c r="H49" s="10"/>
      <c r="I49" s="10">
        <f t="shared" si="8"/>
        <v>3532</v>
      </c>
      <c r="J49" s="10">
        <f t="shared" si="6"/>
        <v>14223708.566973513</v>
      </c>
      <c r="K49" s="11">
        <f t="shared" si="7"/>
        <v>9.9999999999997868E-3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11"/>
      <c r="H50" s="10"/>
      <c r="I50" s="10">
        <f t="shared" si="8"/>
        <v>3532</v>
      </c>
      <c r="J50" s="10">
        <f t="shared" si="6"/>
        <v>14082879.769280707</v>
      </c>
      <c r="K50" s="11">
        <f t="shared" si="7"/>
        <v>1.0399999999999965E-2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11"/>
      <c r="H51" s="10"/>
      <c r="I51" s="10">
        <f t="shared" si="8"/>
        <v>3532</v>
      </c>
      <c r="J51" s="10">
        <f t="shared" si="6"/>
        <v>13937925.345685577</v>
      </c>
      <c r="K51" s="11">
        <f t="shared" si="7"/>
        <v>1.110000000000011E-2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11"/>
      <c r="H52" s="10"/>
      <c r="I52" s="10">
        <f t="shared" si="8"/>
        <v>3532</v>
      </c>
      <c r="J52" s="10">
        <f t="shared" si="6"/>
        <v>13784912.813456211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11"/>
      <c r="H53" s="10"/>
      <c r="I53" s="10">
        <f t="shared" si="8"/>
        <v>3532</v>
      </c>
      <c r="J53" s="10">
        <f t="shared" si="6"/>
        <v>13621455.34926503</v>
      </c>
      <c r="K53" s="11">
        <f t="shared" si="7"/>
        <v>1.2899999999999912E-2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11"/>
      <c r="H54" s="10"/>
      <c r="I54" s="10">
        <f t="shared" si="8"/>
        <v>3532</v>
      </c>
      <c r="J54" s="10">
        <f t="shared" si="6"/>
        <v>13447976.453021059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11"/>
      <c r="H55" s="10"/>
      <c r="I55" s="10">
        <f t="shared" si="8"/>
        <v>3532</v>
      </c>
      <c r="J55" s="10">
        <f t="shared" si="6"/>
        <v>13266229.114157107</v>
      </c>
      <c r="K55" s="11">
        <f t="shared" si="7"/>
        <v>1.4299999999999979E-2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11"/>
      <c r="H56" s="10"/>
      <c r="I56" s="10">
        <f t="shared" si="8"/>
        <v>3532</v>
      </c>
      <c r="J56" s="10">
        <f t="shared" si="6"/>
        <v>13079196.602737954</v>
      </c>
      <c r="K56" s="11">
        <f t="shared" si="7"/>
        <v>1.4599999999999946E-2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11"/>
      <c r="H57" s="10"/>
      <c r="I57" s="10">
        <f t="shared" si="8"/>
        <v>3532</v>
      </c>
      <c r="J57" s="10">
        <f t="shared" si="6"/>
        <v>12890988.175377443</v>
      </c>
      <c r="K57" s="11">
        <f t="shared" si="7"/>
        <v>1.4499999999999735E-2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11"/>
      <c r="H58" s="10"/>
      <c r="I58" s="10">
        <f t="shared" si="8"/>
        <v>3532</v>
      </c>
      <c r="J58" s="10">
        <f t="shared" si="6"/>
        <v>12706740.439011775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11"/>
      <c r="H59" s="10"/>
      <c r="I59" s="10">
        <f t="shared" si="8"/>
        <v>3532</v>
      </c>
      <c r="J59" s="10">
        <f t="shared" si="6"/>
        <v>12530066.50134284</v>
      </c>
      <c r="K59" s="11">
        <f t="shared" si="7"/>
        <v>1.3400000000000079E-2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11"/>
      <c r="H60" s="10"/>
      <c r="I60" s="10">
        <f t="shared" si="8"/>
        <v>3532</v>
      </c>
      <c r="J60" s="10">
        <f t="shared" si="6"/>
        <v>12364383.758972606</v>
      </c>
      <c r="K60" s="11">
        <f t="shared" si="7"/>
        <v>1.2399999999999745E-2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11"/>
      <c r="H61" s="10"/>
      <c r="I61" s="10">
        <f t="shared" si="8"/>
        <v>3532</v>
      </c>
      <c r="J61" s="10">
        <f t="shared" si="6"/>
        <v>12212943.262517393</v>
      </c>
      <c r="K61" s="11">
        <f t="shared" si="7"/>
        <v>1.1300000000000088E-2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11"/>
      <c r="H62" s="10"/>
      <c r="I62" s="10">
        <f t="shared" si="8"/>
        <v>3532</v>
      </c>
      <c r="J62" s="10">
        <f t="shared" si="6"/>
        <v>12076479.049260745</v>
      </c>
      <c r="K62" s="11">
        <f t="shared" si="7"/>
        <v>1.0299999999999976E-2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11"/>
      <c r="H63" s="10"/>
      <c r="I63" s="10">
        <f t="shared" si="8"/>
        <v>3532</v>
      </c>
      <c r="J63" s="10">
        <f t="shared" si="6"/>
        <v>11953359.446957087</v>
      </c>
      <c r="K63" s="11">
        <f t="shared" si="7"/>
        <v>9.600000000000275E-3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11"/>
      <c r="H64" s="10"/>
      <c r="I64" s="10">
        <f t="shared" si="8"/>
        <v>3532</v>
      </c>
      <c r="J64" s="10">
        <f t="shared" si="6"/>
        <v>11839698.342865575</v>
      </c>
      <c r="K64" s="11">
        <f t="shared" si="7"/>
        <v>9.5000000000000639E-3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11"/>
      <c r="H65" s="10"/>
      <c r="I65" s="10">
        <f t="shared" si="8"/>
        <v>3532</v>
      </c>
      <c r="J65" s="10">
        <f t="shared" si="6"/>
        <v>11728279.68585</v>
      </c>
      <c r="K65" s="11">
        <f t="shared" si="7"/>
        <v>1.0099999999999998E-2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6">
        <f>SUM(F2)</f>
        <v>10360</v>
      </c>
      <c r="G66" s="11"/>
      <c r="H66" s="10"/>
      <c r="I66" s="10">
        <f t="shared" si="8"/>
        <v>3532</v>
      </c>
      <c r="J66" s="10">
        <f t="shared" ref="J66:J97" si="9">IF(I66="","",I66*C66)</f>
        <v>11611008.5</v>
      </c>
      <c r="K66" s="11">
        <f t="shared" ref="K66:K97" si="10">IFERROR(J66/J67-1,"")</f>
        <v>1.1500000000000066E-2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11"/>
      <c r="H67" s="10"/>
      <c r="I67" s="10">
        <f t="shared" ref="I67:I98" si="11">IF(H67&lt;&gt;"",H67,I66/(1+IF(G66="",0,G66)))</f>
        <v>3532</v>
      </c>
      <c r="J67" s="10">
        <f t="shared" si="9"/>
        <v>11479000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5">
        <v>27844193</v>
      </c>
      <c r="G2" s="11"/>
      <c r="H2" s="10"/>
      <c r="I2" s="10">
        <f>IF(H2&lt;&gt;"",H2,15516)</f>
        <v>15516</v>
      </c>
      <c r="J2" s="10">
        <f t="shared" ref="J2:J33" si="3">IF(I2="","",I2*C2)</f>
        <v>432035169487.38245</v>
      </c>
      <c r="K2" s="11">
        <f t="shared" ref="K2:K33" si="4">IFERROR(J2/J3-1,"")</f>
        <v>8.9999999999990088E-4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11"/>
      <c r="H3" s="10"/>
      <c r="I3" s="10">
        <f t="shared" ref="I3:I34" si="5">IF(H3&lt;&gt;"",H3,I2/(1+IF(G2="",0,G2)))</f>
        <v>15516</v>
      </c>
      <c r="J3" s="10">
        <f t="shared" si="3"/>
        <v>431646687468.66071</v>
      </c>
      <c r="K3" s="11">
        <f t="shared" si="4"/>
        <v>1.1000000000001009E-3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11"/>
      <c r="H4" s="10"/>
      <c r="I4" s="10">
        <f t="shared" si="5"/>
        <v>15516</v>
      </c>
      <c r="J4" s="10">
        <f t="shared" si="3"/>
        <v>431172397831.04651</v>
      </c>
      <c r="K4" s="11">
        <f t="shared" si="4"/>
        <v>1.5000000000000568E-3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11"/>
      <c r="H5" s="10"/>
      <c r="I5" s="10">
        <f t="shared" si="5"/>
        <v>15516</v>
      </c>
      <c r="J5" s="10">
        <f t="shared" si="3"/>
        <v>430526607919.16772</v>
      </c>
      <c r="K5" s="11">
        <f t="shared" si="4"/>
        <v>2.0999999999999908E-3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11"/>
      <c r="H6" s="10"/>
      <c r="I6" s="10">
        <f t="shared" si="5"/>
        <v>15516</v>
      </c>
      <c r="J6" s="10">
        <f t="shared" si="3"/>
        <v>429624396686.12689</v>
      </c>
      <c r="K6" s="11">
        <f t="shared" si="4"/>
        <v>2.7999999999999137E-3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11"/>
      <c r="H7" s="10"/>
      <c r="I7" s="10">
        <f t="shared" si="5"/>
        <v>15516</v>
      </c>
      <c r="J7" s="10">
        <f t="shared" si="3"/>
        <v>428424807225.89441</v>
      </c>
      <c r="K7" s="11">
        <f t="shared" si="4"/>
        <v>3.4000000000000696E-3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11"/>
      <c r="H8" s="10"/>
      <c r="I8" s="10">
        <f t="shared" si="5"/>
        <v>15516</v>
      </c>
      <c r="J8" s="10">
        <f t="shared" si="3"/>
        <v>426973098690.34717</v>
      </c>
      <c r="K8" s="11">
        <f t="shared" si="4"/>
        <v>4.0999999999999925E-3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11"/>
      <c r="H9" s="10"/>
      <c r="I9" s="10">
        <f t="shared" si="5"/>
        <v>15516</v>
      </c>
      <c r="J9" s="10">
        <f t="shared" si="3"/>
        <v>425229657096.2525</v>
      </c>
      <c r="K9" s="11">
        <f t="shared" si="4"/>
        <v>4.6999999999999265E-3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11"/>
      <c r="H10" s="10"/>
      <c r="I10" s="10">
        <f t="shared" si="5"/>
        <v>15516</v>
      </c>
      <c r="J10" s="10">
        <f t="shared" si="3"/>
        <v>423240427088.93457</v>
      </c>
      <c r="K10" s="11">
        <f t="shared" si="4"/>
        <v>5.3000000000000824E-3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11"/>
      <c r="H11" s="10"/>
      <c r="I11" s="10">
        <f t="shared" si="5"/>
        <v>15516</v>
      </c>
      <c r="J11" s="10">
        <f t="shared" si="3"/>
        <v>421009078970.39148</v>
      </c>
      <c r="K11" s="11">
        <f t="shared" si="4"/>
        <v>5.8000000000000274E-3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11"/>
      <c r="H12" s="10"/>
      <c r="I12" s="10">
        <f t="shared" si="5"/>
        <v>15516</v>
      </c>
      <c r="J12" s="10">
        <f t="shared" si="3"/>
        <v>418581307387.5437</v>
      </c>
      <c r="K12" s="11">
        <f t="shared" si="4"/>
        <v>6.0999999999999943E-3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11"/>
      <c r="H13" s="10"/>
      <c r="I13" s="10">
        <f t="shared" si="5"/>
        <v>15516</v>
      </c>
      <c r="J13" s="10">
        <f t="shared" si="3"/>
        <v>416043442388.97101</v>
      </c>
      <c r="K13" s="11">
        <f t="shared" si="4"/>
        <v>6.3999999999999613E-3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11"/>
      <c r="H14" s="10"/>
      <c r="I14" s="10">
        <f t="shared" si="5"/>
        <v>15516</v>
      </c>
      <c r="J14" s="10">
        <f t="shared" si="3"/>
        <v>413397697127.35596</v>
      </c>
      <c r="K14" s="11">
        <f t="shared" si="4"/>
        <v>6.6999999999999282E-3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11"/>
      <c r="H15" s="10"/>
      <c r="I15" s="10">
        <f t="shared" si="5"/>
        <v>15516</v>
      </c>
      <c r="J15" s="10">
        <f t="shared" si="3"/>
        <v>410646366471.99359</v>
      </c>
      <c r="K15" s="11">
        <f t="shared" si="4"/>
        <v>7.1000000000001062E-3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11"/>
      <c r="H16" s="10"/>
      <c r="I16" s="10">
        <f t="shared" si="5"/>
        <v>15516</v>
      </c>
      <c r="J16" s="10">
        <f t="shared" si="3"/>
        <v>407751332014.68927</v>
      </c>
      <c r="K16" s="11">
        <f t="shared" si="4"/>
        <v>7.7000000000002622E-3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11"/>
      <c r="H17" s="10"/>
      <c r="I17" s="10">
        <f t="shared" si="5"/>
        <v>15516</v>
      </c>
      <c r="J17" s="10">
        <f t="shared" si="3"/>
        <v>404635637605.1297</v>
      </c>
      <c r="K17" s="11">
        <f t="shared" si="4"/>
        <v>8.69999999999993E-3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11"/>
      <c r="H18" s="10"/>
      <c r="I18" s="10">
        <f t="shared" si="5"/>
        <v>15516</v>
      </c>
      <c r="J18" s="10">
        <f t="shared" si="3"/>
        <v>401145670273.74811</v>
      </c>
      <c r="K18" s="11">
        <f t="shared" si="4"/>
        <v>9.9000000000000199E-3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11"/>
      <c r="H19" s="10"/>
      <c r="I19" s="10">
        <f t="shared" si="5"/>
        <v>15516</v>
      </c>
      <c r="J19" s="10">
        <f t="shared" si="3"/>
        <v>397213259009.55353</v>
      </c>
      <c r="K19" s="11">
        <f t="shared" si="4"/>
        <v>1.1300000000000088E-2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11"/>
      <c r="H20" s="10"/>
      <c r="I20" s="10">
        <f t="shared" si="5"/>
        <v>15516</v>
      </c>
      <c r="J20" s="10">
        <f t="shared" si="3"/>
        <v>392774902610.05981</v>
      </c>
      <c r="K20" s="11">
        <f t="shared" si="4"/>
        <v>1.2699999999999712E-2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11"/>
      <c r="H21" s="10"/>
      <c r="I21" s="10">
        <f t="shared" si="5"/>
        <v>15516</v>
      </c>
      <c r="J21" s="10">
        <f t="shared" si="3"/>
        <v>387849217547.21033</v>
      </c>
      <c r="K21" s="11">
        <f t="shared" si="4"/>
        <v>1.4200000000000212E-2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11"/>
      <c r="H22" s="10"/>
      <c r="I22" s="10">
        <f t="shared" si="5"/>
        <v>15516</v>
      </c>
      <c r="J22" s="10">
        <f t="shared" si="3"/>
        <v>382418869598.90582</v>
      </c>
      <c r="K22" s="11">
        <f t="shared" si="4"/>
        <v>1.5500000000000069E-2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11"/>
      <c r="H23" s="10"/>
      <c r="I23" s="10">
        <f t="shared" si="5"/>
        <v>15516</v>
      </c>
      <c r="J23" s="10">
        <f t="shared" si="3"/>
        <v>376581850909.80383</v>
      </c>
      <c r="K23" s="11">
        <f t="shared" si="4"/>
        <v>1.6499999999999959E-2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11"/>
      <c r="H24" s="10"/>
      <c r="I24" s="10">
        <f t="shared" si="5"/>
        <v>15516</v>
      </c>
      <c r="J24" s="10">
        <f t="shared" si="3"/>
        <v>370469110585.14886</v>
      </c>
      <c r="K24" s="11">
        <f t="shared" si="4"/>
        <v>1.7200000000000104E-2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11"/>
      <c r="H25" s="10"/>
      <c r="I25" s="10">
        <f t="shared" si="5"/>
        <v>15516</v>
      </c>
      <c r="J25" s="10">
        <f t="shared" si="3"/>
        <v>364204788227.63354</v>
      </c>
      <c r="K25" s="11">
        <f t="shared" si="4"/>
        <v>1.7500000000000071E-2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11"/>
      <c r="H26" s="10"/>
      <c r="I26" s="10">
        <f t="shared" si="5"/>
        <v>15516</v>
      </c>
      <c r="J26" s="10">
        <f t="shared" si="3"/>
        <v>357940823810.94202</v>
      </c>
      <c r="K26" s="11">
        <f t="shared" si="4"/>
        <v>1.7300000000000093E-2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11"/>
      <c r="H27" s="10"/>
      <c r="I27" s="10">
        <f t="shared" si="5"/>
        <v>15516</v>
      </c>
      <c r="J27" s="10">
        <f t="shared" si="3"/>
        <v>351853753869.00818</v>
      </c>
      <c r="K27" s="11">
        <f t="shared" si="4"/>
        <v>1.6799999999999704E-2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11"/>
      <c r="H28" s="10"/>
      <c r="I28" s="10">
        <f t="shared" si="5"/>
        <v>15516</v>
      </c>
      <c r="J28" s="10">
        <f t="shared" si="3"/>
        <v>346040277211.84918</v>
      </c>
      <c r="K28" s="11">
        <f t="shared" si="4"/>
        <v>1.6100000000000225E-2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11"/>
      <c r="H29" s="10"/>
      <c r="I29" s="10">
        <f t="shared" si="5"/>
        <v>15516</v>
      </c>
      <c r="J29" s="10">
        <f t="shared" si="3"/>
        <v>340557304607.66571</v>
      </c>
      <c r="K29" s="11">
        <f t="shared" si="4"/>
        <v>1.5600000000000058E-2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11"/>
      <c r="H30" s="10"/>
      <c r="I30" s="10">
        <f t="shared" si="5"/>
        <v>15516</v>
      </c>
      <c r="J30" s="10">
        <f t="shared" si="3"/>
        <v>335326215643.62512</v>
      </c>
      <c r="K30" s="11">
        <f t="shared" si="4"/>
        <v>1.5599999999999836E-2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11"/>
      <c r="H31" s="10"/>
      <c r="I31" s="10">
        <f t="shared" si="5"/>
        <v>15516</v>
      </c>
      <c r="J31" s="10">
        <f t="shared" si="3"/>
        <v>330175478183.95544</v>
      </c>
      <c r="K31" s="11">
        <f t="shared" si="4"/>
        <v>1.6199999999999992E-2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11"/>
      <c r="H32" s="10"/>
      <c r="I32" s="10">
        <f t="shared" si="5"/>
        <v>15516</v>
      </c>
      <c r="J32" s="10">
        <f t="shared" si="3"/>
        <v>324911905317.80701</v>
      </c>
      <c r="K32" s="11">
        <f t="shared" si="4"/>
        <v>1.7400000000000304E-2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11"/>
      <c r="H33" s="10"/>
      <c r="I33" s="10">
        <f t="shared" si="5"/>
        <v>15516</v>
      </c>
      <c r="J33" s="10">
        <f t="shared" si="3"/>
        <v>319355126123.26215</v>
      </c>
      <c r="K33" s="11">
        <f t="shared" si="4"/>
        <v>1.9099999999999895E-2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11"/>
      <c r="H34" s="10"/>
      <c r="I34" s="10">
        <f t="shared" si="5"/>
        <v>15516</v>
      </c>
      <c r="J34" s="10">
        <f t="shared" ref="J34:J65" si="6">IF(I34="","",I34*C34)</f>
        <v>313369763637.78058</v>
      </c>
      <c r="K34" s="11">
        <f t="shared" ref="K34:K65" si="7">IFERROR(J34/J35-1,"")</f>
        <v>2.1099999999999897E-2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11"/>
      <c r="H35" s="10"/>
      <c r="I35" s="10">
        <f t="shared" ref="I35:I66" si="8">IF(H35&lt;&gt;"",H35,I34/(1+IF(G34="",0,G34)))</f>
        <v>15516</v>
      </c>
      <c r="J35" s="10">
        <f t="shared" si="6"/>
        <v>306894294033.67017</v>
      </c>
      <c r="K35" s="11">
        <f t="shared" si="7"/>
        <v>2.2999999999999909E-2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11"/>
      <c r="H36" s="10"/>
      <c r="I36" s="10">
        <f t="shared" si="8"/>
        <v>15516</v>
      </c>
      <c r="J36" s="10">
        <f t="shared" si="6"/>
        <v>299994422320.30322</v>
      </c>
      <c r="K36" s="11">
        <f t="shared" si="7"/>
        <v>2.4699999999999722E-2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11"/>
      <c r="H37" s="10"/>
      <c r="I37" s="10">
        <f t="shared" si="8"/>
        <v>15516</v>
      </c>
      <c r="J37" s="10">
        <f t="shared" si="6"/>
        <v>292763171972.58057</v>
      </c>
      <c r="K37" s="11">
        <f t="shared" si="7"/>
        <v>2.5900000000000256E-2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11"/>
      <c r="H38" s="10"/>
      <c r="I38" s="10">
        <f t="shared" si="8"/>
        <v>15516</v>
      </c>
      <c r="J38" s="10">
        <f t="shared" si="6"/>
        <v>285372036234.11688</v>
      </c>
      <c r="K38" s="11">
        <f t="shared" si="7"/>
        <v>2.629999999999999E-2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11"/>
      <c r="H39" s="10"/>
      <c r="I39" s="10">
        <f t="shared" si="8"/>
        <v>15516</v>
      </c>
      <c r="J39" s="10">
        <f t="shared" si="6"/>
        <v>278059082367.84265</v>
      </c>
      <c r="K39" s="11">
        <f t="shared" si="7"/>
        <v>2.6000000000000023E-2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11"/>
      <c r="H40" s="10"/>
      <c r="I40" s="10">
        <f t="shared" si="8"/>
        <v>15516</v>
      </c>
      <c r="J40" s="10">
        <f t="shared" si="6"/>
        <v>271012750845.85052</v>
      </c>
      <c r="K40" s="11">
        <f t="shared" si="7"/>
        <v>2.4899999999999922E-2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11"/>
      <c r="H41" s="10"/>
      <c r="I41" s="10">
        <f t="shared" si="8"/>
        <v>15516</v>
      </c>
      <c r="J41" s="10">
        <f t="shared" si="6"/>
        <v>264428481652.69833</v>
      </c>
      <c r="K41" s="11">
        <f t="shared" si="7"/>
        <v>2.3399999999999865E-2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11"/>
      <c r="H42" s="10"/>
      <c r="I42" s="10">
        <f t="shared" si="8"/>
        <v>15516</v>
      </c>
      <c r="J42" s="10">
        <f t="shared" si="6"/>
        <v>258382335013.38513</v>
      </c>
      <c r="K42" s="11">
        <f t="shared" si="7"/>
        <v>2.1500000000000075E-2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11"/>
      <c r="H43" s="10"/>
      <c r="I43" s="10">
        <f t="shared" si="8"/>
        <v>15516</v>
      </c>
      <c r="J43" s="10">
        <f t="shared" si="6"/>
        <v>252944038192.25171</v>
      </c>
      <c r="K43" s="11">
        <f t="shared" si="7"/>
        <v>1.9300000000000095E-2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11"/>
      <c r="H44" s="10"/>
      <c r="I44" s="10">
        <f t="shared" si="8"/>
        <v>15516</v>
      </c>
      <c r="J44" s="10">
        <f t="shared" si="6"/>
        <v>248154653381.97946</v>
      </c>
      <c r="K44" s="11">
        <f t="shared" si="7"/>
        <v>1.7099999999999893E-2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11"/>
      <c r="H45" s="10"/>
      <c r="I45" s="10">
        <f t="shared" si="8"/>
        <v>15516</v>
      </c>
      <c r="J45" s="10">
        <f t="shared" si="6"/>
        <v>243982551747.104</v>
      </c>
      <c r="K45" s="11">
        <f t="shared" si="7"/>
        <v>1.4899999999999913E-2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11"/>
      <c r="H46" s="10"/>
      <c r="I46" s="10">
        <f t="shared" si="8"/>
        <v>15516</v>
      </c>
      <c r="J46" s="10">
        <f t="shared" si="6"/>
        <v>240400583059.51721</v>
      </c>
      <c r="K46" s="11">
        <f t="shared" si="7"/>
        <v>1.2999999999999901E-2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11"/>
      <c r="H47" s="10"/>
      <c r="I47" s="10">
        <f t="shared" si="8"/>
        <v>15516</v>
      </c>
      <c r="J47" s="10">
        <f t="shared" si="6"/>
        <v>237315481796.16705</v>
      </c>
      <c r="K47" s="11">
        <f t="shared" si="7"/>
        <v>1.1400000000000077E-2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11"/>
      <c r="H48" s="10"/>
      <c r="I48" s="10">
        <f t="shared" si="8"/>
        <v>15516</v>
      </c>
      <c r="J48" s="10">
        <f t="shared" si="6"/>
        <v>234640579193.3627</v>
      </c>
      <c r="K48" s="11">
        <f t="shared" si="7"/>
        <v>1.0299999999999976E-2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11"/>
      <c r="H49" s="10"/>
      <c r="I49" s="10">
        <f t="shared" si="8"/>
        <v>15516</v>
      </c>
      <c r="J49" s="10">
        <f t="shared" si="6"/>
        <v>232248420462.59796</v>
      </c>
      <c r="K49" s="11">
        <f t="shared" si="7"/>
        <v>9.6000000000000529E-3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11"/>
      <c r="H50" s="10"/>
      <c r="I50" s="10">
        <f t="shared" si="8"/>
        <v>15516</v>
      </c>
      <c r="J50" s="10">
        <f t="shared" si="6"/>
        <v>230040036115.88547</v>
      </c>
      <c r="K50" s="11">
        <f t="shared" si="7"/>
        <v>9.400000000000075E-3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11"/>
      <c r="H51" s="10"/>
      <c r="I51" s="10">
        <f t="shared" si="8"/>
        <v>15516</v>
      </c>
      <c r="J51" s="10">
        <f t="shared" si="6"/>
        <v>227897796825.72366</v>
      </c>
      <c r="K51" s="11">
        <f t="shared" si="7"/>
        <v>9.5000000000000639E-3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11"/>
      <c r="H52" s="10"/>
      <c r="I52" s="10">
        <f t="shared" si="8"/>
        <v>15516</v>
      </c>
      <c r="J52" s="10">
        <f t="shared" si="6"/>
        <v>225753141976.94269</v>
      </c>
      <c r="K52" s="11">
        <f t="shared" si="7"/>
        <v>9.7000000000000419E-3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11"/>
      <c r="H53" s="10"/>
      <c r="I53" s="10">
        <f t="shared" si="8"/>
        <v>15516</v>
      </c>
      <c r="J53" s="10">
        <f t="shared" si="6"/>
        <v>223584373553.47397</v>
      </c>
      <c r="K53" s="11">
        <f t="shared" si="7"/>
        <v>9.9999999999997868E-3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11"/>
      <c r="H54" s="10"/>
      <c r="I54" s="10">
        <f t="shared" si="8"/>
        <v>15516</v>
      </c>
      <c r="J54" s="10">
        <f t="shared" si="6"/>
        <v>221370666884.62772</v>
      </c>
      <c r="K54" s="11">
        <f t="shared" si="7"/>
        <v>1.0099999999999998E-2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11"/>
      <c r="H55" s="10"/>
      <c r="I55" s="10">
        <f t="shared" si="8"/>
        <v>15516</v>
      </c>
      <c r="J55" s="10">
        <f t="shared" si="6"/>
        <v>219157179372.96082</v>
      </c>
      <c r="K55" s="11">
        <f t="shared" si="7"/>
        <v>1.0199999999999987E-2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11"/>
      <c r="H56" s="10"/>
      <c r="I56" s="10">
        <f t="shared" si="8"/>
        <v>15516</v>
      </c>
      <c r="J56" s="10">
        <f t="shared" si="6"/>
        <v>216944347033.22195</v>
      </c>
      <c r="K56" s="11">
        <f t="shared" si="7"/>
        <v>1.0300000000000198E-2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11"/>
      <c r="H57" s="10"/>
      <c r="I57" s="10">
        <f t="shared" si="8"/>
        <v>15516</v>
      </c>
      <c r="J57" s="10">
        <f t="shared" si="6"/>
        <v>214732601240.44534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11"/>
      <c r="H58" s="10"/>
      <c r="I58" s="10">
        <f t="shared" si="8"/>
        <v>15516</v>
      </c>
      <c r="J58" s="10">
        <f t="shared" si="6"/>
        <v>212459286870.92642</v>
      </c>
      <c r="K58" s="11">
        <f t="shared" si="7"/>
        <v>1.1300000000000088E-2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11"/>
      <c r="H59" s="10"/>
      <c r="I59" s="10">
        <f t="shared" si="8"/>
        <v>15516</v>
      </c>
      <c r="J59" s="10">
        <f t="shared" si="6"/>
        <v>210085322724.14359</v>
      </c>
      <c r="K59" s="11">
        <f t="shared" si="7"/>
        <v>1.2199999999999767E-2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11"/>
      <c r="H60" s="10"/>
      <c r="I60" s="10">
        <f t="shared" si="8"/>
        <v>15516</v>
      </c>
      <c r="J60" s="10">
        <f t="shared" si="6"/>
        <v>207553174001.32742</v>
      </c>
      <c r="K60" s="11">
        <f t="shared" si="7"/>
        <v>1.3200000000000323E-2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11"/>
      <c r="H61" s="10"/>
      <c r="I61" s="10">
        <f t="shared" si="8"/>
        <v>15516</v>
      </c>
      <c r="J61" s="10">
        <f t="shared" si="6"/>
        <v>204849165023.02347</v>
      </c>
      <c r="K61" s="11">
        <f t="shared" si="7"/>
        <v>1.4299999999999979E-2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11"/>
      <c r="H62" s="10"/>
      <c r="I62" s="10">
        <f t="shared" si="8"/>
        <v>15516</v>
      </c>
      <c r="J62" s="10">
        <f t="shared" si="6"/>
        <v>201961120992.82608</v>
      </c>
      <c r="K62" s="11">
        <f t="shared" si="7"/>
        <v>1.5300000000000091E-2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11"/>
      <c r="H63" s="10"/>
      <c r="I63" s="10">
        <f t="shared" si="8"/>
        <v>15516</v>
      </c>
      <c r="J63" s="10">
        <f t="shared" si="6"/>
        <v>198917680481.45972</v>
      </c>
      <c r="K63" s="11">
        <f t="shared" si="7"/>
        <v>1.6100000000000003E-2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11"/>
      <c r="H64" s="10"/>
      <c r="I64" s="10">
        <f t="shared" si="8"/>
        <v>15516</v>
      </c>
      <c r="J64" s="10">
        <f t="shared" si="6"/>
        <v>195765850291.76236</v>
      </c>
      <c r="K64" s="11">
        <f t="shared" si="7"/>
        <v>1.6699999999999937E-2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11"/>
      <c r="H65" s="10"/>
      <c r="I65" s="10">
        <f t="shared" si="8"/>
        <v>15516</v>
      </c>
      <c r="J65" s="10">
        <f t="shared" si="6"/>
        <v>192550260934.16187</v>
      </c>
      <c r="K65" s="11">
        <f t="shared" si="7"/>
        <v>1.7099999999999893E-2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6">
        <f>SUM(F2)</f>
        <v>27844193</v>
      </c>
      <c r="G66" s="11"/>
      <c r="H66" s="10"/>
      <c r="I66" s="10">
        <f t="shared" si="8"/>
        <v>15516</v>
      </c>
      <c r="J66" s="10">
        <f t="shared" ref="J66:J97" si="9">IF(I66="","",I66*C66)</f>
        <v>189313008489</v>
      </c>
      <c r="K66" s="11">
        <f t="shared" ref="K66:K97" si="10">IFERROR(J66/J67-1,"")</f>
        <v>1.7500000000000071E-2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11"/>
      <c r="H67" s="10"/>
      <c r="I67" s="10">
        <f t="shared" ref="I67:I98" si="11">IF(H67&lt;&gt;"",H67,I66/(1+IF(G66="",0,G66)))</f>
        <v>15516</v>
      </c>
      <c r="J67" s="10">
        <f t="shared" si="9"/>
        <v>186057010800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5">
        <v>5165</v>
      </c>
      <c r="G2" s="11"/>
      <c r="H2" s="10"/>
      <c r="I2" s="10">
        <f>IF(H2&lt;&gt;"",H2,9325)</f>
        <v>9325</v>
      </c>
      <c r="J2" s="10">
        <f t="shared" ref="J2:J33" si="3">IF(I2="","",I2*C2)</f>
        <v>48162265.131058134</v>
      </c>
      <c r="K2" s="11">
        <f t="shared" ref="K2:K33" si="4">IFERROR(J2/J3-1,"")</f>
        <v>-1.0000000000000009E-3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11"/>
      <c r="H3" s="10"/>
      <c r="I3" s="10">
        <f t="shared" ref="I3:I34" si="5">IF(H3&lt;&gt;"",H3,I2/(1+IF(G2="",0,G2)))</f>
        <v>9325</v>
      </c>
      <c r="J3" s="10">
        <f t="shared" si="3"/>
        <v>48210475.606664799</v>
      </c>
      <c r="K3" s="11">
        <f t="shared" si="4"/>
        <v>-9.9999999999988987E-4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11"/>
      <c r="H4" s="10"/>
      <c r="I4" s="10">
        <f t="shared" si="5"/>
        <v>9325</v>
      </c>
      <c r="J4" s="10">
        <f t="shared" si="3"/>
        <v>48258734.341005802</v>
      </c>
      <c r="K4" s="11">
        <f t="shared" si="4"/>
        <v>-7.0000000000003393E-4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11"/>
      <c r="H5" s="10"/>
      <c r="I5" s="10">
        <f t="shared" si="5"/>
        <v>9325</v>
      </c>
      <c r="J5" s="10">
        <f t="shared" si="3"/>
        <v>48292539.118388675</v>
      </c>
      <c r="K5" s="11">
        <f t="shared" si="4"/>
        <v>-3.9999999999995595E-4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11"/>
      <c r="H6" s="10"/>
      <c r="I6" s="10">
        <f t="shared" si="5"/>
        <v>9325</v>
      </c>
      <c r="J6" s="10">
        <f t="shared" si="3"/>
        <v>48311863.863934249</v>
      </c>
      <c r="K6" s="11">
        <f t="shared" si="4"/>
        <v>9.9999999999988987E-5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11"/>
      <c r="H7" s="10"/>
      <c r="I7" s="10">
        <f t="shared" si="5"/>
        <v>9325</v>
      </c>
      <c r="J7" s="10">
        <f t="shared" si="3"/>
        <v>48307033.160618186</v>
      </c>
      <c r="K7" s="11">
        <f t="shared" si="4"/>
        <v>8.9999999999990088E-4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11"/>
      <c r="H8" s="10"/>
      <c r="I8" s="10">
        <f t="shared" si="5"/>
        <v>9325</v>
      </c>
      <c r="J8" s="10">
        <f t="shared" si="3"/>
        <v>48263595.924286336</v>
      </c>
      <c r="K8" s="11">
        <f t="shared" si="4"/>
        <v>1.8000000000000238E-3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11"/>
      <c r="H9" s="10"/>
      <c r="I9" s="10">
        <f t="shared" si="5"/>
        <v>9325</v>
      </c>
      <c r="J9" s="10">
        <f t="shared" si="3"/>
        <v>48176877.54470586</v>
      </c>
      <c r="K9" s="11">
        <f t="shared" si="4"/>
        <v>2.6999999999999247E-3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11"/>
      <c r="H10" s="10"/>
      <c r="I10" s="10">
        <f t="shared" si="5"/>
        <v>9325</v>
      </c>
      <c r="J10" s="10">
        <f t="shared" si="3"/>
        <v>48047150.239060402</v>
      </c>
      <c r="K10" s="11">
        <f t="shared" si="4"/>
        <v>3.4000000000000696E-3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11"/>
      <c r="H11" s="10"/>
      <c r="I11" s="10">
        <f t="shared" si="5"/>
        <v>9325</v>
      </c>
      <c r="J11" s="10">
        <f t="shared" si="3"/>
        <v>47884343.471258119</v>
      </c>
      <c r="K11" s="11">
        <f t="shared" si="4"/>
        <v>4.0000000000000036E-3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11"/>
      <c r="H12" s="10"/>
      <c r="I12" s="10">
        <f t="shared" si="5"/>
        <v>9325</v>
      </c>
      <c r="J12" s="10">
        <f t="shared" si="3"/>
        <v>47693569.194480196</v>
      </c>
      <c r="K12" s="11">
        <f t="shared" si="4"/>
        <v>4.1999999999997595E-3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11"/>
      <c r="H13" s="10"/>
      <c r="I13" s="10">
        <f t="shared" si="5"/>
        <v>9325</v>
      </c>
      <c r="J13" s="10">
        <f t="shared" si="3"/>
        <v>47494093.99968154</v>
      </c>
      <c r="K13" s="11">
        <f t="shared" si="4"/>
        <v>4.3000000000001926E-3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11"/>
      <c r="H14" s="10"/>
      <c r="I14" s="10">
        <f t="shared" si="5"/>
        <v>9325</v>
      </c>
      <c r="J14" s="10">
        <f t="shared" si="3"/>
        <v>47290743.801335789</v>
      </c>
      <c r="K14" s="11">
        <f t="shared" si="4"/>
        <v>4.2999999999999705E-3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11"/>
      <c r="H15" s="10"/>
      <c r="I15" s="10">
        <f t="shared" si="5"/>
        <v>9325</v>
      </c>
      <c r="J15" s="10">
        <f t="shared" si="3"/>
        <v>47088264.264996305</v>
      </c>
      <c r="K15" s="11">
        <f t="shared" si="4"/>
        <v>4.2999999999999705E-3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11"/>
      <c r="H16" s="10"/>
      <c r="I16" s="10">
        <f t="shared" si="5"/>
        <v>9325</v>
      </c>
      <c r="J16" s="10">
        <f t="shared" si="3"/>
        <v>46886651.662846074</v>
      </c>
      <c r="K16" s="11">
        <f t="shared" si="4"/>
        <v>4.5999999999999375E-3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11"/>
      <c r="H17" s="10"/>
      <c r="I17" s="10">
        <f t="shared" si="5"/>
        <v>9325</v>
      </c>
      <c r="J17" s="10">
        <f t="shared" si="3"/>
        <v>46671960.643884204</v>
      </c>
      <c r="K17" s="11">
        <f t="shared" si="4"/>
        <v>5.3000000000000824E-3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11"/>
      <c r="H18" s="10"/>
      <c r="I18" s="10">
        <f t="shared" si="5"/>
        <v>9325</v>
      </c>
      <c r="J18" s="10">
        <f t="shared" si="3"/>
        <v>46425903.356096886</v>
      </c>
      <c r="K18" s="11">
        <f t="shared" si="4"/>
        <v>6.0999999999999943E-3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11"/>
      <c r="H19" s="10"/>
      <c r="I19" s="10">
        <f t="shared" si="5"/>
        <v>9325</v>
      </c>
      <c r="J19" s="10">
        <f t="shared" si="3"/>
        <v>46144422.379581437</v>
      </c>
      <c r="K19" s="11">
        <f t="shared" si="4"/>
        <v>7.1000000000001062E-3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11"/>
      <c r="H20" s="10"/>
      <c r="I20" s="10">
        <f t="shared" si="5"/>
        <v>9325</v>
      </c>
      <c r="J20" s="10">
        <f t="shared" si="3"/>
        <v>45819106.721856251</v>
      </c>
      <c r="K20" s="11">
        <f t="shared" si="4"/>
        <v>7.9000000000000181E-3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11"/>
      <c r="H21" s="10"/>
      <c r="I21" s="10">
        <f t="shared" si="5"/>
        <v>9325</v>
      </c>
      <c r="J21" s="10">
        <f t="shared" si="3"/>
        <v>45459972.935664505</v>
      </c>
      <c r="K21" s="11">
        <f t="shared" si="4"/>
        <v>8.69999999999993E-3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11"/>
      <c r="H22" s="10"/>
      <c r="I22" s="10">
        <f t="shared" si="5"/>
        <v>9325</v>
      </c>
      <c r="J22" s="10">
        <f t="shared" si="3"/>
        <v>45067882.359139986</v>
      </c>
      <c r="K22" s="11">
        <f t="shared" si="4"/>
        <v>9.300000000000086E-3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11"/>
      <c r="H23" s="10"/>
      <c r="I23" s="10">
        <f t="shared" si="5"/>
        <v>9325</v>
      </c>
      <c r="J23" s="10">
        <f t="shared" si="3"/>
        <v>44652613.057703346</v>
      </c>
      <c r="K23" s="11">
        <f t="shared" si="4"/>
        <v>9.7000000000000419E-3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11"/>
      <c r="H24" s="10"/>
      <c r="I24" s="10">
        <f t="shared" si="5"/>
        <v>9325</v>
      </c>
      <c r="J24" s="10">
        <f t="shared" si="3"/>
        <v>44223643.71368064</v>
      </c>
      <c r="K24" s="11">
        <f t="shared" si="4"/>
        <v>1.0000000000000009E-2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11"/>
      <c r="H25" s="10"/>
      <c r="I25" s="10">
        <f t="shared" si="5"/>
        <v>9325</v>
      </c>
      <c r="J25" s="10">
        <f t="shared" si="3"/>
        <v>43785785.855129346</v>
      </c>
      <c r="K25" s="11">
        <f t="shared" si="4"/>
        <v>1.0399999999999965E-2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11"/>
      <c r="H26" s="10"/>
      <c r="I26" s="10">
        <f t="shared" si="5"/>
        <v>9325</v>
      </c>
      <c r="J26" s="10">
        <f t="shared" si="3"/>
        <v>43335100.806739263</v>
      </c>
      <c r="K26" s="11">
        <f t="shared" si="4"/>
        <v>1.110000000000011E-2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11"/>
      <c r="H27" s="10"/>
      <c r="I27" s="10">
        <f t="shared" si="5"/>
        <v>9325</v>
      </c>
      <c r="J27" s="10">
        <f t="shared" si="3"/>
        <v>42859361.889762886</v>
      </c>
      <c r="K27" s="11">
        <f t="shared" si="4"/>
        <v>1.21E-2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11"/>
      <c r="H28" s="10"/>
      <c r="I28" s="10">
        <f t="shared" si="5"/>
        <v>9325</v>
      </c>
      <c r="J28" s="10">
        <f t="shared" si="3"/>
        <v>42346963.629841797</v>
      </c>
      <c r="K28" s="11">
        <f t="shared" si="4"/>
        <v>1.3400000000000079E-2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11"/>
      <c r="H29" s="10"/>
      <c r="I29" s="10">
        <f t="shared" si="5"/>
        <v>9325</v>
      </c>
      <c r="J29" s="10">
        <f t="shared" si="3"/>
        <v>41787017.594081111</v>
      </c>
      <c r="K29" s="11">
        <f t="shared" si="4"/>
        <v>1.4900000000000135E-2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11"/>
      <c r="H30" s="10"/>
      <c r="I30" s="10">
        <f t="shared" si="5"/>
        <v>9325</v>
      </c>
      <c r="J30" s="10">
        <f t="shared" si="3"/>
        <v>41173531.967761464</v>
      </c>
      <c r="K30" s="11">
        <f t="shared" si="4"/>
        <v>1.639999999999997E-2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11"/>
      <c r="H31" s="10"/>
      <c r="I31" s="10">
        <f t="shared" si="5"/>
        <v>9325</v>
      </c>
      <c r="J31" s="10">
        <f t="shared" si="3"/>
        <v>40509181.392917618</v>
      </c>
      <c r="K31" s="11">
        <f t="shared" si="4"/>
        <v>1.760000000000006E-2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11"/>
      <c r="H32" s="10"/>
      <c r="I32" s="10">
        <f t="shared" si="5"/>
        <v>9325</v>
      </c>
      <c r="J32" s="10">
        <f t="shared" si="3"/>
        <v>39808550.897128157</v>
      </c>
      <c r="K32" s="11">
        <f t="shared" si="4"/>
        <v>1.8499999999999961E-2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11"/>
      <c r="H33" s="10"/>
      <c r="I33" s="10">
        <f t="shared" si="5"/>
        <v>9325</v>
      </c>
      <c r="J33" s="10">
        <f t="shared" si="3"/>
        <v>39085469.707538694</v>
      </c>
      <c r="K33" s="11">
        <f t="shared" si="4"/>
        <v>1.8799999999999928E-2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11"/>
      <c r="H34" s="10"/>
      <c r="I34" s="10">
        <f t="shared" si="5"/>
        <v>9325</v>
      </c>
      <c r="J34" s="10">
        <f t="shared" ref="J34:J65" si="6">IF(I34="","",I34*C34)</f>
        <v>38364222.327776499</v>
      </c>
      <c r="K34" s="11">
        <f t="shared" ref="K34:K65" si="7">IFERROR(J34/J35-1,"")</f>
        <v>1.8699999999999939E-2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11"/>
      <c r="H35" s="10"/>
      <c r="I35" s="10">
        <f t="shared" ref="I35:I66" si="8">IF(H35&lt;&gt;"",H35,I34/(1+IF(G34="",0,G34)))</f>
        <v>9325</v>
      </c>
      <c r="J35" s="10">
        <f t="shared" si="6"/>
        <v>37659980.688894182</v>
      </c>
      <c r="K35" s="11">
        <f t="shared" si="7"/>
        <v>1.8399999999999972E-2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11"/>
      <c r="H36" s="10"/>
      <c r="I36" s="10">
        <f t="shared" si="8"/>
        <v>9325</v>
      </c>
      <c r="J36" s="10">
        <f t="shared" si="6"/>
        <v>36979556.842983291</v>
      </c>
      <c r="K36" s="11">
        <f t="shared" si="7"/>
        <v>1.7900000000000027E-2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11"/>
      <c r="H37" s="10"/>
      <c r="I37" s="10">
        <f t="shared" si="8"/>
        <v>9325</v>
      </c>
      <c r="J37" s="10">
        <f t="shared" si="6"/>
        <v>36329263.034662828</v>
      </c>
      <c r="K37" s="11">
        <f t="shared" si="7"/>
        <v>1.7400000000000082E-2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11"/>
      <c r="H38" s="10"/>
      <c r="I38" s="10">
        <f t="shared" si="8"/>
        <v>9325</v>
      </c>
      <c r="J38" s="10">
        <f t="shared" si="6"/>
        <v>35707944.795225896</v>
      </c>
      <c r="K38" s="11">
        <f t="shared" si="7"/>
        <v>1.6899999999999915E-2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11"/>
      <c r="H39" s="10"/>
      <c r="I39" s="10">
        <f t="shared" si="8"/>
        <v>9325</v>
      </c>
      <c r="J39" s="10">
        <f t="shared" si="6"/>
        <v>35114509.583268657</v>
      </c>
      <c r="K39" s="11">
        <f t="shared" si="7"/>
        <v>1.6699999999999937E-2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11"/>
      <c r="H40" s="10"/>
      <c r="I40" s="10">
        <f t="shared" si="8"/>
        <v>9325</v>
      </c>
      <c r="J40" s="10">
        <f t="shared" si="6"/>
        <v>34537729.500608496</v>
      </c>
      <c r="K40" s="11">
        <f t="shared" si="7"/>
        <v>1.6699999999999937E-2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11"/>
      <c r="H41" s="10"/>
      <c r="I41" s="10">
        <f t="shared" si="8"/>
        <v>9325</v>
      </c>
      <c r="J41" s="10">
        <f t="shared" si="6"/>
        <v>33970423.429338545</v>
      </c>
      <c r="K41" s="11">
        <f t="shared" si="7"/>
        <v>1.7200000000000104E-2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11"/>
      <c r="H42" s="10"/>
      <c r="I42" s="10">
        <f t="shared" si="8"/>
        <v>9325</v>
      </c>
      <c r="J42" s="10">
        <f t="shared" si="6"/>
        <v>33396012.022550669</v>
      </c>
      <c r="K42" s="11">
        <f t="shared" si="7"/>
        <v>1.8000000000000016E-2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11"/>
      <c r="H43" s="10"/>
      <c r="I43" s="10">
        <f t="shared" si="8"/>
        <v>9325</v>
      </c>
      <c r="J43" s="10">
        <f t="shared" si="6"/>
        <v>32805512.792289458</v>
      </c>
      <c r="K43" s="11">
        <f t="shared" si="7"/>
        <v>1.9099999999999895E-2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11"/>
      <c r="H44" s="10"/>
      <c r="I44" s="10">
        <f t="shared" si="8"/>
        <v>9325</v>
      </c>
      <c r="J44" s="10">
        <f t="shared" si="6"/>
        <v>32190670.976635721</v>
      </c>
      <c r="K44" s="11">
        <f t="shared" si="7"/>
        <v>2.0399999999999974E-2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11"/>
      <c r="H45" s="10"/>
      <c r="I45" s="10">
        <f t="shared" si="8"/>
        <v>9325</v>
      </c>
      <c r="J45" s="10">
        <f t="shared" si="6"/>
        <v>31547109.93398248</v>
      </c>
      <c r="K45" s="11">
        <f t="shared" si="7"/>
        <v>2.1500000000000075E-2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11"/>
      <c r="H46" s="10"/>
      <c r="I46" s="10">
        <f t="shared" si="8"/>
        <v>9325</v>
      </c>
      <c r="J46" s="10">
        <f t="shared" si="6"/>
        <v>30883122.793913338</v>
      </c>
      <c r="K46" s="11">
        <f t="shared" si="7"/>
        <v>2.2399999999999975E-2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11"/>
      <c r="H47" s="10"/>
      <c r="I47" s="10">
        <f t="shared" si="8"/>
        <v>9325</v>
      </c>
      <c r="J47" s="10">
        <f t="shared" si="6"/>
        <v>30206497.255392544</v>
      </c>
      <c r="K47" s="11">
        <f t="shared" si="7"/>
        <v>2.2999999999999909E-2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11"/>
      <c r="H48" s="10"/>
      <c r="I48" s="10">
        <f t="shared" si="8"/>
        <v>9325</v>
      </c>
      <c r="J48" s="10">
        <f t="shared" si="6"/>
        <v>29527367.796082646</v>
      </c>
      <c r="K48" s="11">
        <f t="shared" si="7"/>
        <v>2.3099999999999898E-2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11"/>
      <c r="H49" s="10"/>
      <c r="I49" s="10">
        <f t="shared" si="8"/>
        <v>9325</v>
      </c>
      <c r="J49" s="10">
        <f t="shared" si="6"/>
        <v>28860685.950623251</v>
      </c>
      <c r="K49" s="11">
        <f t="shared" si="7"/>
        <v>2.289999999999992E-2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11"/>
      <c r="H50" s="10"/>
      <c r="I50" s="10">
        <f t="shared" si="8"/>
        <v>9325</v>
      </c>
      <c r="J50" s="10">
        <f t="shared" si="6"/>
        <v>28214572.246185601</v>
      </c>
      <c r="K50" s="11">
        <f t="shared" si="7"/>
        <v>2.2499999999999742E-2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11"/>
      <c r="H51" s="10"/>
      <c r="I51" s="10">
        <f t="shared" si="8"/>
        <v>9325</v>
      </c>
      <c r="J51" s="10">
        <f t="shared" si="6"/>
        <v>27593713.688201081</v>
      </c>
      <c r="K51" s="11">
        <f t="shared" si="7"/>
        <v>2.1800000000000042E-2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11"/>
      <c r="H52" s="10"/>
      <c r="I52" s="10">
        <f t="shared" si="8"/>
        <v>9325</v>
      </c>
      <c r="J52" s="10">
        <f t="shared" si="6"/>
        <v>27005004.58817878</v>
      </c>
      <c r="K52" s="11">
        <f t="shared" si="7"/>
        <v>2.0999999999999908E-2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11"/>
      <c r="H53" s="10"/>
      <c r="I53" s="10">
        <f t="shared" si="8"/>
        <v>9325</v>
      </c>
      <c r="J53" s="10">
        <f t="shared" si="6"/>
        <v>26449563.749440532</v>
      </c>
      <c r="K53" s="11">
        <f t="shared" si="7"/>
        <v>2.0100000000000007E-2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11"/>
      <c r="H54" s="10"/>
      <c r="I54" s="10">
        <f t="shared" si="8"/>
        <v>9325</v>
      </c>
      <c r="J54" s="10">
        <f t="shared" si="6"/>
        <v>25928402.852113061</v>
      </c>
      <c r="K54" s="11">
        <f t="shared" si="7"/>
        <v>1.9200000000000106E-2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11"/>
      <c r="H55" s="10"/>
      <c r="I55" s="10">
        <f t="shared" si="8"/>
        <v>9325</v>
      </c>
      <c r="J55" s="10">
        <f t="shared" si="6"/>
        <v>25439955.7026227</v>
      </c>
      <c r="K55" s="11">
        <f t="shared" si="7"/>
        <v>1.8399999999999972E-2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11"/>
      <c r="H56" s="10"/>
      <c r="I56" s="10">
        <f t="shared" si="8"/>
        <v>9325</v>
      </c>
      <c r="J56" s="10">
        <f t="shared" si="6"/>
        <v>24980317.85410713</v>
      </c>
      <c r="K56" s="11">
        <f t="shared" si="7"/>
        <v>1.7700000000000271E-2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11"/>
      <c r="H57" s="10"/>
      <c r="I57" s="10">
        <f t="shared" si="8"/>
        <v>9325</v>
      </c>
      <c r="J57" s="10">
        <f t="shared" si="6"/>
        <v>24545856.199378133</v>
      </c>
      <c r="K57" s="11">
        <f t="shared" si="7"/>
        <v>1.7099999999999893E-2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11"/>
      <c r="H58" s="10"/>
      <c r="I58" s="10">
        <f t="shared" si="8"/>
        <v>9325</v>
      </c>
      <c r="J58" s="10">
        <f t="shared" si="6"/>
        <v>24133178.841193724</v>
      </c>
      <c r="K58" s="11">
        <f t="shared" si="7"/>
        <v>1.6699999999999937E-2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11"/>
      <c r="H59" s="10"/>
      <c r="I59" s="10">
        <f t="shared" si="8"/>
        <v>9325</v>
      </c>
      <c r="J59" s="10">
        <f t="shared" si="6"/>
        <v>23736774.70364289</v>
      </c>
      <c r="K59" s="11">
        <f t="shared" si="7"/>
        <v>1.6599999999999948E-2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11"/>
      <c r="H60" s="10"/>
      <c r="I60" s="10">
        <f t="shared" si="8"/>
        <v>9325</v>
      </c>
      <c r="J60" s="10">
        <f t="shared" si="6"/>
        <v>23349178.343146656</v>
      </c>
      <c r="K60" s="11">
        <f t="shared" si="7"/>
        <v>1.6799999999999926E-2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11"/>
      <c r="H61" s="10"/>
      <c r="I61" s="10">
        <f t="shared" si="8"/>
        <v>9325</v>
      </c>
      <c r="J61" s="10">
        <f t="shared" si="6"/>
        <v>22963393.335116696</v>
      </c>
      <c r="K61" s="11">
        <f t="shared" si="7"/>
        <v>1.7300000000000093E-2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11"/>
      <c r="H62" s="10"/>
      <c r="I62" s="10">
        <f t="shared" si="8"/>
        <v>9325</v>
      </c>
      <c r="J62" s="10">
        <f t="shared" si="6"/>
        <v>22572882.468413148</v>
      </c>
      <c r="K62" s="11">
        <f t="shared" si="7"/>
        <v>1.7900000000000027E-2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11"/>
      <c r="H63" s="10"/>
      <c r="I63" s="10">
        <f t="shared" si="8"/>
        <v>9325</v>
      </c>
      <c r="J63" s="10">
        <f t="shared" si="6"/>
        <v>22175933.26300535</v>
      </c>
      <c r="K63" s="11">
        <f t="shared" si="7"/>
        <v>1.8499999999999739E-2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11"/>
      <c r="H64" s="10"/>
      <c r="I64" s="10">
        <f t="shared" si="8"/>
        <v>9325</v>
      </c>
      <c r="J64" s="10">
        <f t="shared" si="6"/>
        <v>21773130.351502556</v>
      </c>
      <c r="K64" s="11">
        <f t="shared" si="7"/>
        <v>1.8999999999999684E-2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11"/>
      <c r="H65" s="10"/>
      <c r="I65" s="10">
        <f t="shared" si="8"/>
        <v>9325</v>
      </c>
      <c r="J65" s="10">
        <f t="shared" si="6"/>
        <v>21367154.417568754</v>
      </c>
      <c r="K65" s="11">
        <f t="shared" si="7"/>
        <v>1.9300000000000317E-2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6">
        <f>SUM(F2)</f>
        <v>5165</v>
      </c>
      <c r="G66" s="11"/>
      <c r="H66" s="10"/>
      <c r="I66" s="10">
        <f t="shared" si="8"/>
        <v>9325</v>
      </c>
      <c r="J66" s="10">
        <f t="shared" ref="J66:J97" si="9">IF(I66="","",I66*C66)</f>
        <v>20962576.6875</v>
      </c>
      <c r="K66" s="11">
        <f t="shared" ref="K66:K97" si="10">IFERROR(J66/J67-1,"")</f>
        <v>1.9500000000000073E-2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11"/>
      <c r="H67" s="10"/>
      <c r="I67" s="10">
        <f t="shared" ref="I67:I98" si="11">IF(H67&lt;&gt;"",H67,I66/(1+IF(G66="",0,G66)))</f>
        <v>9325</v>
      </c>
      <c r="J67" s="10">
        <f t="shared" si="9"/>
        <v>20561625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5">
        <v>30764253</v>
      </c>
      <c r="G2" s="11"/>
      <c r="H2" s="10"/>
      <c r="I2" s="10">
        <f>IF(H2&lt;&gt;"",H2,1659)</f>
        <v>1659</v>
      </c>
      <c r="J2" s="10">
        <f t="shared" ref="J2:J33" si="3">IF(I2="","",I2*C2)</f>
        <v>51037583591.67543</v>
      </c>
      <c r="K2" s="11">
        <f t="shared" ref="K2:K33" si="4">IFERROR(J2/J3-1,"")</f>
        <v>1.0000000000000009E-2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11"/>
      <c r="H3" s="10"/>
      <c r="I3" s="10">
        <f t="shared" ref="I3:I34" si="5">IF(H3&lt;&gt;"",H3,I2/(1+IF(G2="",0,G2)))</f>
        <v>1659</v>
      </c>
      <c r="J3" s="10">
        <f t="shared" si="3"/>
        <v>50532260981.856857</v>
      </c>
      <c r="K3" s="11">
        <f t="shared" si="4"/>
        <v>1.7300000000000093E-2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11"/>
      <c r="H4" s="10"/>
      <c r="I4" s="10">
        <f t="shared" si="5"/>
        <v>1659</v>
      </c>
      <c r="J4" s="10">
        <f t="shared" si="3"/>
        <v>49672919474.940384</v>
      </c>
      <c r="K4" s="11">
        <f t="shared" si="4"/>
        <v>1.3700000000000045E-2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11"/>
      <c r="H5" s="10"/>
      <c r="I5" s="10">
        <f t="shared" si="5"/>
        <v>1659</v>
      </c>
      <c r="J5" s="10">
        <f t="shared" si="3"/>
        <v>49001597587.984985</v>
      </c>
      <c r="K5" s="11">
        <f t="shared" si="4"/>
        <v>1.1600000000000055E-2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11"/>
      <c r="H6" s="10"/>
      <c r="I6" s="10">
        <f t="shared" si="5"/>
        <v>1659</v>
      </c>
      <c r="J6" s="10">
        <f t="shared" si="3"/>
        <v>48439697101.606354</v>
      </c>
      <c r="K6" s="11">
        <f t="shared" si="4"/>
        <v>1.5500000000000069E-2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11"/>
      <c r="H7" s="10"/>
      <c r="I7" s="10">
        <f t="shared" si="5"/>
        <v>1659</v>
      </c>
      <c r="J7" s="10">
        <f t="shared" si="3"/>
        <v>47700341803.64978</v>
      </c>
      <c r="K7" s="11">
        <f t="shared" si="4"/>
        <v>1.9099999999999895E-2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11"/>
      <c r="H8" s="10"/>
      <c r="I8" s="10">
        <f t="shared" si="5"/>
        <v>1659</v>
      </c>
      <c r="J8" s="10">
        <f t="shared" si="3"/>
        <v>46806340696.34951</v>
      </c>
      <c r="K8" s="11">
        <f t="shared" si="4"/>
        <v>2.3400000000000087E-2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11"/>
      <c r="H9" s="10"/>
      <c r="I9" s="10">
        <f t="shared" si="5"/>
        <v>1659</v>
      </c>
      <c r="J9" s="10">
        <f t="shared" si="3"/>
        <v>45736115591.508209</v>
      </c>
      <c r="K9" s="11">
        <f t="shared" si="4"/>
        <v>3.8499999999999979E-2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11"/>
      <c r="H10" s="10"/>
      <c r="I10" s="10">
        <f t="shared" si="5"/>
        <v>1659</v>
      </c>
      <c r="J10" s="10">
        <f t="shared" si="3"/>
        <v>44040554252.776321</v>
      </c>
      <c r="K10" s="11">
        <f t="shared" si="4"/>
        <v>4.2100000000000026E-2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11"/>
      <c r="H11" s="10"/>
      <c r="I11" s="10">
        <f t="shared" si="5"/>
        <v>1659</v>
      </c>
      <c r="J11" s="10">
        <f t="shared" si="3"/>
        <v>42261351360.499298</v>
      </c>
      <c r="K11" s="11">
        <f t="shared" si="4"/>
        <v>4.5299999999999896E-2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11"/>
      <c r="H12" s="10"/>
      <c r="I12" s="10">
        <f t="shared" si="5"/>
        <v>1659</v>
      </c>
      <c r="J12" s="10">
        <f t="shared" si="3"/>
        <v>40429877891.992065</v>
      </c>
      <c r="K12" s="11">
        <f t="shared" si="4"/>
        <v>4.830000000000001E-2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11"/>
      <c r="H13" s="10"/>
      <c r="I13" s="10">
        <f t="shared" si="5"/>
        <v>1659</v>
      </c>
      <c r="J13" s="10">
        <f t="shared" si="3"/>
        <v>38567087562.713028</v>
      </c>
      <c r="K13" s="11">
        <f t="shared" si="4"/>
        <v>5.0900000000000167E-2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11"/>
      <c r="H14" s="10"/>
      <c r="I14" s="10">
        <f t="shared" si="5"/>
        <v>1659</v>
      </c>
      <c r="J14" s="10">
        <f t="shared" si="3"/>
        <v>36699103209.356766</v>
      </c>
      <c r="K14" s="11">
        <f t="shared" si="4"/>
        <v>5.2999999999999936E-2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11"/>
      <c r="H15" s="10"/>
      <c r="I15" s="10">
        <f t="shared" si="5"/>
        <v>1659</v>
      </c>
      <c r="J15" s="10">
        <f t="shared" si="3"/>
        <v>34851949866.435677</v>
      </c>
      <c r="K15" s="11">
        <f t="shared" si="4"/>
        <v>5.4499999999999993E-2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11"/>
      <c r="H16" s="10"/>
      <c r="I16" s="10">
        <f t="shared" si="5"/>
        <v>1659</v>
      </c>
      <c r="J16" s="10">
        <f t="shared" si="3"/>
        <v>33050687402.973618</v>
      </c>
      <c r="K16" s="11">
        <f t="shared" si="4"/>
        <v>5.5199999999999916E-2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11"/>
      <c r="H17" s="10"/>
      <c r="I17" s="10">
        <f t="shared" si="5"/>
        <v>1659</v>
      </c>
      <c r="J17" s="10">
        <f t="shared" si="3"/>
        <v>31321728016.464764</v>
      </c>
      <c r="K17" s="11">
        <f t="shared" si="4"/>
        <v>5.479999999999996E-2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11"/>
      <c r="H18" s="10"/>
      <c r="I18" s="10">
        <f t="shared" si="5"/>
        <v>1659</v>
      </c>
      <c r="J18" s="10">
        <f t="shared" si="3"/>
        <v>29694471005.370464</v>
      </c>
      <c r="K18" s="11">
        <f t="shared" si="4"/>
        <v>5.3299999999999903E-2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11"/>
      <c r="H19" s="10"/>
      <c r="I19" s="10">
        <f t="shared" si="5"/>
        <v>1659</v>
      </c>
      <c r="J19" s="10">
        <f t="shared" si="3"/>
        <v>28191845633.124908</v>
      </c>
      <c r="K19" s="11">
        <f t="shared" si="4"/>
        <v>5.0999999999999934E-2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11"/>
      <c r="H20" s="10"/>
      <c r="I20" s="10">
        <f t="shared" si="5"/>
        <v>1659</v>
      </c>
      <c r="J20" s="10">
        <f t="shared" si="3"/>
        <v>26823830288.41571</v>
      </c>
      <c r="K20" s="11">
        <f t="shared" si="4"/>
        <v>4.8100000000000032E-2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11"/>
      <c r="H21" s="10"/>
      <c r="I21" s="10">
        <f t="shared" si="5"/>
        <v>1659</v>
      </c>
      <c r="J21" s="10">
        <f t="shared" si="3"/>
        <v>25592815846.212872</v>
      </c>
      <c r="K21" s="11">
        <f t="shared" si="4"/>
        <v>4.4799999999999951E-2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11"/>
      <c r="H22" s="10"/>
      <c r="I22" s="10">
        <f t="shared" si="5"/>
        <v>1659</v>
      </c>
      <c r="J22" s="10">
        <f t="shared" si="3"/>
        <v>24495420986.038353</v>
      </c>
      <c r="K22" s="11">
        <f t="shared" si="4"/>
        <v>4.1199999999999903E-2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11"/>
      <c r="H23" s="10"/>
      <c r="I23" s="10">
        <f t="shared" si="5"/>
        <v>1659</v>
      </c>
      <c r="J23" s="10">
        <f t="shared" si="3"/>
        <v>23526143859.045673</v>
      </c>
      <c r="K23" s="11">
        <f t="shared" si="4"/>
        <v>3.7600000000000078E-2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11"/>
      <c r="H24" s="10"/>
      <c r="I24" s="10">
        <f t="shared" si="5"/>
        <v>1659</v>
      </c>
      <c r="J24" s="10">
        <f t="shared" si="3"/>
        <v>22673615901.161983</v>
      </c>
      <c r="K24" s="11">
        <f t="shared" si="4"/>
        <v>3.4399999999999986E-2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11"/>
      <c r="H25" s="10"/>
      <c r="I25" s="10">
        <f t="shared" si="5"/>
        <v>1659</v>
      </c>
      <c r="J25" s="10">
        <f t="shared" si="3"/>
        <v>21919582271.038265</v>
      </c>
      <c r="K25" s="11">
        <f t="shared" si="4"/>
        <v>3.2099999999999795E-2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11"/>
      <c r="H26" s="10"/>
      <c r="I26" s="10">
        <f t="shared" si="5"/>
        <v>1659</v>
      </c>
      <c r="J26" s="10">
        <f t="shared" si="3"/>
        <v>21237847370.446922</v>
      </c>
      <c r="K26" s="11">
        <f t="shared" si="4"/>
        <v>3.1099999999999905E-2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11"/>
      <c r="H27" s="10"/>
      <c r="I27" s="10">
        <f t="shared" si="5"/>
        <v>1659</v>
      </c>
      <c r="J27" s="10">
        <f t="shared" si="3"/>
        <v>20597272204.875301</v>
      </c>
      <c r="K27" s="11">
        <f t="shared" si="4"/>
        <v>3.1400000000000095E-2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11"/>
      <c r="H28" s="10"/>
      <c r="I28" s="10">
        <f t="shared" si="5"/>
        <v>1659</v>
      </c>
      <c r="J28" s="10">
        <f t="shared" si="3"/>
        <v>19970207683.609947</v>
      </c>
      <c r="K28" s="11">
        <f t="shared" si="4"/>
        <v>3.2899999999999929E-2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11"/>
      <c r="H29" s="10"/>
      <c r="I29" s="10">
        <f t="shared" si="5"/>
        <v>1659</v>
      </c>
      <c r="J29" s="10">
        <f t="shared" si="3"/>
        <v>19334115290.550827</v>
      </c>
      <c r="K29" s="11">
        <f t="shared" si="4"/>
        <v>3.5099999999999909E-2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11"/>
      <c r="H30" s="10"/>
      <c r="I30" s="10">
        <f t="shared" si="5"/>
        <v>1659</v>
      </c>
      <c r="J30" s="10">
        <f t="shared" si="3"/>
        <v>18678499942.566734</v>
      </c>
      <c r="K30" s="11">
        <f t="shared" si="4"/>
        <v>3.7300000000000111E-2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11"/>
      <c r="H31" s="10"/>
      <c r="I31" s="10">
        <f t="shared" si="5"/>
        <v>1659</v>
      </c>
      <c r="J31" s="10">
        <f t="shared" si="3"/>
        <v>18006844637.58482</v>
      </c>
      <c r="K31" s="11">
        <f t="shared" si="4"/>
        <v>3.9099999999999913E-2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11"/>
      <c r="H32" s="10"/>
      <c r="I32" s="10">
        <f t="shared" si="5"/>
        <v>1659</v>
      </c>
      <c r="J32" s="10">
        <f t="shared" si="3"/>
        <v>17329270173.789646</v>
      </c>
      <c r="K32" s="11">
        <f t="shared" si="4"/>
        <v>4.0300000000000002E-2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11"/>
      <c r="H33" s="10"/>
      <c r="I33" s="10">
        <f t="shared" si="5"/>
        <v>1659</v>
      </c>
      <c r="J33" s="10">
        <f t="shared" si="3"/>
        <v>16657954603.277561</v>
      </c>
      <c r="K33" s="11">
        <f t="shared" si="4"/>
        <v>4.0799999999999947E-2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11"/>
      <c r="H34" s="10"/>
      <c r="I34" s="10">
        <f t="shared" si="5"/>
        <v>1659</v>
      </c>
      <c r="J34" s="10">
        <f t="shared" ref="J34:J65" si="6">IF(I34="","",I34*C34)</f>
        <v>16004952539.659456</v>
      </c>
      <c r="K34" s="11">
        <f t="shared" ref="K34:K65" si="7">IFERROR(J34/J35-1,"")</f>
        <v>4.0799999999999947E-2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11"/>
      <c r="H35" s="10"/>
      <c r="I35" s="10">
        <f t="shared" ref="I35:I66" si="8">IF(H35&lt;&gt;"",H35,I34/(1+IF(G34="",0,G34)))</f>
        <v>1659</v>
      </c>
      <c r="J35" s="10">
        <f t="shared" si="6"/>
        <v>15377548558.473728</v>
      </c>
      <c r="K35" s="11">
        <f t="shared" si="7"/>
        <v>4.049999999999998E-2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11"/>
      <c r="H36" s="10"/>
      <c r="I36" s="10">
        <f t="shared" si="8"/>
        <v>1659</v>
      </c>
      <c r="J36" s="10">
        <f t="shared" si="6"/>
        <v>14778999095.121315</v>
      </c>
      <c r="K36" s="11">
        <f t="shared" si="7"/>
        <v>3.9799999999999836E-2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11"/>
      <c r="H37" s="10"/>
      <c r="I37" s="10">
        <f t="shared" si="8"/>
        <v>1659</v>
      </c>
      <c r="J37" s="10">
        <f t="shared" si="6"/>
        <v>14213309381.728521</v>
      </c>
      <c r="K37" s="11">
        <f t="shared" si="7"/>
        <v>3.8799999999999946E-2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11"/>
      <c r="H38" s="10"/>
      <c r="I38" s="10">
        <f t="shared" si="8"/>
        <v>1659</v>
      </c>
      <c r="J38" s="10">
        <f t="shared" si="6"/>
        <v>13682431056.727495</v>
      </c>
      <c r="K38" s="11">
        <f t="shared" si="7"/>
        <v>3.7700000000000067E-2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11"/>
      <c r="H39" s="10"/>
      <c r="I39" s="10">
        <f t="shared" si="8"/>
        <v>1659</v>
      </c>
      <c r="J39" s="10">
        <f t="shared" si="6"/>
        <v>13185343602.898232</v>
      </c>
      <c r="K39" s="11">
        <f t="shared" si="7"/>
        <v>3.6499999999999977E-2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11"/>
      <c r="H40" s="10"/>
      <c r="I40" s="10">
        <f t="shared" si="8"/>
        <v>1659</v>
      </c>
      <c r="J40" s="10">
        <f t="shared" si="6"/>
        <v>12721026148.478756</v>
      </c>
      <c r="K40" s="11">
        <f t="shared" si="7"/>
        <v>3.5400000000000098E-2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11"/>
      <c r="H41" s="10"/>
      <c r="I41" s="10">
        <f t="shared" si="8"/>
        <v>1659</v>
      </c>
      <c r="J41" s="10">
        <f t="shared" si="6"/>
        <v>12286098269.730303</v>
      </c>
      <c r="K41" s="11">
        <f t="shared" si="7"/>
        <v>3.4299999999999997E-2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11"/>
      <c r="H42" s="10"/>
      <c r="I42" s="10">
        <f t="shared" si="8"/>
        <v>1659</v>
      </c>
      <c r="J42" s="10">
        <f t="shared" si="6"/>
        <v>11878660224.045542</v>
      </c>
      <c r="K42" s="11">
        <f t="shared" si="7"/>
        <v>3.3500000000000085E-2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11"/>
      <c r="H43" s="10"/>
      <c r="I43" s="10">
        <f t="shared" si="8"/>
        <v>1659</v>
      </c>
      <c r="J43" s="10">
        <f t="shared" si="6"/>
        <v>11493623825.878607</v>
      </c>
      <c r="K43" s="11">
        <f t="shared" si="7"/>
        <v>3.2999999999999918E-2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11"/>
      <c r="H44" s="10"/>
      <c r="I44" s="10">
        <f t="shared" si="8"/>
        <v>1659</v>
      </c>
      <c r="J44" s="10">
        <f t="shared" si="6"/>
        <v>11126450944.703396</v>
      </c>
      <c r="K44" s="11">
        <f t="shared" si="7"/>
        <v>3.2699999999999729E-2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11"/>
      <c r="H45" s="10"/>
      <c r="I45" s="10">
        <f t="shared" si="8"/>
        <v>1659</v>
      </c>
      <c r="J45" s="10">
        <f t="shared" si="6"/>
        <v>10774136675.417253</v>
      </c>
      <c r="K45" s="11">
        <f t="shared" si="7"/>
        <v>3.2699999999999951E-2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11"/>
      <c r="H46" s="10"/>
      <c r="I46" s="10">
        <f t="shared" si="8"/>
        <v>1659</v>
      </c>
      <c r="J46" s="10">
        <f t="shared" si="6"/>
        <v>10432978285.481993</v>
      </c>
      <c r="K46" s="11">
        <f t="shared" si="7"/>
        <v>3.2899999999999707E-2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11"/>
      <c r="H47" s="10"/>
      <c r="I47" s="10">
        <f t="shared" si="8"/>
        <v>1659</v>
      </c>
      <c r="J47" s="10">
        <f t="shared" si="6"/>
        <v>10100666362.16671</v>
      </c>
      <c r="K47" s="11">
        <f t="shared" si="7"/>
        <v>3.3400000000000318E-2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11"/>
      <c r="H48" s="10"/>
      <c r="I48" s="10">
        <f t="shared" si="8"/>
        <v>1659</v>
      </c>
      <c r="J48" s="10">
        <f t="shared" si="6"/>
        <v>9774207820.9470749</v>
      </c>
      <c r="K48" s="11">
        <f t="shared" si="7"/>
        <v>3.400000000000003E-2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11"/>
      <c r="H49" s="10"/>
      <c r="I49" s="10">
        <f t="shared" si="8"/>
        <v>1659</v>
      </c>
      <c r="J49" s="10">
        <f t="shared" si="6"/>
        <v>9452812205.9449463</v>
      </c>
      <c r="K49" s="11">
        <f t="shared" si="7"/>
        <v>3.4499999999999975E-2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11"/>
      <c r="H50" s="10"/>
      <c r="I50" s="10">
        <f t="shared" si="8"/>
        <v>1659</v>
      </c>
      <c r="J50" s="10">
        <f t="shared" si="6"/>
        <v>9137566172.977232</v>
      </c>
      <c r="K50" s="11">
        <f t="shared" si="7"/>
        <v>3.4799999999999942E-2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11"/>
      <c r="H51" s="10"/>
      <c r="I51" s="10">
        <f t="shared" si="8"/>
        <v>1659</v>
      </c>
      <c r="J51" s="10">
        <f t="shared" si="6"/>
        <v>8830272683.5883579</v>
      </c>
      <c r="K51" s="11">
        <f t="shared" si="7"/>
        <v>3.479999999999972E-2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11"/>
      <c r="H52" s="10"/>
      <c r="I52" s="10">
        <f t="shared" si="8"/>
        <v>1659</v>
      </c>
      <c r="J52" s="10">
        <f t="shared" si="6"/>
        <v>8533313378.0328178</v>
      </c>
      <c r="K52" s="11">
        <f t="shared" si="7"/>
        <v>3.4499999999999975E-2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11"/>
      <c r="H53" s="10"/>
      <c r="I53" s="10">
        <f t="shared" si="8"/>
        <v>1659</v>
      </c>
      <c r="J53" s="10">
        <f t="shared" si="6"/>
        <v>8248732119.8963928</v>
      </c>
      <c r="K53" s="11">
        <f t="shared" si="7"/>
        <v>3.3900000000000041E-2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11"/>
      <c r="H54" s="10"/>
      <c r="I54" s="10">
        <f t="shared" si="8"/>
        <v>1659</v>
      </c>
      <c r="J54" s="10">
        <f t="shared" si="6"/>
        <v>7978268807.3279743</v>
      </c>
      <c r="K54" s="11">
        <f t="shared" si="7"/>
        <v>3.3099999999999907E-2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11"/>
      <c r="H55" s="10"/>
      <c r="I55" s="10">
        <f t="shared" si="8"/>
        <v>1659</v>
      </c>
      <c r="J55" s="10">
        <f t="shared" si="6"/>
        <v>7722649121.4093266</v>
      </c>
      <c r="K55" s="11">
        <f t="shared" si="7"/>
        <v>3.2399999999999762E-2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11"/>
      <c r="H56" s="10"/>
      <c r="I56" s="10">
        <f t="shared" si="8"/>
        <v>1659</v>
      </c>
      <c r="J56" s="10">
        <f t="shared" si="6"/>
        <v>7480287796.7932272</v>
      </c>
      <c r="K56" s="11">
        <f t="shared" si="7"/>
        <v>3.180000000000005E-2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11"/>
      <c r="H57" s="10"/>
      <c r="I57" s="10">
        <f t="shared" si="8"/>
        <v>1659</v>
      </c>
      <c r="J57" s="10">
        <f t="shared" si="6"/>
        <v>7249745877.8767462</v>
      </c>
      <c r="K57" s="11">
        <f t="shared" si="7"/>
        <v>3.1600000000000072E-2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11"/>
      <c r="H58" s="10"/>
      <c r="I58" s="10">
        <f t="shared" si="8"/>
        <v>1659</v>
      </c>
      <c r="J58" s="10">
        <f t="shared" si="6"/>
        <v>7027671459.7486868</v>
      </c>
      <c r="K58" s="11">
        <f t="shared" si="7"/>
        <v>3.1700000000000061E-2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11"/>
      <c r="H59" s="10"/>
      <c r="I59" s="10">
        <f t="shared" si="8"/>
        <v>1659</v>
      </c>
      <c r="J59" s="10">
        <f t="shared" si="6"/>
        <v>6811739323.203146</v>
      </c>
      <c r="K59" s="11">
        <f t="shared" si="7"/>
        <v>3.2200000000000006E-2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11"/>
      <c r="H60" s="10"/>
      <c r="I60" s="10">
        <f t="shared" si="8"/>
        <v>1659</v>
      </c>
      <c r="J60" s="10">
        <f t="shared" si="6"/>
        <v>6599243676.8098679</v>
      </c>
      <c r="K60" s="11">
        <f t="shared" si="7"/>
        <v>3.3099999999999907E-2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11"/>
      <c r="H61" s="10"/>
      <c r="I61" s="10">
        <f t="shared" si="8"/>
        <v>1659</v>
      </c>
      <c r="J61" s="10">
        <f t="shared" si="6"/>
        <v>6387807256.6158829</v>
      </c>
      <c r="K61" s="11">
        <f t="shared" si="7"/>
        <v>3.4200000000000008E-2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11"/>
      <c r="H62" s="10"/>
      <c r="I62" s="10">
        <f t="shared" si="8"/>
        <v>1659</v>
      </c>
      <c r="J62" s="10">
        <f t="shared" si="6"/>
        <v>6176568610.1487942</v>
      </c>
      <c r="K62" s="11">
        <f t="shared" si="7"/>
        <v>3.4999999999999698E-2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11"/>
      <c r="H63" s="10"/>
      <c r="I63" s="10">
        <f t="shared" si="8"/>
        <v>1659</v>
      </c>
      <c r="J63" s="10">
        <f t="shared" si="6"/>
        <v>5967699140.2403822</v>
      </c>
      <c r="K63" s="11">
        <f t="shared" si="7"/>
        <v>3.5400000000000098E-2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11"/>
      <c r="H64" s="10"/>
      <c r="I64" s="10">
        <f t="shared" si="8"/>
        <v>1659</v>
      </c>
      <c r="J64" s="10">
        <f t="shared" si="6"/>
        <v>5763665385.5904789</v>
      </c>
      <c r="K64" s="11">
        <f t="shared" si="7"/>
        <v>3.5099999999999909E-2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11"/>
      <c r="H65" s="10"/>
      <c r="I65" s="10">
        <f t="shared" si="8"/>
        <v>1659</v>
      </c>
      <c r="J65" s="10">
        <f t="shared" si="6"/>
        <v>5568220834.3063269</v>
      </c>
      <c r="K65" s="11">
        <f t="shared" si="7"/>
        <v>3.3800000000000052E-2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6">
        <f>SUM(F2)</f>
        <v>30764253</v>
      </c>
      <c r="G66" s="11"/>
      <c r="H66" s="10"/>
      <c r="I66" s="10">
        <f t="shared" si="8"/>
        <v>1659</v>
      </c>
      <c r="J66" s="10">
        <f t="shared" ref="J66:J97" si="9">IF(I66="","",I66*C66)</f>
        <v>5386168344.2700005</v>
      </c>
      <c r="K66" s="11">
        <f t="shared" ref="K66:K97" si="10">IFERROR(J66/J67-1,"")</f>
        <v>3.1300000000000106E-2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11"/>
      <c r="H67" s="10"/>
      <c r="I67" s="10">
        <f t="shared" ref="I67:I98" si="11">IF(H67&lt;&gt;"",H67,I66/(1+IF(G66="",0,G66)))</f>
        <v>1659</v>
      </c>
      <c r="J67" s="10">
        <f t="shared" si="9"/>
        <v>5222697900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P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6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O1" t="inlineStr">
        <is>
          <t xml:space="preserve">Notes</t>
        </is>
      </c>
      <c r="P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5">
        <v>85678806</v>
      </c>
      <c r="G2" s="11"/>
      <c r="H2" s="10"/>
      <c r="I2" s="10">
        <f>IF(H2&lt;&gt;"",H2,11230)</f>
        <v>11230</v>
      </c>
      <c r="J2" s="10">
        <f t="shared" ref="J2:J16" si="3">IF(I2="","",I2*C2)</f>
        <v>962167335324.76208</v>
      </c>
      <c r="K2" s="11">
        <f t="shared" ref="K2:K16" si="4">IFERROR(J2/J3-1,"")</f>
        <v>-4.1999999999999815E-3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11"/>
      <c r="H3" s="10"/>
      <c r="I3" s="10">
        <f t="shared" ref="I3:I16" si="5">IF(H3&lt;&gt;"",H3,I2/(1+IF(G2="",0,G2)))</f>
        <v>11230</v>
      </c>
      <c r="J3" s="10">
        <f t="shared" si="3"/>
        <v>966225482350.63477</v>
      </c>
      <c r="K3" s="11">
        <f t="shared" si="4"/>
        <v>-8.0000000000013394E-4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11"/>
      <c r="H4" s="10"/>
      <c r="I4" s="10">
        <f t="shared" si="5"/>
        <v>11230</v>
      </c>
      <c r="J4" s="10">
        <f t="shared" si="3"/>
        <v>966999081615.92761</v>
      </c>
      <c r="K4" s="11">
        <f t="shared" si="4"/>
        <v>1.6000000000000458E-3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11"/>
      <c r="H5" s="10"/>
      <c r="I5" s="10">
        <f t="shared" si="5"/>
        <v>11230</v>
      </c>
      <c r="J5" s="10">
        <f t="shared" si="3"/>
        <v>965454354648.48999</v>
      </c>
      <c r="K5" s="11">
        <f t="shared" si="4"/>
        <v>3.0000000000001137E-3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11"/>
      <c r="H6" s="10"/>
      <c r="I6" s="10">
        <f t="shared" si="5"/>
        <v>11230</v>
      </c>
      <c r="J6" s="10">
        <f t="shared" si="3"/>
        <v>962566654684.43665</v>
      </c>
      <c r="K6" s="11">
        <f t="shared" si="4"/>
        <v>3.4000000000000696E-3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11"/>
      <c r="H7" s="10"/>
      <c r="I7" s="10">
        <f t="shared" si="5"/>
        <v>11230</v>
      </c>
      <c r="J7" s="10">
        <f t="shared" si="3"/>
        <v>959305017624.51331</v>
      </c>
      <c r="K7" s="11">
        <f t="shared" si="4"/>
        <v>3.2000000000000917E-3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11"/>
      <c r="H8" s="10"/>
      <c r="I8" s="10">
        <f t="shared" si="5"/>
        <v>11230</v>
      </c>
      <c r="J8" s="10">
        <f t="shared" si="3"/>
        <v>956245033517.25806</v>
      </c>
      <c r="K8" s="11">
        <f t="shared" si="4"/>
        <v>2.7999999999999137E-3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11"/>
      <c r="H9" s="10"/>
      <c r="I9" s="10">
        <f t="shared" si="5"/>
        <v>11230</v>
      </c>
      <c r="J9" s="10">
        <f t="shared" si="3"/>
        <v>953575023451.59363</v>
      </c>
      <c r="K9" s="11">
        <f t="shared" si="4"/>
        <v>2.7999999999999137E-3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11"/>
      <c r="H10" s="10"/>
      <c r="I10" s="10">
        <f t="shared" si="5"/>
        <v>11230</v>
      </c>
      <c r="J10" s="10">
        <f t="shared" si="3"/>
        <v>950912468539.68262</v>
      </c>
      <c r="K10" s="11">
        <f t="shared" si="4"/>
        <v>3.3000000000000806E-3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11"/>
      <c r="H11" s="10"/>
      <c r="I11" s="10">
        <f t="shared" si="5"/>
        <v>11230</v>
      </c>
      <c r="J11" s="10">
        <f t="shared" si="3"/>
        <v>947784778769.74243</v>
      </c>
      <c r="K11" s="11">
        <f t="shared" si="4"/>
        <v>4.3999999999999595E-3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11"/>
      <c r="H12" s="10"/>
      <c r="I12" s="10">
        <f t="shared" si="5"/>
        <v>11230</v>
      </c>
      <c r="J12" s="10">
        <f t="shared" si="3"/>
        <v>943632794474.05664</v>
      </c>
      <c r="K12" s="11">
        <f t="shared" si="4"/>
        <v>4.3000000000001926E-3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11"/>
      <c r="H13" s="10"/>
      <c r="I13" s="10">
        <f t="shared" si="5"/>
        <v>11230</v>
      </c>
      <c r="J13" s="10">
        <f t="shared" si="3"/>
        <v>939592546524.0033</v>
      </c>
      <c r="K13" s="11">
        <f t="shared" si="4"/>
        <v>5.5000000000000604E-3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11"/>
      <c r="H14" s="10"/>
      <c r="I14" s="10">
        <f t="shared" si="5"/>
        <v>11230</v>
      </c>
      <c r="J14" s="10">
        <f t="shared" si="3"/>
        <v>934453054723.02661</v>
      </c>
      <c r="K14" s="11">
        <f t="shared" si="4"/>
        <v>6.4999999999999503E-3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11"/>
      <c r="H15" s="10"/>
      <c r="I15" s="10">
        <f t="shared" si="5"/>
        <v>11230</v>
      </c>
      <c r="J15" s="10">
        <f t="shared" si="3"/>
        <v>928418335542.00366</v>
      </c>
      <c r="K15" s="11">
        <f t="shared" si="4"/>
        <v>7.8000000000000291E-3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11"/>
      <c r="H16" s="10"/>
      <c r="I16" s="10">
        <f t="shared" si="5"/>
        <v>11230</v>
      </c>
      <c r="J16" s="10">
        <f t="shared" si="3"/>
        <v>921232720323.48047</v>
      </c>
      <c r="K16" s="11" t="str">
        <f t="shared" si="4"/>
        <v/>
      </c>
    </row>
    <row r="17" spans="1:14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N17" s="29"/>
    </row>
    <row r="18" spans="1:14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11"/>
      <c r="H18" s="10"/>
      <c r="I18" s="10">
        <f t="shared" ref="I18:I49" si="6">IF(H18&lt;&gt;"",H18,I17/(1+IF(G17="",0,G17)))</f>
        <v>0</v>
      </c>
      <c r="J18" s="10">
        <f t="shared" ref="J18:J49" si="7">IF(I18="","",I18*C18)</f>
        <v>0</v>
      </c>
      <c r="K18" s="11" t="str">
        <f t="shared" ref="K18:K49" si="8">IFERROR(J18/J19-1,"")</f>
        <v/>
      </c>
    </row>
    <row r="19" spans="1:14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11"/>
      <c r="H19" s="10"/>
      <c r="I19" s="10">
        <f t="shared" si="6"/>
        <v>0</v>
      </c>
      <c r="J19" s="10">
        <f t="shared" si="7"/>
        <v>0</v>
      </c>
      <c r="K19" s="11" t="str">
        <f t="shared" si="8"/>
        <v/>
      </c>
    </row>
    <row r="20" spans="1:16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11"/>
      <c r="H20" s="10"/>
      <c r="I20" s="10">
        <f t="shared" si="6"/>
        <v>0</v>
      </c>
      <c r="J20" s="10">
        <f t="shared" si="7"/>
        <v>0</v>
      </c>
      <c r="K20" s="11" t="str">
        <f t="shared" si="8"/>
        <v/>
      </c>
      <c r="O20" t="inlineStr">
        <is>
          <t xml:space="preserve">War with Ealdorii.</t>
        </is>
      </c>
      <c r="P20" t="inlineStr">
        <is>
          <t xml:space="preserve">Zenashan Wars (1743-50): Ealdorii's costly interventions in Zenashan and war with Ukhdari.</t>
        </is>
      </c>
    </row>
    <row r="21" spans="1:14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11"/>
      <c r="H21" s="10"/>
      <c r="I21" s="10">
        <f t="shared" si="6"/>
        <v>0</v>
      </c>
      <c r="J21" s="10">
        <f t="shared" si="7"/>
        <v>0</v>
      </c>
      <c r="K21" s="11" t="str">
        <f t="shared" si="8"/>
        <v/>
      </c>
    </row>
    <row r="22" spans="1:14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11"/>
      <c r="H22" s="10"/>
      <c r="I22" s="10">
        <f t="shared" si="6"/>
        <v>0</v>
      </c>
      <c r="J22" s="10">
        <f t="shared" si="7"/>
        <v>0</v>
      </c>
      <c r="K22" s="11" t="str">
        <f t="shared" si="8"/>
        <v/>
      </c>
    </row>
    <row r="23" spans="1:14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11"/>
      <c r="H23" s="10"/>
      <c r="I23" s="10">
        <f t="shared" si="6"/>
        <v>0</v>
      </c>
      <c r="J23" s="10">
        <f t="shared" si="7"/>
        <v>0</v>
      </c>
      <c r="K23" s="11" t="str">
        <f t="shared" si="8"/>
        <v/>
      </c>
    </row>
    <row r="24" spans="1:14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11"/>
      <c r="H24" s="10"/>
      <c r="I24" s="10">
        <f t="shared" si="6"/>
        <v>0</v>
      </c>
      <c r="J24" s="10">
        <f t="shared" si="7"/>
        <v>0</v>
      </c>
      <c r="K24" s="11" t="str">
        <f t="shared" si="8"/>
        <v/>
      </c>
    </row>
    <row r="25" spans="1:14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11"/>
      <c r="H25" s="10"/>
      <c r="I25" s="10">
        <f t="shared" si="6"/>
        <v>0</v>
      </c>
      <c r="J25" s="10">
        <f t="shared" si="7"/>
        <v>0</v>
      </c>
      <c r="K25" s="11" t="str">
        <f t="shared" si="8"/>
        <v/>
      </c>
    </row>
    <row r="26" spans="1:14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11"/>
      <c r="H26" s="10"/>
      <c r="I26" s="10">
        <f t="shared" si="6"/>
        <v>0</v>
      </c>
      <c r="J26" s="10">
        <f t="shared" si="7"/>
        <v>0</v>
      </c>
      <c r="K26" s="11" t="str">
        <f t="shared" si="8"/>
        <v/>
      </c>
    </row>
    <row r="27" spans="1:16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11"/>
      <c r="H27" s="10"/>
      <c r="I27" s="10">
        <f t="shared" si="6"/>
        <v>0</v>
      </c>
      <c r="J27" s="10">
        <f t="shared" si="7"/>
        <v>0</v>
      </c>
      <c r="K27" s="11" t="str">
        <f t="shared" si="8"/>
        <v/>
      </c>
      <c r="O27" t="inlineStr">
        <is>
          <t xml:space="preserve">The Great Crash - global stock-market crash &amp; recession.</t>
        </is>
      </c>
      <c r="P27" t="inlineStr">
        <is>
          <t xml:space="preserve">The Great Crash (1740): the global stock-market crash set off by the collapse of the Estijan Huan.</t>
        </is>
      </c>
    </row>
    <row r="28" spans="1:14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11"/>
      <c r="H28" s="10"/>
      <c r="I28" s="10">
        <f t="shared" si="6"/>
        <v>0</v>
      </c>
      <c r="J28" s="10">
        <f t="shared" si="7"/>
        <v>0</v>
      </c>
      <c r="K28" s="11" t="str">
        <f t="shared" si="8"/>
        <v/>
      </c>
    </row>
    <row r="29" spans="1:14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11"/>
      <c r="H29" s="10"/>
      <c r="I29" s="10">
        <f t="shared" si="6"/>
        <v>0</v>
      </c>
      <c r="J29" s="10">
        <f t="shared" si="7"/>
        <v>0</v>
      </c>
      <c r="K29" s="11" t="str">
        <f t="shared" si="8"/>
        <v/>
      </c>
    </row>
    <row r="30" spans="1:14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11"/>
      <c r="H30" s="10"/>
      <c r="I30" s="10">
        <f t="shared" si="6"/>
        <v>0</v>
      </c>
      <c r="J30" s="10">
        <f t="shared" si="7"/>
        <v>0</v>
      </c>
      <c r="K30" s="11" t="str">
        <f t="shared" si="8"/>
        <v/>
      </c>
    </row>
    <row r="31" spans="1:14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11"/>
      <c r="H31" s="10"/>
      <c r="I31" s="10">
        <f t="shared" si="6"/>
        <v>0</v>
      </c>
      <c r="J31" s="10">
        <f t="shared" si="7"/>
        <v>0</v>
      </c>
      <c r="K31" s="11" t="str">
        <f t="shared" si="8"/>
        <v/>
      </c>
    </row>
    <row r="32" spans="1:14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11"/>
      <c r="H32" s="10"/>
      <c r="I32" s="10">
        <f t="shared" si="6"/>
        <v>0</v>
      </c>
      <c r="J32" s="10">
        <f t="shared" si="7"/>
        <v>0</v>
      </c>
      <c r="K32" s="11" t="str">
        <f t="shared" si="8"/>
        <v/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11"/>
      <c r="H33" s="10"/>
      <c r="I33" s="10">
        <f t="shared" si="6"/>
        <v>0</v>
      </c>
      <c r="J33" s="10">
        <f t="shared" si="7"/>
        <v>0</v>
      </c>
      <c r="K33" s="11" t="str">
        <f t="shared" si="8"/>
        <v/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11"/>
      <c r="H34" s="10"/>
      <c r="I34" s="10">
        <f t="shared" si="6"/>
        <v>0</v>
      </c>
      <c r="J34" s="10">
        <f t="shared" si="7"/>
        <v>0</v>
      </c>
      <c r="K34" s="11" t="str">
        <f t="shared" si="8"/>
        <v/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11"/>
      <c r="H35" s="10"/>
      <c r="I35" s="10">
        <f t="shared" si="6"/>
        <v>0</v>
      </c>
      <c r="J35" s="10">
        <f t="shared" si="7"/>
        <v>0</v>
      </c>
      <c r="K35" s="11" t="str">
        <f t="shared" si="8"/>
        <v/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11"/>
      <c r="H36" s="10"/>
      <c r="I36" s="10">
        <f t="shared" si="6"/>
        <v>0</v>
      </c>
      <c r="J36" s="10">
        <f t="shared" si="7"/>
        <v>0</v>
      </c>
      <c r="K36" s="11" t="str">
        <f t="shared" si="8"/>
        <v/>
      </c>
    </row>
    <row r="37" spans="1:16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11"/>
      <c r="H37" s="10"/>
      <c r="I37" s="10">
        <f t="shared" si="6"/>
        <v>0</v>
      </c>
      <c r="J37" s="10">
        <f t="shared" si="7"/>
        <v>0</v>
      </c>
      <c r="K37" s="11" t="str">
        <f t="shared" si="8"/>
        <v/>
      </c>
      <c r="O37" t="inlineStr">
        <is>
          <t xml:space="preserve">The Great Slump - global depression after the Massiran Credit Crisis &amp; Global Austerity.</t>
        </is>
      </c>
      <c r="P37" t="inlineStr">
        <is>
          <t xml:space="preserve">The Great Slump (1729-33): the worldwide depression that followed the 1729 Massiran Credit Crisis and the GTU's Global Austerity doctrine.</t>
        </is>
      </c>
    </row>
    <row r="38" spans="1:16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11"/>
      <c r="H38" s="10"/>
      <c r="I38" s="10">
        <f t="shared" si="6"/>
        <v>0</v>
      </c>
      <c r="J38" s="10">
        <f t="shared" si="7"/>
        <v>0</v>
      </c>
      <c r="K38" s="11" t="str">
        <f t="shared" si="8"/>
        <v/>
      </c>
      <c r="O38" t="inlineStr">
        <is>
          <t xml:space="preserve">GTU 'Global Austerity' doctrine adopted amid the Massiran Credit Crisis.</t>
        </is>
      </c>
      <c r="P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11"/>
      <c r="H39" s="10"/>
      <c r="I39" s="10">
        <f t="shared" si="6"/>
        <v>0</v>
      </c>
      <c r="J39" s="10">
        <f t="shared" si="7"/>
        <v>0</v>
      </c>
      <c r="K39" s="11" t="str">
        <f t="shared" si="8"/>
        <v/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11"/>
      <c r="H40" s="10"/>
      <c r="I40" s="10">
        <f t="shared" si="6"/>
        <v>0</v>
      </c>
      <c r="J40" s="10">
        <f t="shared" si="7"/>
        <v>0</v>
      </c>
      <c r="K40" s="11" t="str">
        <f t="shared" si="8"/>
        <v/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11"/>
      <c r="H41" s="10"/>
      <c r="I41" s="10">
        <f t="shared" si="6"/>
        <v>0</v>
      </c>
      <c r="J41" s="10">
        <f t="shared" si="7"/>
        <v>0</v>
      </c>
      <c r="K41" s="11" t="str">
        <f t="shared" si="8"/>
        <v/>
      </c>
    </row>
    <row r="42" spans="1:16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11"/>
      <c r="H42" s="10"/>
      <c r="I42" s="10">
        <f t="shared" si="6"/>
        <v>0</v>
      </c>
      <c r="J42" s="10">
        <f t="shared" si="7"/>
        <v>0</v>
      </c>
      <c r="K42" s="11" t="str">
        <f t="shared" si="8"/>
        <v/>
      </c>
      <c r="O42" t="inlineStr">
        <is>
          <t xml:space="preserve">Oil Crisis - hit by the global oil shortage &amp; price spike (MPU supply cut).</t>
        </is>
      </c>
      <c r="P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11"/>
      <c r="H43" s="10"/>
      <c r="I43" s="10">
        <f t="shared" si="6"/>
        <v>0</v>
      </c>
      <c r="J43" s="10">
        <f t="shared" si="7"/>
        <v>0</v>
      </c>
      <c r="K43" s="11" t="str">
        <f t="shared" si="8"/>
        <v/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11"/>
      <c r="H44" s="10"/>
      <c r="I44" s="10">
        <f t="shared" si="6"/>
        <v>0</v>
      </c>
      <c r="J44" s="10">
        <f t="shared" si="7"/>
        <v>0</v>
      </c>
      <c r="K44" s="11" t="str">
        <f t="shared" si="8"/>
        <v/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11"/>
      <c r="H45" s="10"/>
      <c r="I45" s="10">
        <f t="shared" si="6"/>
        <v>0</v>
      </c>
      <c r="J45" s="10">
        <f t="shared" si="7"/>
        <v>0</v>
      </c>
      <c r="K45" s="11" t="str">
        <f t="shared" si="8"/>
        <v/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11"/>
      <c r="H46" s="10"/>
      <c r="I46" s="10">
        <f t="shared" si="6"/>
        <v>0</v>
      </c>
      <c r="J46" s="10">
        <f t="shared" si="7"/>
        <v>0</v>
      </c>
      <c r="K46" s="11" t="str">
        <f t="shared" si="8"/>
        <v/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11"/>
      <c r="H47" s="10"/>
      <c r="I47" s="10">
        <f t="shared" si="6"/>
        <v>0</v>
      </c>
      <c r="J47" s="10">
        <f t="shared" si="7"/>
        <v>0</v>
      </c>
      <c r="K47" s="11" t="str">
        <f t="shared" si="8"/>
        <v/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11"/>
      <c r="H48" s="10"/>
      <c r="I48" s="10">
        <f t="shared" si="6"/>
        <v>0</v>
      </c>
      <c r="J48" s="10">
        <f t="shared" si="7"/>
        <v>0</v>
      </c>
      <c r="K48" s="11" t="str">
        <f t="shared" si="8"/>
        <v/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11"/>
      <c r="H49" s="10"/>
      <c r="I49" s="10">
        <f t="shared" si="6"/>
        <v>0</v>
      </c>
      <c r="J49" s="10">
        <f t="shared" si="7"/>
        <v>0</v>
      </c>
      <c r="K49" s="11" t="str">
        <f t="shared" si="8"/>
        <v/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11"/>
      <c r="H50" s="10"/>
      <c r="I50" s="10">
        <f t="shared" ref="I50:I81" si="9">IF(H50&lt;&gt;"",H50,I49/(1+IF(G49="",0,G49)))</f>
        <v>0</v>
      </c>
      <c r="J50" s="10">
        <f t="shared" ref="J50:J81" si="10">IF(I50="","",I50*C50)</f>
        <v>0</v>
      </c>
      <c r="K50" s="11" t="str">
        <f t="shared" ref="K50:K81" si="11">IFERROR(J50/J51-1,"")</f>
        <v/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11"/>
      <c r="H51" s="10"/>
      <c r="I51" s="10">
        <f t="shared" si="9"/>
        <v>0</v>
      </c>
      <c r="J51" s="10">
        <f t="shared" si="10"/>
        <v>0</v>
      </c>
      <c r="K51" s="11" t="str">
        <f t="shared" si="11"/>
        <v/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11"/>
      <c r="H52" s="10"/>
      <c r="I52" s="10">
        <f t="shared" si="9"/>
        <v>0</v>
      </c>
      <c r="J52" s="10">
        <f t="shared" si="10"/>
        <v>0</v>
      </c>
      <c r="K52" s="11" t="str">
        <f t="shared" si="11"/>
        <v/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11"/>
      <c r="H53" s="10"/>
      <c r="I53" s="10">
        <f t="shared" si="9"/>
        <v>0</v>
      </c>
      <c r="J53" s="10">
        <f t="shared" si="10"/>
        <v>0</v>
      </c>
      <c r="K53" s="11" t="str">
        <f t="shared" si="11"/>
        <v/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11"/>
      <c r="H54" s="10"/>
      <c r="I54" s="10">
        <f t="shared" si="9"/>
        <v>0</v>
      </c>
      <c r="J54" s="10">
        <f t="shared" si="10"/>
        <v>0</v>
      </c>
      <c r="K54" s="11" t="str">
        <f t="shared" si="11"/>
        <v/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11"/>
      <c r="H55" s="10"/>
      <c r="I55" s="10">
        <f t="shared" si="9"/>
        <v>0</v>
      </c>
      <c r="J55" s="10">
        <f t="shared" si="10"/>
        <v>0</v>
      </c>
      <c r="K55" s="11" t="str">
        <f t="shared" si="11"/>
        <v/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11"/>
      <c r="H56" s="10"/>
      <c r="I56" s="10">
        <f t="shared" si="9"/>
        <v>0</v>
      </c>
      <c r="J56" s="10">
        <f t="shared" si="10"/>
        <v>0</v>
      </c>
      <c r="K56" s="11" t="str">
        <f t="shared" si="11"/>
        <v/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11"/>
      <c r="H57" s="10"/>
      <c r="I57" s="10">
        <f t="shared" si="9"/>
        <v>0</v>
      </c>
      <c r="J57" s="10">
        <f t="shared" si="10"/>
        <v>0</v>
      </c>
      <c r="K57" s="11" t="str">
        <f t="shared" si="11"/>
        <v/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11"/>
      <c r="H58" s="10"/>
      <c r="I58" s="10">
        <f t="shared" si="9"/>
        <v>0</v>
      </c>
      <c r="J58" s="10">
        <f t="shared" si="10"/>
        <v>0</v>
      </c>
      <c r="K58" s="11" t="str">
        <f t="shared" si="11"/>
        <v/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11"/>
      <c r="H59" s="10"/>
      <c r="I59" s="10">
        <f t="shared" si="9"/>
        <v>0</v>
      </c>
      <c r="J59" s="10">
        <f t="shared" si="10"/>
        <v>0</v>
      </c>
      <c r="K59" s="11" t="str">
        <f t="shared" si="11"/>
        <v/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11"/>
      <c r="H60" s="10"/>
      <c r="I60" s="10">
        <f t="shared" si="9"/>
        <v>0</v>
      </c>
      <c r="J60" s="10">
        <f t="shared" si="10"/>
        <v>0</v>
      </c>
      <c r="K60" s="11" t="str">
        <f t="shared" si="11"/>
        <v/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11"/>
      <c r="H61" s="10"/>
      <c r="I61" s="10">
        <f t="shared" si="9"/>
        <v>0</v>
      </c>
      <c r="J61" s="10">
        <f t="shared" si="10"/>
        <v>0</v>
      </c>
      <c r="K61" s="11" t="str">
        <f t="shared" si="11"/>
        <v/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11"/>
      <c r="H62" s="10"/>
      <c r="I62" s="10">
        <f t="shared" si="9"/>
        <v>0</v>
      </c>
      <c r="J62" s="10">
        <f t="shared" si="10"/>
        <v>0</v>
      </c>
      <c r="K62" s="11" t="str">
        <f t="shared" si="11"/>
        <v/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11"/>
      <c r="H63" s="10"/>
      <c r="I63" s="10">
        <f t="shared" si="9"/>
        <v>0</v>
      </c>
      <c r="J63" s="10">
        <f t="shared" si="10"/>
        <v>0</v>
      </c>
      <c r="K63" s="11" t="str">
        <f t="shared" si="11"/>
        <v/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11"/>
      <c r="H64" s="10"/>
      <c r="I64" s="10">
        <f t="shared" si="9"/>
        <v>0</v>
      </c>
      <c r="J64" s="10">
        <f t="shared" si="10"/>
        <v>0</v>
      </c>
      <c r="K64" s="11" t="str">
        <f t="shared" si="11"/>
        <v/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11"/>
      <c r="H65" s="10"/>
      <c r="I65" s="10">
        <f t="shared" si="9"/>
        <v>0</v>
      </c>
      <c r="J65" s="10">
        <f t="shared" si="10"/>
        <v>0</v>
      </c>
      <c r="K65" s="11" t="str">
        <f t="shared" si="11"/>
        <v/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6">
        <f>SUM(F2)</f>
        <v>85678806</v>
      </c>
      <c r="G66" s="11"/>
      <c r="H66" s="10"/>
      <c r="I66" s="10">
        <f t="shared" si="9"/>
        <v>0</v>
      </c>
      <c r="J66" s="10">
        <f t="shared" si="10"/>
        <v>0</v>
      </c>
      <c r="K66" s="11" t="str">
        <f t="shared" si="11"/>
        <v/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11"/>
      <c r="H67" s="10"/>
      <c r="I67" s="10">
        <f t="shared" si="9"/>
        <v>0</v>
      </c>
      <c r="J67" s="10">
        <f t="shared" si="10"/>
        <v>0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5">
        <v>12307247</v>
      </c>
      <c r="G2" s="11"/>
      <c r="H2" s="10"/>
      <c r="I2" s="10">
        <f>IF(H2&lt;&gt;"",H2,6032)</f>
        <v>6032</v>
      </c>
      <c r="J2" s="10">
        <f t="shared" ref="J2:J33" si="3">IF(I2="","",I2*C2)</f>
        <v>74235606994.994308</v>
      </c>
      <c r="K2" s="11">
        <f t="shared" ref="K2:K33" si="4">IFERROR(J2/J3-1,"")</f>
        <v>1.4999999999999902E-2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11"/>
      <c r="H3" s="10"/>
      <c r="I3" s="10">
        <f t="shared" ref="I3:I34" si="5">IF(H3&lt;&gt;"",H3,I2/(1+IF(G2="",0,G2)))</f>
        <v>6032</v>
      </c>
      <c r="J3" s="10">
        <f t="shared" si="3"/>
        <v>73138529059.107697</v>
      </c>
      <c r="K3" s="11">
        <f t="shared" si="4"/>
        <v>1.4699999999999935E-2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11"/>
      <c r="H4" s="10"/>
      <c r="I4" s="10">
        <f t="shared" si="5"/>
        <v>6032</v>
      </c>
      <c r="J4" s="10">
        <f t="shared" si="3"/>
        <v>72078968226.182816</v>
      </c>
      <c r="K4" s="11">
        <f t="shared" si="4"/>
        <v>1.4599999999999946E-2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11"/>
      <c r="H5" s="10"/>
      <c r="I5" s="10">
        <f t="shared" si="5"/>
        <v>6032</v>
      </c>
      <c r="J5" s="10">
        <f t="shared" si="3"/>
        <v>71041758551.333359</v>
      </c>
      <c r="K5" s="11">
        <f t="shared" si="4"/>
        <v>1.4500000000000179E-2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11"/>
      <c r="H6" s="10"/>
      <c r="I6" s="10">
        <f t="shared" si="5"/>
        <v>6032</v>
      </c>
      <c r="J6" s="10">
        <f t="shared" si="3"/>
        <v>70026376097.913605</v>
      </c>
      <c r="K6" s="11">
        <f t="shared" si="4"/>
        <v>1.4699999999999935E-2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11"/>
      <c r="H7" s="10"/>
      <c r="I7" s="10">
        <f t="shared" si="5"/>
        <v>6032</v>
      </c>
      <c r="J7" s="10">
        <f t="shared" si="3"/>
        <v>69011901150.994003</v>
      </c>
      <c r="K7" s="11">
        <f t="shared" si="4"/>
        <v>1.5200000000000102E-2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11"/>
      <c r="H8" s="10"/>
      <c r="I8" s="10">
        <f t="shared" si="5"/>
        <v>6032</v>
      </c>
      <c r="J8" s="10">
        <f t="shared" si="3"/>
        <v>67978626035.25808</v>
      </c>
      <c r="K8" s="11">
        <f t="shared" si="4"/>
        <v>1.5900000000000247E-2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11"/>
      <c r="H9" s="10"/>
      <c r="I9" s="10">
        <f t="shared" si="5"/>
        <v>6032</v>
      </c>
      <c r="J9" s="10">
        <f t="shared" si="3"/>
        <v>66914682582.201073</v>
      </c>
      <c r="K9" s="11">
        <f t="shared" si="4"/>
        <v>1.6999999999999682E-2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11"/>
      <c r="H10" s="10"/>
      <c r="I10" s="10">
        <f t="shared" si="5"/>
        <v>6032</v>
      </c>
      <c r="J10" s="10">
        <f t="shared" si="3"/>
        <v>65796148065.094482</v>
      </c>
      <c r="K10" s="11">
        <f t="shared" si="4"/>
        <v>1.8399999999999972E-2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11"/>
      <c r="H11" s="10"/>
      <c r="I11" s="10">
        <f t="shared" si="5"/>
        <v>6032</v>
      </c>
      <c r="J11" s="10">
        <f t="shared" si="3"/>
        <v>64607372412.70079</v>
      </c>
      <c r="K11" s="11">
        <f t="shared" si="4"/>
        <v>2.0100000000000007E-2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11"/>
      <c r="H12" s="10"/>
      <c r="I12" s="10">
        <f t="shared" si="5"/>
        <v>6032</v>
      </c>
      <c r="J12" s="10">
        <f t="shared" si="3"/>
        <v>63334351938.732269</v>
      </c>
      <c r="K12" s="11">
        <f t="shared" si="4"/>
        <v>2.1900000000000253E-2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11"/>
      <c r="H13" s="10"/>
      <c r="I13" s="10">
        <f t="shared" si="5"/>
        <v>6032</v>
      </c>
      <c r="J13" s="10">
        <f t="shared" si="3"/>
        <v>61977054446.35704</v>
      </c>
      <c r="K13" s="11">
        <f t="shared" si="4"/>
        <v>2.3600000000000065E-2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11"/>
      <c r="H14" s="10"/>
      <c r="I14" s="10">
        <f t="shared" si="5"/>
        <v>6032</v>
      </c>
      <c r="J14" s="10">
        <f t="shared" si="3"/>
        <v>60548118841.693085</v>
      </c>
      <c r="K14" s="11">
        <f t="shared" si="4"/>
        <v>2.50999999999999E-2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11"/>
      <c r="H15" s="10"/>
      <c r="I15" s="10">
        <f t="shared" si="5"/>
        <v>6032</v>
      </c>
      <c r="J15" s="10">
        <f t="shared" si="3"/>
        <v>59065572960.387367</v>
      </c>
      <c r="K15" s="11">
        <f t="shared" si="4"/>
        <v>2.6399999999999979E-2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11"/>
      <c r="H16" s="10"/>
      <c r="I16" s="10">
        <f t="shared" si="5"/>
        <v>6032</v>
      </c>
      <c r="J16" s="10">
        <f t="shared" si="3"/>
        <v>57546349337.867661</v>
      </c>
      <c r="K16" s="11">
        <f t="shared" si="4"/>
        <v>2.750000000000008E-2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11"/>
      <c r="H17" s="10"/>
      <c r="I17" s="10">
        <f t="shared" si="5"/>
        <v>6032</v>
      </c>
      <c r="J17" s="10">
        <f t="shared" si="3"/>
        <v>56006179404.250763</v>
      </c>
      <c r="K17" s="11">
        <f t="shared" si="4"/>
        <v>2.849999999999997E-2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11"/>
      <c r="H18" s="10"/>
      <c r="I18" s="10">
        <f t="shared" si="5"/>
        <v>6032</v>
      </c>
      <c r="J18" s="10">
        <f t="shared" si="3"/>
        <v>54454233742.587036</v>
      </c>
      <c r="K18" s="11">
        <f t="shared" si="4"/>
        <v>2.9300000000000104E-2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11"/>
      <c r="H19" s="10"/>
      <c r="I19" s="10">
        <f t="shared" si="5"/>
        <v>6032</v>
      </c>
      <c r="J19" s="10">
        <f t="shared" si="3"/>
        <v>52904142371.113403</v>
      </c>
      <c r="K19" s="11">
        <f t="shared" si="4"/>
        <v>3.0000000000000027E-2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11"/>
      <c r="H20" s="10"/>
      <c r="I20" s="10">
        <f t="shared" si="5"/>
        <v>6032</v>
      </c>
      <c r="J20" s="10">
        <f t="shared" si="3"/>
        <v>51363245020.498444</v>
      </c>
      <c r="K20" s="11">
        <f t="shared" si="4"/>
        <v>3.069999999999995E-2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11"/>
      <c r="H21" s="10"/>
      <c r="I21" s="10">
        <f t="shared" si="5"/>
        <v>6032</v>
      </c>
      <c r="J21" s="10">
        <f t="shared" si="3"/>
        <v>49833360842.629715</v>
      </c>
      <c r="K21" s="11">
        <f t="shared" si="4"/>
        <v>3.1300000000000106E-2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11"/>
      <c r="H22" s="10"/>
      <c r="I22" s="10">
        <f t="shared" si="5"/>
        <v>6032</v>
      </c>
      <c r="J22" s="10">
        <f t="shared" si="3"/>
        <v>48320916166.61467</v>
      </c>
      <c r="K22" s="11">
        <f t="shared" si="4"/>
        <v>3.2100000000000017E-2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11"/>
      <c r="H23" s="10"/>
      <c r="I23" s="10">
        <f t="shared" si="5"/>
        <v>6032</v>
      </c>
      <c r="J23" s="10">
        <f t="shared" si="3"/>
        <v>46818056551.317383</v>
      </c>
      <c r="K23" s="11">
        <f t="shared" si="4"/>
        <v>3.2899999999999929E-2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11"/>
      <c r="H24" s="10"/>
      <c r="I24" s="10">
        <f t="shared" si="5"/>
        <v>6032</v>
      </c>
      <c r="J24" s="10">
        <f t="shared" si="3"/>
        <v>45326804677.429939</v>
      </c>
      <c r="K24" s="11">
        <f t="shared" si="4"/>
        <v>3.3700000000000063E-2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11"/>
      <c r="H25" s="10"/>
      <c r="I25" s="10">
        <f t="shared" si="5"/>
        <v>6032</v>
      </c>
      <c r="J25" s="10">
        <f t="shared" si="3"/>
        <v>43849090333.201065</v>
      </c>
      <c r="K25" s="11">
        <f t="shared" si="4"/>
        <v>3.4599999999999964E-2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11"/>
      <c r="H26" s="10"/>
      <c r="I26" s="10">
        <f t="shared" si="5"/>
        <v>6032</v>
      </c>
      <c r="J26" s="10">
        <f t="shared" si="3"/>
        <v>42382650621.690575</v>
      </c>
      <c r="K26" s="11">
        <f t="shared" si="4"/>
        <v>3.5400000000000098E-2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11"/>
      <c r="H27" s="10"/>
      <c r="I27" s="10">
        <f t="shared" si="5"/>
        <v>6032</v>
      </c>
      <c r="J27" s="10">
        <f t="shared" si="3"/>
        <v>40933601141.28894</v>
      </c>
      <c r="K27" s="11">
        <f t="shared" si="4"/>
        <v>3.620000000000001E-2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11"/>
      <c r="H28" s="10"/>
      <c r="I28" s="10">
        <f t="shared" si="5"/>
        <v>6032</v>
      </c>
      <c r="J28" s="10">
        <f t="shared" si="3"/>
        <v>39503571840.65715</v>
      </c>
      <c r="K28" s="11">
        <f t="shared" si="4"/>
        <v>3.6799999999999944E-2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11"/>
      <c r="H29" s="10"/>
      <c r="I29" s="10">
        <f t="shared" si="5"/>
        <v>6032</v>
      </c>
      <c r="J29" s="10">
        <f t="shared" si="3"/>
        <v>38101438889.522713</v>
      </c>
      <c r="K29" s="11">
        <f t="shared" si="4"/>
        <v>3.7300000000000111E-2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11"/>
      <c r="H30" s="10"/>
      <c r="I30" s="10">
        <f t="shared" si="5"/>
        <v>6032</v>
      </c>
      <c r="J30" s="10">
        <f t="shared" si="3"/>
        <v>36731359191.673294</v>
      </c>
      <c r="K30" s="11">
        <f t="shared" si="4"/>
        <v>3.7700000000000067E-2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11"/>
      <c r="H31" s="10"/>
      <c r="I31" s="10">
        <f t="shared" si="5"/>
        <v>6032</v>
      </c>
      <c r="J31" s="10">
        <f t="shared" si="3"/>
        <v>35396896204.754066</v>
      </c>
      <c r="K31" s="11">
        <f t="shared" si="4"/>
        <v>3.8000000000000034E-2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11"/>
      <c r="H32" s="10"/>
      <c r="I32" s="10">
        <f t="shared" si="5"/>
        <v>6032</v>
      </c>
      <c r="J32" s="10">
        <f t="shared" si="3"/>
        <v>34101056073.944183</v>
      </c>
      <c r="K32" s="11">
        <f t="shared" si="4"/>
        <v>3.8200000000000012E-2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11"/>
      <c r="H33" s="10"/>
      <c r="I33" s="10">
        <f t="shared" si="5"/>
        <v>6032</v>
      </c>
      <c r="J33" s="10">
        <f t="shared" si="3"/>
        <v>32846326405.26313</v>
      </c>
      <c r="K33" s="11">
        <f t="shared" si="4"/>
        <v>3.8400000000000212E-2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11"/>
      <c r="H34" s="10"/>
      <c r="I34" s="10">
        <f t="shared" si="5"/>
        <v>6032</v>
      </c>
      <c r="J34" s="10">
        <f t="shared" ref="J34:J65" si="6">IF(I34="","",I34*C34)</f>
        <v>31631670267.009945</v>
      </c>
      <c r="K34" s="11">
        <f t="shared" ref="K34:K65" si="7">IFERROR(J34/J35-1,"")</f>
        <v>3.8499999999999979E-2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11"/>
      <c r="H35" s="10"/>
      <c r="I35" s="10">
        <f t="shared" ref="I35:I66" si="8">IF(H35&lt;&gt;"",H35,I34/(1+IF(G34="",0,G34)))</f>
        <v>6032</v>
      </c>
      <c r="J35" s="10">
        <f t="shared" si="6"/>
        <v>30458998812.720219</v>
      </c>
      <c r="K35" s="11">
        <f t="shared" si="7"/>
        <v>3.8599999999999968E-2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11"/>
      <c r="H36" s="10"/>
      <c r="I36" s="10">
        <f t="shared" si="8"/>
        <v>6032</v>
      </c>
      <c r="J36" s="10">
        <f t="shared" si="6"/>
        <v>29326977481.918179</v>
      </c>
      <c r="K36" s="11">
        <f t="shared" si="7"/>
        <v>3.8599999999999968E-2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11"/>
      <c r="H37" s="10"/>
      <c r="I37" s="10">
        <f t="shared" si="8"/>
        <v>6032</v>
      </c>
      <c r="J37" s="10">
        <f t="shared" si="6"/>
        <v>28237028193.643539</v>
      </c>
      <c r="K37" s="11">
        <f t="shared" si="7"/>
        <v>3.8499999999999979E-2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11"/>
      <c r="H38" s="10"/>
      <c r="I38" s="10">
        <f t="shared" si="8"/>
        <v>6032</v>
      </c>
      <c r="J38" s="10">
        <f t="shared" si="6"/>
        <v>27190205289.979336</v>
      </c>
      <c r="K38" s="11">
        <f t="shared" si="7"/>
        <v>3.839999999999999E-2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11"/>
      <c r="H39" s="10"/>
      <c r="I39" s="10">
        <f t="shared" si="8"/>
        <v>6032</v>
      </c>
      <c r="J39" s="10">
        <f t="shared" si="6"/>
        <v>26184712336.266697</v>
      </c>
      <c r="K39" s="11">
        <f t="shared" si="7"/>
        <v>3.8000000000000256E-2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11"/>
      <c r="H40" s="10"/>
      <c r="I40" s="10">
        <f t="shared" si="8"/>
        <v>6032</v>
      </c>
      <c r="J40" s="10">
        <f t="shared" si="6"/>
        <v>25226119784.457314</v>
      </c>
      <c r="K40" s="11">
        <f t="shared" si="7"/>
        <v>3.7499999999999867E-2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11"/>
      <c r="H41" s="10"/>
      <c r="I41" s="10">
        <f t="shared" si="8"/>
        <v>6032</v>
      </c>
      <c r="J41" s="10">
        <f t="shared" si="6"/>
        <v>24314332322.368496</v>
      </c>
      <c r="K41" s="11">
        <f t="shared" si="7"/>
        <v>3.6800000000000166E-2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11"/>
      <c r="H42" s="10"/>
      <c r="I42" s="10">
        <f t="shared" si="8"/>
        <v>6032</v>
      </c>
      <c r="J42" s="10">
        <f t="shared" si="6"/>
        <v>23451323613.395538</v>
      </c>
      <c r="K42" s="11">
        <f t="shared" si="7"/>
        <v>3.5800000000000054E-2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11"/>
      <c r="H43" s="10"/>
      <c r="I43" s="10">
        <f t="shared" si="8"/>
        <v>6032</v>
      </c>
      <c r="J43" s="10">
        <f t="shared" si="6"/>
        <v>22640783561.880226</v>
      </c>
      <c r="K43" s="11">
        <f t="shared" si="7"/>
        <v>3.479999999999972E-2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11"/>
      <c r="H44" s="10"/>
      <c r="I44" s="10">
        <f t="shared" si="8"/>
        <v>6032</v>
      </c>
      <c r="J44" s="10">
        <f t="shared" si="6"/>
        <v>21879381099.613674</v>
      </c>
      <c r="K44" s="11">
        <f t="shared" si="7"/>
        <v>3.3700000000000063E-2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11"/>
      <c r="H45" s="10"/>
      <c r="I45" s="10">
        <f t="shared" si="8"/>
        <v>6032</v>
      </c>
      <c r="J45" s="10">
        <f t="shared" si="6"/>
        <v>21166084066.570255</v>
      </c>
      <c r="K45" s="11">
        <f t="shared" si="7"/>
        <v>3.2599999999999962E-2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11"/>
      <c r="H46" s="10"/>
      <c r="I46" s="10">
        <f t="shared" si="8"/>
        <v>6032</v>
      </c>
      <c r="J46" s="10">
        <f t="shared" si="6"/>
        <v>20497854025.34404</v>
      </c>
      <c r="K46" s="11">
        <f t="shared" si="7"/>
        <v>3.159999999999985E-2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11"/>
      <c r="H47" s="10"/>
      <c r="I47" s="10">
        <f t="shared" si="8"/>
        <v>6032</v>
      </c>
      <c r="J47" s="10">
        <f t="shared" si="6"/>
        <v>19869963188.584763</v>
      </c>
      <c r="K47" s="11">
        <f t="shared" si="7"/>
        <v>3.069999999999995E-2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11"/>
      <c r="H48" s="10"/>
      <c r="I48" s="10">
        <f t="shared" si="8"/>
        <v>6032</v>
      </c>
      <c r="J48" s="10">
        <f t="shared" si="6"/>
        <v>19278124758.498848</v>
      </c>
      <c r="K48" s="11">
        <f t="shared" si="7"/>
        <v>2.990000000000026E-2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11"/>
      <c r="H49" s="10"/>
      <c r="I49" s="10">
        <f t="shared" si="8"/>
        <v>6032</v>
      </c>
      <c r="J49" s="10">
        <f t="shared" si="6"/>
        <v>18718443303.717686</v>
      </c>
      <c r="K49" s="11">
        <f t="shared" si="7"/>
        <v>2.9400000000000093E-2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11"/>
      <c r="H50" s="10"/>
      <c r="I50" s="10">
        <f t="shared" si="8"/>
        <v>6032</v>
      </c>
      <c r="J50" s="10">
        <f t="shared" si="6"/>
        <v>18183838453.193787</v>
      </c>
      <c r="K50" s="11">
        <f t="shared" si="7"/>
        <v>2.9099999999999904E-2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11"/>
      <c r="H51" s="10"/>
      <c r="I51" s="10">
        <f t="shared" si="8"/>
        <v>6032</v>
      </c>
      <c r="J51" s="10">
        <f t="shared" si="6"/>
        <v>17669651591.870361</v>
      </c>
      <c r="K51" s="11">
        <f t="shared" si="7"/>
        <v>2.8799999999999937E-2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11"/>
      <c r="H52" s="10"/>
      <c r="I52" s="10">
        <f t="shared" si="8"/>
        <v>6032</v>
      </c>
      <c r="J52" s="10">
        <f t="shared" si="6"/>
        <v>17175011267.370104</v>
      </c>
      <c r="K52" s="11">
        <f t="shared" si="7"/>
        <v>2.8599999999999959E-2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11"/>
      <c r="H53" s="10"/>
      <c r="I53" s="10">
        <f t="shared" si="8"/>
        <v>6032</v>
      </c>
      <c r="J53" s="10">
        <f t="shared" si="6"/>
        <v>16697463802.615307</v>
      </c>
      <c r="K53" s="11">
        <f t="shared" si="7"/>
        <v>2.8399999999999981E-2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11"/>
      <c r="H54" s="10"/>
      <c r="I54" s="10">
        <f t="shared" si="8"/>
        <v>6032</v>
      </c>
      <c r="J54" s="10">
        <f t="shared" si="6"/>
        <v>16236351422.224142</v>
      </c>
      <c r="K54" s="11">
        <f t="shared" si="7"/>
        <v>2.8200000000000003E-2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11"/>
      <c r="H55" s="10"/>
      <c r="I55" s="10">
        <f t="shared" si="8"/>
        <v>6032</v>
      </c>
      <c r="J55" s="10">
        <f t="shared" si="6"/>
        <v>15791043981.933615</v>
      </c>
      <c r="K55" s="11">
        <f t="shared" si="7"/>
        <v>2.8000000000000025E-2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11"/>
      <c r="H56" s="10"/>
      <c r="I56" s="10">
        <f t="shared" si="8"/>
        <v>6032</v>
      </c>
      <c r="J56" s="10">
        <f t="shared" si="6"/>
        <v>15360937725.616356</v>
      </c>
      <c r="K56" s="11">
        <f t="shared" si="7"/>
        <v>2.7700000000000058E-2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11"/>
      <c r="H57" s="10"/>
      <c r="I57" s="10">
        <f t="shared" si="8"/>
        <v>6032</v>
      </c>
      <c r="J57" s="10">
        <f t="shared" si="6"/>
        <v>14946908363.935347</v>
      </c>
      <c r="K57" s="11">
        <f t="shared" si="7"/>
        <v>2.7199999999999669E-2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11"/>
      <c r="H58" s="10"/>
      <c r="I58" s="10">
        <f t="shared" si="8"/>
        <v>6032</v>
      </c>
      <c r="J58" s="10">
        <f t="shared" si="6"/>
        <v>14551117955.544538</v>
      </c>
      <c r="K58" s="11">
        <f t="shared" si="7"/>
        <v>2.6599999999999957E-2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11"/>
      <c r="H59" s="10"/>
      <c r="I59" s="10">
        <f t="shared" si="8"/>
        <v>6032</v>
      </c>
      <c r="J59" s="10">
        <f t="shared" si="6"/>
        <v>14174087235.091114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11"/>
      <c r="H60" s="10"/>
      <c r="I60" s="10">
        <f t="shared" si="8"/>
        <v>6032</v>
      </c>
      <c r="J60" s="10">
        <f t="shared" si="6"/>
        <v>13818940465.137089</v>
      </c>
      <c r="K60" s="11">
        <f t="shared" si="7"/>
        <v>2.4499999999999966E-2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11"/>
      <c r="H61" s="10"/>
      <c r="I61" s="10">
        <f t="shared" si="8"/>
        <v>6032</v>
      </c>
      <c r="J61" s="10">
        <f t="shared" si="6"/>
        <v>13488472879.587204</v>
      </c>
      <c r="K61" s="11">
        <f t="shared" si="7"/>
        <v>2.3099999999999898E-2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11"/>
      <c r="H62" s="10"/>
      <c r="I62" s="10">
        <f t="shared" si="8"/>
        <v>6032</v>
      </c>
      <c r="J62" s="10">
        <f t="shared" si="6"/>
        <v>13183924229.877045</v>
      </c>
      <c r="K62" s="11">
        <f t="shared" si="7"/>
        <v>2.1600000000000286E-2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11"/>
      <c r="H63" s="10"/>
      <c r="I63" s="10">
        <f t="shared" si="8"/>
        <v>6032</v>
      </c>
      <c r="J63" s="10">
        <f t="shared" si="6"/>
        <v>12905172503.795069</v>
      </c>
      <c r="K63" s="11">
        <f t="shared" si="7"/>
        <v>2.0000000000000018E-2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11"/>
      <c r="H64" s="10"/>
      <c r="I64" s="10">
        <f t="shared" si="8"/>
        <v>6032</v>
      </c>
      <c r="J64" s="10">
        <f t="shared" si="6"/>
        <v>12652129905.68144</v>
      </c>
      <c r="K64" s="11">
        <f t="shared" si="7"/>
        <v>1.8299999999999983E-2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11"/>
      <c r="H65" s="10"/>
      <c r="I65" s="10">
        <f t="shared" si="8"/>
        <v>6032</v>
      </c>
      <c r="J65" s="10">
        <f t="shared" si="6"/>
        <v>12424756855.230719</v>
      </c>
      <c r="K65" s="11">
        <f t="shared" si="7"/>
        <v>1.639999999999997E-2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6">
        <f>SUM(F2)</f>
        <v>12307247</v>
      </c>
      <c r="G66" s="11"/>
      <c r="H66" s="10"/>
      <c r="I66" s="10">
        <f t="shared" si="8"/>
        <v>6032</v>
      </c>
      <c r="J66" s="10">
        <f t="shared" ref="J66:J97" si="9">IF(I66="","",I66*C66)</f>
        <v>12224278684.799999</v>
      </c>
      <c r="K66" s="11">
        <f t="shared" ref="K66:K97" si="10">IFERROR(J66/J67-1,"")</f>
        <v>1.4299999999999979E-2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11"/>
      <c r="H67" s="10"/>
      <c r="I67" s="10">
        <f t="shared" ref="I67:I98" si="11">IF(H67&lt;&gt;"",H67,I66/(1+IF(G66="",0,G66)))</f>
        <v>6032</v>
      </c>
      <c r="J67" s="10">
        <f t="shared" si="9"/>
        <v>12051936000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5">
        <v>7437017</v>
      </c>
      <c r="G2" s="11"/>
      <c r="H2" s="10"/>
      <c r="I2" s="10">
        <f>IF(H2&lt;&gt;"",H2,1060)</f>
        <v>1060</v>
      </c>
      <c r="J2" s="10">
        <f t="shared" ref="J2:J33" si="3">IF(I2="","",I2*C2)</f>
        <v>7883699476.400053</v>
      </c>
      <c r="K2" s="11">
        <f t="shared" ref="K2:K33" si="4">IFERROR(J2/J3-1,"")</f>
        <v>1.0999999999999899E-2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11"/>
      <c r="H3" s="10"/>
      <c r="I3" s="10">
        <f t="shared" ref="I3:I34" si="5">IF(H3&lt;&gt;"",H3,I2/(1+IF(G2="",0,G2)))</f>
        <v>1060</v>
      </c>
      <c r="J3" s="10">
        <f t="shared" si="3"/>
        <v>7797922330.7616758</v>
      </c>
      <c r="K3" s="11">
        <f t="shared" si="4"/>
        <v>1.1400000000000077E-2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11"/>
      <c r="H4" s="10"/>
      <c r="I4" s="10">
        <f t="shared" si="5"/>
        <v>1060</v>
      </c>
      <c r="J4" s="10">
        <f t="shared" si="3"/>
        <v>7710028011.4313574</v>
      </c>
      <c r="K4" s="11">
        <f t="shared" si="4"/>
        <v>1.1900000000000022E-2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11"/>
      <c r="H5" s="10"/>
      <c r="I5" s="10">
        <f t="shared" si="5"/>
        <v>1060</v>
      </c>
      <c r="J5" s="10">
        <f t="shared" si="3"/>
        <v>7619357655.3328953</v>
      </c>
      <c r="K5" s="11">
        <f t="shared" si="4"/>
        <v>1.2499999999999956E-2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11"/>
      <c r="H6" s="10"/>
      <c r="I6" s="10">
        <f t="shared" si="5"/>
        <v>1060</v>
      </c>
      <c r="J6" s="10">
        <f t="shared" si="3"/>
        <v>7525291511.4398966</v>
      </c>
      <c r="K6" s="11">
        <f t="shared" si="4"/>
        <v>1.330000000000009E-2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11"/>
      <c r="H7" s="10"/>
      <c r="I7" s="10">
        <f t="shared" si="5"/>
        <v>1060</v>
      </c>
      <c r="J7" s="10">
        <f t="shared" si="3"/>
        <v>7426518811.250268</v>
      </c>
      <c r="K7" s="11">
        <f t="shared" si="4"/>
        <v>1.4100000000000001E-2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11"/>
      <c r="H8" s="10"/>
      <c r="I8" s="10">
        <f t="shared" si="5"/>
        <v>1060</v>
      </c>
      <c r="J8" s="10">
        <f t="shared" si="3"/>
        <v>7323260833.4979467</v>
      </c>
      <c r="K8" s="11">
        <f t="shared" si="4"/>
        <v>1.4899999999999913E-2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11"/>
      <c r="H9" s="10"/>
      <c r="I9" s="10">
        <f t="shared" si="5"/>
        <v>1060</v>
      </c>
      <c r="J9" s="10">
        <f t="shared" si="3"/>
        <v>7215746214.895997</v>
      </c>
      <c r="K9" s="11">
        <f t="shared" si="4"/>
        <v>1.5500000000000069E-2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11"/>
      <c r="H10" s="10"/>
      <c r="I10" s="10">
        <f t="shared" si="5"/>
        <v>1060</v>
      </c>
      <c r="J10" s="10">
        <f t="shared" si="3"/>
        <v>7105609271.1925125</v>
      </c>
      <c r="K10" s="11">
        <f t="shared" si="4"/>
        <v>1.5800000000000036E-2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11"/>
      <c r="H11" s="10"/>
      <c r="I11" s="10">
        <f t="shared" si="5"/>
        <v>1060</v>
      </c>
      <c r="J11" s="10">
        <f t="shared" si="3"/>
        <v>6995086898.2009373</v>
      </c>
      <c r="K11" s="11">
        <f t="shared" si="4"/>
        <v>1.5800000000000036E-2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11"/>
      <c r="H12" s="10"/>
      <c r="I12" s="10">
        <f t="shared" si="5"/>
        <v>1060</v>
      </c>
      <c r="J12" s="10">
        <f t="shared" si="3"/>
        <v>6886283617.0515223</v>
      </c>
      <c r="K12" s="11">
        <f t="shared" si="4"/>
        <v>1.5699999999999825E-2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11"/>
      <c r="H13" s="10"/>
      <c r="I13" s="10">
        <f t="shared" si="5"/>
        <v>1060</v>
      </c>
      <c r="J13" s="10">
        <f t="shared" si="3"/>
        <v>6779840127.0567322</v>
      </c>
      <c r="K13" s="11">
        <f t="shared" si="4"/>
        <v>1.5600000000000058E-2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11"/>
      <c r="H14" s="10"/>
      <c r="I14" s="10">
        <f t="shared" si="5"/>
        <v>1060</v>
      </c>
      <c r="J14" s="10">
        <f t="shared" si="3"/>
        <v>6675699219.23664</v>
      </c>
      <c r="K14" s="11">
        <f t="shared" si="4"/>
        <v>1.5800000000000036E-2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11"/>
      <c r="H15" s="10"/>
      <c r="I15" s="10">
        <f t="shared" si="5"/>
        <v>1060</v>
      </c>
      <c r="J15" s="10">
        <f t="shared" si="3"/>
        <v>6571863771.6446543</v>
      </c>
      <c r="K15" s="11">
        <f t="shared" si="4"/>
        <v>1.6299999999999981E-2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11"/>
      <c r="H16" s="10"/>
      <c r="I16" s="10">
        <f t="shared" si="5"/>
        <v>1060</v>
      </c>
      <c r="J16" s="10">
        <f t="shared" si="3"/>
        <v>6466460466.0480709</v>
      </c>
      <c r="K16" s="11">
        <f t="shared" si="4"/>
        <v>1.7200000000000104E-2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11"/>
      <c r="H17" s="10"/>
      <c r="I17" s="10">
        <f t="shared" si="5"/>
        <v>1060</v>
      </c>
      <c r="J17" s="10">
        <f t="shared" si="3"/>
        <v>6357118035.8317642</v>
      </c>
      <c r="K17" s="11">
        <f t="shared" si="4"/>
        <v>1.839999999999975E-2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11"/>
      <c r="H18" s="10"/>
      <c r="I18" s="10">
        <f t="shared" si="5"/>
        <v>1060</v>
      </c>
      <c r="J18" s="10">
        <f t="shared" si="3"/>
        <v>6242260443.6682692</v>
      </c>
      <c r="K18" s="11">
        <f t="shared" si="4"/>
        <v>1.980000000000004E-2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11"/>
      <c r="H19" s="10"/>
      <c r="I19" s="10">
        <f t="shared" si="5"/>
        <v>1060</v>
      </c>
      <c r="J19" s="10">
        <f t="shared" si="3"/>
        <v>6121063388.5744944</v>
      </c>
      <c r="K19" s="11">
        <f t="shared" si="4"/>
        <v>2.1200000000000108E-2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11"/>
      <c r="H20" s="10"/>
      <c r="I20" s="10">
        <f t="shared" si="5"/>
        <v>1060</v>
      </c>
      <c r="J20" s="10">
        <f t="shared" si="3"/>
        <v>5993990783.9546547</v>
      </c>
      <c r="K20" s="11">
        <f t="shared" si="4"/>
        <v>2.2599999999999953E-2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11"/>
      <c r="H21" s="10"/>
      <c r="I21" s="10">
        <f t="shared" si="5"/>
        <v>1060</v>
      </c>
      <c r="J21" s="10">
        <f t="shared" si="3"/>
        <v>5861520422.4082289</v>
      </c>
      <c r="K21" s="11">
        <f t="shared" si="4"/>
        <v>2.3700000000000054E-2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11"/>
      <c r="H22" s="10"/>
      <c r="I22" s="10">
        <f t="shared" si="5"/>
        <v>1060</v>
      </c>
      <c r="J22" s="10">
        <f t="shared" si="3"/>
        <v>5725818523.4035635</v>
      </c>
      <c r="K22" s="11">
        <f t="shared" si="4"/>
        <v>2.4499999999999966E-2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11"/>
      <c r="H23" s="10"/>
      <c r="I23" s="10">
        <f t="shared" si="5"/>
        <v>1060</v>
      </c>
      <c r="J23" s="10">
        <f t="shared" si="3"/>
        <v>5588890701.2235861</v>
      </c>
      <c r="K23" s="11">
        <f t="shared" si="4"/>
        <v>2.50999999999999E-2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11"/>
      <c r="H24" s="10"/>
      <c r="I24" s="10">
        <f t="shared" si="5"/>
        <v>1060</v>
      </c>
      <c r="J24" s="10">
        <f t="shared" si="3"/>
        <v>5452044387.1071959</v>
      </c>
      <c r="K24" s="11">
        <f t="shared" si="4"/>
        <v>2.5400000000000089E-2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11"/>
      <c r="H25" s="10"/>
      <c r="I25" s="10">
        <f t="shared" si="5"/>
        <v>1060</v>
      </c>
      <c r="J25" s="10">
        <f t="shared" si="3"/>
        <v>5316992770.7306376</v>
      </c>
      <c r="K25" s="11">
        <f t="shared" si="4"/>
        <v>2.5800000000000267E-2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11"/>
      <c r="H26" s="10"/>
      <c r="I26" s="10">
        <f t="shared" si="5"/>
        <v>1060</v>
      </c>
      <c r="J26" s="10">
        <f t="shared" si="3"/>
        <v>5183264545.4578247</v>
      </c>
      <c r="K26" s="11">
        <f t="shared" si="4"/>
        <v>2.6399999999999757E-2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11"/>
      <c r="H27" s="10"/>
      <c r="I27" s="10">
        <f t="shared" si="5"/>
        <v>1060</v>
      </c>
      <c r="J27" s="10">
        <f t="shared" si="3"/>
        <v>5049945971.8022461</v>
      </c>
      <c r="K27" s="11">
        <f t="shared" si="4"/>
        <v>2.7300000000000102E-2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11"/>
      <c r="H28" s="10"/>
      <c r="I28" s="10">
        <f t="shared" si="5"/>
        <v>1060</v>
      </c>
      <c r="J28" s="10">
        <f t="shared" si="3"/>
        <v>4915746103.1852875</v>
      </c>
      <c r="K28" s="11">
        <f t="shared" si="4"/>
        <v>2.8400000000000203E-2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11"/>
      <c r="H29" s="10"/>
      <c r="I29" s="10">
        <f t="shared" si="5"/>
        <v>1060</v>
      </c>
      <c r="J29" s="10">
        <f t="shared" si="3"/>
        <v>4779994266.0300341</v>
      </c>
      <c r="K29" s="11">
        <f t="shared" si="4"/>
        <v>2.970000000000006E-2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11"/>
      <c r="H30" s="10"/>
      <c r="I30" s="10">
        <f t="shared" si="5"/>
        <v>1060</v>
      </c>
      <c r="J30" s="10">
        <f t="shared" si="3"/>
        <v>4642123206.7884178</v>
      </c>
      <c r="K30" s="11">
        <f t="shared" si="4"/>
        <v>3.0899999999999928E-2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11"/>
      <c r="H31" s="10"/>
      <c r="I31" s="10">
        <f t="shared" si="5"/>
        <v>1060</v>
      </c>
      <c r="J31" s="10">
        <f t="shared" si="3"/>
        <v>4502981091.0742245</v>
      </c>
      <c r="K31" s="11">
        <f t="shared" si="4"/>
        <v>3.1900000000000039E-2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11"/>
      <c r="H32" s="10"/>
      <c r="I32" s="10">
        <f t="shared" si="5"/>
        <v>1060</v>
      </c>
      <c r="J32" s="10">
        <f t="shared" si="3"/>
        <v>4363776616.9921741</v>
      </c>
      <c r="K32" s="11">
        <f t="shared" si="4"/>
        <v>3.2600000000000184E-2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11"/>
      <c r="H33" s="10"/>
      <c r="I33" s="10">
        <f t="shared" si="5"/>
        <v>1060</v>
      </c>
      <c r="J33" s="10">
        <f t="shared" si="3"/>
        <v>4226008732.3185878</v>
      </c>
      <c r="K33" s="11">
        <f t="shared" si="4"/>
        <v>3.279999999999994E-2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11"/>
      <c r="H34" s="10"/>
      <c r="I34" s="10">
        <f t="shared" si="5"/>
        <v>1060</v>
      </c>
      <c r="J34" s="10">
        <f t="shared" ref="J34:J65" si="6">IF(I34="","",I34*C34)</f>
        <v>4091797765.6066885</v>
      </c>
      <c r="K34" s="11">
        <f t="shared" ref="K34:K65" si="7">IFERROR(J34/J35-1,"")</f>
        <v>3.2699999999999951E-2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11"/>
      <c r="H35" s="10"/>
      <c r="I35" s="10">
        <f t="shared" ref="I35:I66" si="8">IF(H35&lt;&gt;"",H35,I34/(1+IF(G34="",0,G34)))</f>
        <v>1060</v>
      </c>
      <c r="J35" s="10">
        <f t="shared" si="6"/>
        <v>3962232754.5334454</v>
      </c>
      <c r="K35" s="11">
        <f t="shared" si="7"/>
        <v>3.2299999999999995E-2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11"/>
      <c r="H36" s="10"/>
      <c r="I36" s="10">
        <f t="shared" si="8"/>
        <v>1060</v>
      </c>
      <c r="J36" s="10">
        <f t="shared" si="6"/>
        <v>3838257051.7615471</v>
      </c>
      <c r="K36" s="11">
        <f t="shared" si="7"/>
        <v>3.1900000000000039E-2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11"/>
      <c r="H37" s="10"/>
      <c r="I37" s="10">
        <f t="shared" si="8"/>
        <v>1060</v>
      </c>
      <c r="J37" s="10">
        <f t="shared" si="6"/>
        <v>3719601755.7530255</v>
      </c>
      <c r="K37" s="11">
        <f t="shared" si="7"/>
        <v>3.1600000000000072E-2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11"/>
      <c r="H38" s="10"/>
      <c r="I38" s="10">
        <f t="shared" si="8"/>
        <v>1060</v>
      </c>
      <c r="J38" s="10">
        <f t="shared" si="6"/>
        <v>3605662810.9277096</v>
      </c>
      <c r="K38" s="11">
        <f t="shared" si="7"/>
        <v>3.1600000000000072E-2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11"/>
      <c r="H39" s="10"/>
      <c r="I39" s="10">
        <f t="shared" si="8"/>
        <v>1060</v>
      </c>
      <c r="J39" s="10">
        <f t="shared" si="6"/>
        <v>3495214047.0412073</v>
      </c>
      <c r="K39" s="11">
        <f t="shared" si="7"/>
        <v>3.2000000000000028E-2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11"/>
      <c r="H40" s="10"/>
      <c r="I40" s="10">
        <f t="shared" si="8"/>
        <v>1060</v>
      </c>
      <c r="J40" s="10">
        <f t="shared" si="6"/>
        <v>3386835316.9003944</v>
      </c>
      <c r="K40" s="11">
        <f t="shared" si="7"/>
        <v>3.2899999999999929E-2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11"/>
      <c r="H41" s="10"/>
      <c r="I41" s="10">
        <f t="shared" si="8"/>
        <v>1060</v>
      </c>
      <c r="J41" s="10">
        <f t="shared" si="6"/>
        <v>3278957611.4826164</v>
      </c>
      <c r="K41" s="11">
        <f t="shared" si="7"/>
        <v>3.4100000000000019E-2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11"/>
      <c r="H42" s="10"/>
      <c r="I42" s="10">
        <f t="shared" si="8"/>
        <v>1060</v>
      </c>
      <c r="J42" s="10">
        <f t="shared" si="6"/>
        <v>3170832232.359169</v>
      </c>
      <c r="K42" s="11">
        <f t="shared" si="7"/>
        <v>3.5600000000000076E-2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11"/>
      <c r="H43" s="10"/>
      <c r="I43" s="10">
        <f t="shared" si="8"/>
        <v>1060</v>
      </c>
      <c r="J43" s="10">
        <f t="shared" si="6"/>
        <v>3061831047.0830135</v>
      </c>
      <c r="K43" s="11">
        <f t="shared" si="7"/>
        <v>3.7300000000000111E-2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11"/>
      <c r="H44" s="10"/>
      <c r="I44" s="10">
        <f t="shared" si="8"/>
        <v>1060</v>
      </c>
      <c r="J44" s="10">
        <f t="shared" si="6"/>
        <v>2951731463.4946623</v>
      </c>
      <c r="K44" s="11">
        <f t="shared" si="7"/>
        <v>3.8799999999999724E-2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11"/>
      <c r="H45" s="10"/>
      <c r="I45" s="10">
        <f t="shared" si="8"/>
        <v>1060</v>
      </c>
      <c r="J45" s="10">
        <f t="shared" si="6"/>
        <v>2841481963.3179274</v>
      </c>
      <c r="K45" s="11">
        <f t="shared" si="7"/>
        <v>4.0100000000000025E-2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11"/>
      <c r="H46" s="10"/>
      <c r="I46" s="10">
        <f t="shared" si="8"/>
        <v>1060</v>
      </c>
      <c r="J46" s="10">
        <f t="shared" si="6"/>
        <v>2731931509.7759132</v>
      </c>
      <c r="K46" s="11">
        <f t="shared" si="7"/>
        <v>4.0999999999999925E-2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11"/>
      <c r="H47" s="10"/>
      <c r="I47" s="10">
        <f t="shared" si="8"/>
        <v>1060</v>
      </c>
      <c r="J47" s="10">
        <f t="shared" si="6"/>
        <v>2624333823.0316172</v>
      </c>
      <c r="K47" s="11">
        <f t="shared" si="7"/>
        <v>4.1199999999999903E-2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11"/>
      <c r="H48" s="10"/>
      <c r="I48" s="10">
        <f t="shared" si="8"/>
        <v>1060</v>
      </c>
      <c r="J48" s="10">
        <f t="shared" si="6"/>
        <v>2520489649.4733167</v>
      </c>
      <c r="K48" s="11">
        <f t="shared" si="7"/>
        <v>4.0699999999999958E-2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11"/>
      <c r="H49" s="10"/>
      <c r="I49" s="10">
        <f t="shared" si="8"/>
        <v>1060</v>
      </c>
      <c r="J49" s="10">
        <f t="shared" si="6"/>
        <v>2421917603.0299959</v>
      </c>
      <c r="K49" s="11">
        <f t="shared" si="7"/>
        <v>3.9400000000000102E-2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11"/>
      <c r="H50" s="10"/>
      <c r="I50" s="10">
        <f t="shared" si="8"/>
        <v>1060</v>
      </c>
      <c r="J50" s="10">
        <f t="shared" si="6"/>
        <v>2330111220.92553</v>
      </c>
      <c r="K50" s="11">
        <f t="shared" si="7"/>
        <v>3.7299999999999889E-2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11"/>
      <c r="H51" s="10"/>
      <c r="I51" s="10">
        <f t="shared" si="8"/>
        <v>1060</v>
      </c>
      <c r="J51" s="10">
        <f t="shared" si="6"/>
        <v>2246323359.6120024</v>
      </c>
      <c r="K51" s="11">
        <f t="shared" si="7"/>
        <v>3.4699999999999953E-2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11"/>
      <c r="H52" s="10"/>
      <c r="I52" s="10">
        <f t="shared" si="8"/>
        <v>1060</v>
      </c>
      <c r="J52" s="10">
        <f t="shared" si="6"/>
        <v>2170990006.3902602</v>
      </c>
      <c r="K52" s="11">
        <f t="shared" si="7"/>
        <v>3.180000000000005E-2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11"/>
      <c r="H53" s="10"/>
      <c r="I53" s="10">
        <f t="shared" si="8"/>
        <v>1060</v>
      </c>
      <c r="J53" s="10">
        <f t="shared" si="6"/>
        <v>2104080254.3034115</v>
      </c>
      <c r="K53" s="11">
        <f t="shared" si="7"/>
        <v>2.8999999999999915E-2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11"/>
      <c r="H54" s="10"/>
      <c r="I54" s="10">
        <f t="shared" si="8"/>
        <v>1060</v>
      </c>
      <c r="J54" s="10">
        <f t="shared" si="6"/>
        <v>2044781588.2443264</v>
      </c>
      <c r="K54" s="11">
        <f t="shared" si="7"/>
        <v>2.6799999999999935E-2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11"/>
      <c r="H55" s="10"/>
      <c r="I55" s="10">
        <f t="shared" si="8"/>
        <v>1060</v>
      </c>
      <c r="J55" s="10">
        <f t="shared" si="6"/>
        <v>1991411753.2570379</v>
      </c>
      <c r="K55" s="11">
        <f t="shared" si="7"/>
        <v>2.5700000000000056E-2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11"/>
      <c r="H56" s="10"/>
      <c r="I56" s="10">
        <f t="shared" si="8"/>
        <v>1060</v>
      </c>
      <c r="J56" s="10">
        <f t="shared" si="6"/>
        <v>1941514822.3233283</v>
      </c>
      <c r="K56" s="11">
        <f t="shared" si="7"/>
        <v>2.5900000000000034E-2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11"/>
      <c r="H57" s="10"/>
      <c r="I57" s="10">
        <f t="shared" si="8"/>
        <v>1060</v>
      </c>
      <c r="J57" s="10">
        <f t="shared" si="6"/>
        <v>1892499095.7435696</v>
      </c>
      <c r="K57" s="11">
        <f t="shared" si="7"/>
        <v>2.7199999999999891E-2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11"/>
      <c r="H58" s="10"/>
      <c r="I58" s="10">
        <f t="shared" si="8"/>
        <v>1060</v>
      </c>
      <c r="J58" s="10">
        <f t="shared" si="6"/>
        <v>1842386191.3391452</v>
      </c>
      <c r="K58" s="11">
        <f t="shared" si="7"/>
        <v>2.9300000000000104E-2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11"/>
      <c r="H59" s="10"/>
      <c r="I59" s="10">
        <f t="shared" si="8"/>
        <v>1060</v>
      </c>
      <c r="J59" s="10">
        <f t="shared" si="6"/>
        <v>1789940922.3153067</v>
      </c>
      <c r="K59" s="11">
        <f t="shared" si="7"/>
        <v>3.1600000000000072E-2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11"/>
      <c r="H60" s="10"/>
      <c r="I60" s="10">
        <f t="shared" si="8"/>
        <v>1060</v>
      </c>
      <c r="J60" s="10">
        <f t="shared" si="6"/>
        <v>1735111402.0117357</v>
      </c>
      <c r="K60" s="11">
        <f t="shared" si="7"/>
        <v>3.3700000000000063E-2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11"/>
      <c r="H61" s="10"/>
      <c r="I61" s="10">
        <f t="shared" si="8"/>
        <v>1060</v>
      </c>
      <c r="J61" s="10">
        <f t="shared" si="6"/>
        <v>1678544453.9148066</v>
      </c>
      <c r="K61" s="11">
        <f t="shared" si="7"/>
        <v>3.5099999999999909E-2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11"/>
      <c r="H62" s="10"/>
      <c r="I62" s="10">
        <f t="shared" si="8"/>
        <v>1060</v>
      </c>
      <c r="J62" s="10">
        <f t="shared" si="6"/>
        <v>1621625402.2942777</v>
      </c>
      <c r="K62" s="11">
        <f t="shared" si="7"/>
        <v>3.5700000000000065E-2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11"/>
      <c r="H63" s="10"/>
      <c r="I63" s="10">
        <f t="shared" si="8"/>
        <v>1060</v>
      </c>
      <c r="J63" s="10">
        <f t="shared" si="6"/>
        <v>1565728881.234216</v>
      </c>
      <c r="K63" s="11">
        <f t="shared" si="7"/>
        <v>3.5500000000000087E-2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11"/>
      <c r="H64" s="10"/>
      <c r="I64" s="10">
        <f t="shared" si="8"/>
        <v>1060</v>
      </c>
      <c r="J64" s="10">
        <f t="shared" si="6"/>
        <v>1512051068.309238</v>
      </c>
      <c r="K64" s="11">
        <f t="shared" si="7"/>
        <v>3.4699999999999953E-2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11"/>
      <c r="H65" s="10"/>
      <c r="I65" s="10">
        <f t="shared" si="8"/>
        <v>1060</v>
      </c>
      <c r="J65" s="10">
        <f t="shared" si="6"/>
        <v>1461342484.1106002</v>
      </c>
      <c r="K65" s="11">
        <f t="shared" si="7"/>
        <v>3.3500000000000085E-2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6">
        <f>SUM(F2)</f>
        <v>7437017</v>
      </c>
      <c r="G66" s="11"/>
      <c r="H66" s="10"/>
      <c r="I66" s="10">
        <f t="shared" si="8"/>
        <v>1060</v>
      </c>
      <c r="J66" s="10">
        <f t="shared" ref="J66:J97" si="9">IF(I66="","",I66*C66)</f>
        <v>1413974343.6000001</v>
      </c>
      <c r="K66" s="11">
        <f t="shared" ref="K66:K97" si="10">IFERROR(J66/J67-1,"")</f>
        <v>3.2299999999999995E-2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11"/>
      <c r="H67" s="10"/>
      <c r="I67" s="10">
        <f t="shared" ref="I67:I98" si="11">IF(H67&lt;&gt;"",H67,I66/(1+IF(G66="",0,G66)))</f>
        <v>1060</v>
      </c>
      <c r="J67" s="10">
        <f t="shared" si="9"/>
        <v>1369732000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5">
        <v>93832500</v>
      </c>
      <c r="G2" s="11"/>
      <c r="H2" s="10"/>
      <c r="I2" s="10">
        <f>IF(H2&lt;&gt;"",H2,10198)</f>
        <v>10198</v>
      </c>
      <c r="J2" s="10">
        <f t="shared" ref="J2:J33" si="3">IF(I2="","",I2*C2)</f>
        <v>956905839120.11597</v>
      </c>
      <c r="K2" s="11">
        <f t="shared" ref="K2:K33" si="4">IFERROR(J2/J3-1,"")</f>
        <v>8.899999999999908E-3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11"/>
      <c r="H3" s="10"/>
      <c r="I3" s="10">
        <f t="shared" ref="I3:I34" si="5">IF(H3&lt;&gt;"",H3,I2/(1+IF(G2="",0,G2)))</f>
        <v>10198</v>
      </c>
      <c r="J3" s="10">
        <f t="shared" si="3"/>
        <v>948464505025.39001</v>
      </c>
      <c r="K3" s="11">
        <f t="shared" si="4"/>
        <v>9.9000000000000199E-3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11"/>
      <c r="H4" s="10"/>
      <c r="I4" s="10">
        <f t="shared" si="5"/>
        <v>10198</v>
      </c>
      <c r="J4" s="10">
        <f t="shared" si="3"/>
        <v>939166754159.21375</v>
      </c>
      <c r="K4" s="11">
        <f t="shared" si="4"/>
        <v>1.110000000000011E-2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11"/>
      <c r="H5" s="10"/>
      <c r="I5" s="10">
        <f t="shared" si="5"/>
        <v>10198</v>
      </c>
      <c r="J5" s="10">
        <f t="shared" si="3"/>
        <v>928856447590.95398</v>
      </c>
      <c r="K5" s="11">
        <f t="shared" si="4"/>
        <v>1.2299999999999978E-2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11"/>
      <c r="H6" s="10"/>
      <c r="I6" s="10">
        <f t="shared" si="5"/>
        <v>10198</v>
      </c>
      <c r="J6" s="10">
        <f t="shared" si="3"/>
        <v>917570332501.18933</v>
      </c>
      <c r="K6" s="11">
        <f t="shared" si="4"/>
        <v>1.3600000000000056E-2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11"/>
      <c r="H7" s="10"/>
      <c r="I7" s="10">
        <f t="shared" si="5"/>
        <v>10198</v>
      </c>
      <c r="J7" s="10">
        <f t="shared" si="3"/>
        <v>905258812649.16077</v>
      </c>
      <c r="K7" s="11">
        <f t="shared" si="4"/>
        <v>1.4699999999999935E-2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11"/>
      <c r="H8" s="10"/>
      <c r="I8" s="10">
        <f t="shared" si="5"/>
        <v>10198</v>
      </c>
      <c r="J8" s="10">
        <f t="shared" si="3"/>
        <v>892144291563.18213</v>
      </c>
      <c r="K8" s="11">
        <f t="shared" si="4"/>
        <v>1.5800000000000036E-2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11"/>
      <c r="H9" s="10"/>
      <c r="I9" s="10">
        <f t="shared" si="5"/>
        <v>10198</v>
      </c>
      <c r="J9" s="10">
        <f t="shared" si="3"/>
        <v>878267662495.74927</v>
      </c>
      <c r="K9" s="11">
        <f t="shared" si="4"/>
        <v>1.6699999999999937E-2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11"/>
      <c r="H10" s="10"/>
      <c r="I10" s="10">
        <f t="shared" si="5"/>
        <v>10198</v>
      </c>
      <c r="J10" s="10">
        <f t="shared" si="3"/>
        <v>863841509290.59644</v>
      </c>
      <c r="K10" s="11">
        <f t="shared" si="4"/>
        <v>1.7400000000000082E-2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11"/>
      <c r="H11" s="10"/>
      <c r="I11" s="10">
        <f t="shared" si="5"/>
        <v>10198</v>
      </c>
      <c r="J11" s="10">
        <f t="shared" si="3"/>
        <v>849067730775.1095</v>
      </c>
      <c r="K11" s="11">
        <f t="shared" si="4"/>
        <v>1.8000000000000238E-2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11"/>
      <c r="H12" s="10"/>
      <c r="I12" s="10">
        <f t="shared" si="5"/>
        <v>10198</v>
      </c>
      <c r="J12" s="10">
        <f t="shared" si="3"/>
        <v>834054745358.65356</v>
      </c>
      <c r="K12" s="11">
        <f t="shared" si="4"/>
        <v>1.8299999999999761E-2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11"/>
      <c r="H13" s="10"/>
      <c r="I13" s="10">
        <f t="shared" si="5"/>
        <v>10198</v>
      </c>
      <c r="J13" s="10">
        <f t="shared" si="3"/>
        <v>819065840477.90796</v>
      </c>
      <c r="K13" s="11">
        <f t="shared" si="4"/>
        <v>1.859999999999995E-2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11"/>
      <c r="H14" s="10"/>
      <c r="I14" s="10">
        <f t="shared" si="5"/>
        <v>10198</v>
      </c>
      <c r="J14" s="10">
        <f t="shared" si="3"/>
        <v>804109405534.95776</v>
      </c>
      <c r="K14" s="11">
        <f t="shared" si="4"/>
        <v>1.8799999999999928E-2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11"/>
      <c r="H15" s="10"/>
      <c r="I15" s="10">
        <f t="shared" si="5"/>
        <v>10198</v>
      </c>
      <c r="J15" s="10">
        <f t="shared" si="3"/>
        <v>789271108691.55664</v>
      </c>
      <c r="K15" s="11">
        <f t="shared" si="4"/>
        <v>1.9099999999999895E-2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11"/>
      <c r="H16" s="10"/>
      <c r="I16" s="10">
        <f t="shared" si="5"/>
        <v>10198</v>
      </c>
      <c r="J16" s="10">
        <f t="shared" si="3"/>
        <v>774478568041.95532</v>
      </c>
      <c r="K16" s="11">
        <f t="shared" si="4"/>
        <v>1.9500000000000073E-2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11"/>
      <c r="H17" s="10"/>
      <c r="I17" s="10">
        <f t="shared" si="5"/>
        <v>10198</v>
      </c>
      <c r="J17" s="10">
        <f t="shared" si="3"/>
        <v>759665098618.88696</v>
      </c>
      <c r="K17" s="11">
        <f t="shared" si="4"/>
        <v>2.0099999999999785E-2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11"/>
      <c r="H18" s="10"/>
      <c r="I18" s="10">
        <f t="shared" si="5"/>
        <v>10198</v>
      </c>
      <c r="J18" s="10">
        <f t="shared" si="3"/>
        <v>744696695048.41394</v>
      </c>
      <c r="K18" s="11">
        <f t="shared" si="4"/>
        <v>2.0999999999999908E-2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11"/>
      <c r="H19" s="10"/>
      <c r="I19" s="10">
        <f t="shared" si="5"/>
        <v>10198</v>
      </c>
      <c r="J19" s="10">
        <f t="shared" si="3"/>
        <v>729379720909.31836</v>
      </c>
      <c r="K19" s="11">
        <f t="shared" si="4"/>
        <v>2.2100000000000009E-2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11"/>
      <c r="H20" s="10"/>
      <c r="I20" s="10">
        <f t="shared" si="5"/>
        <v>10198</v>
      </c>
      <c r="J20" s="10">
        <f t="shared" si="3"/>
        <v>713608962830.75854</v>
      </c>
      <c r="K20" s="11">
        <f t="shared" si="4"/>
        <v>2.3400000000000087E-2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11"/>
      <c r="H21" s="10"/>
      <c r="I21" s="10">
        <f t="shared" si="5"/>
        <v>10198</v>
      </c>
      <c r="J21" s="10">
        <f t="shared" si="3"/>
        <v>697292322484.61841</v>
      </c>
      <c r="K21" s="11">
        <f t="shared" si="4"/>
        <v>2.4700000000000166E-2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11"/>
      <c r="H22" s="10"/>
      <c r="I22" s="10">
        <f t="shared" si="5"/>
        <v>10198</v>
      </c>
      <c r="J22" s="10">
        <f t="shared" si="3"/>
        <v>680484358821.7218</v>
      </c>
      <c r="K22" s="11">
        <f t="shared" si="4"/>
        <v>2.6100000000000012E-2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11"/>
      <c r="H23" s="10"/>
      <c r="I23" s="10">
        <f t="shared" si="5"/>
        <v>10198</v>
      </c>
      <c r="J23" s="10">
        <f t="shared" si="3"/>
        <v>663175478824.40479</v>
      </c>
      <c r="K23" s="11">
        <f t="shared" si="4"/>
        <v>2.7199999999999891E-2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11"/>
      <c r="H24" s="10"/>
      <c r="I24" s="10">
        <f t="shared" si="5"/>
        <v>10198</v>
      </c>
      <c r="J24" s="10">
        <f t="shared" si="3"/>
        <v>645614757422.51257</v>
      </c>
      <c r="K24" s="11">
        <f t="shared" si="4"/>
        <v>2.8100000000000014E-2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11"/>
      <c r="H25" s="10"/>
      <c r="I25" s="10">
        <f t="shared" si="5"/>
        <v>10198</v>
      </c>
      <c r="J25" s="10">
        <f t="shared" si="3"/>
        <v>627968833209.33032</v>
      </c>
      <c r="K25" s="11">
        <f t="shared" si="4"/>
        <v>2.8799999999999937E-2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11"/>
      <c r="H26" s="10"/>
      <c r="I26" s="10">
        <f t="shared" si="5"/>
        <v>10198</v>
      </c>
      <c r="J26" s="10">
        <f t="shared" si="3"/>
        <v>610389612372.98828</v>
      </c>
      <c r="K26" s="11">
        <f t="shared" si="4"/>
        <v>2.9099999999999682E-2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11"/>
      <c r="H27" s="10"/>
      <c r="I27" s="10">
        <f t="shared" si="5"/>
        <v>10198</v>
      </c>
      <c r="J27" s="10">
        <f t="shared" si="3"/>
        <v>593129542680.97217</v>
      </c>
      <c r="K27" s="11">
        <f t="shared" si="4"/>
        <v>2.9099999999999904E-2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11"/>
      <c r="H28" s="10"/>
      <c r="I28" s="10">
        <f t="shared" si="5"/>
        <v>10198</v>
      </c>
      <c r="J28" s="10">
        <f t="shared" si="3"/>
        <v>576357538315.97729</v>
      </c>
      <c r="K28" s="11">
        <f t="shared" si="4"/>
        <v>2.8899999999999926E-2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11"/>
      <c r="H29" s="10"/>
      <c r="I29" s="10">
        <f t="shared" si="5"/>
        <v>10198</v>
      </c>
      <c r="J29" s="10">
        <f t="shared" si="3"/>
        <v>560168663928.44531</v>
      </c>
      <c r="K29" s="11">
        <f t="shared" si="4"/>
        <v>2.8399999999999981E-2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11"/>
      <c r="H30" s="10"/>
      <c r="I30" s="10">
        <f t="shared" si="5"/>
        <v>10198</v>
      </c>
      <c r="J30" s="10">
        <f t="shared" si="3"/>
        <v>544699206464.84375</v>
      </c>
      <c r="K30" s="11">
        <f t="shared" si="4"/>
        <v>2.7800000000000047E-2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11"/>
      <c r="H31" s="10"/>
      <c r="I31" s="10">
        <f t="shared" si="5"/>
        <v>10198</v>
      </c>
      <c r="J31" s="10">
        <f t="shared" si="3"/>
        <v>529966147562.60333</v>
      </c>
      <c r="K31" s="11">
        <f t="shared" si="4"/>
        <v>2.6999999999999913E-2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11"/>
      <c r="H32" s="10"/>
      <c r="I32" s="10">
        <f t="shared" si="5"/>
        <v>10198</v>
      </c>
      <c r="J32" s="10">
        <f t="shared" si="3"/>
        <v>516033249817.53003</v>
      </c>
      <c r="K32" s="11">
        <f t="shared" si="4"/>
        <v>2.6000000000000023E-2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11"/>
      <c r="H33" s="10"/>
      <c r="I33" s="10">
        <f t="shared" si="5"/>
        <v>10198</v>
      </c>
      <c r="J33" s="10">
        <f t="shared" si="3"/>
        <v>502956383837.74854</v>
      </c>
      <c r="K33" s="11">
        <f t="shared" si="4"/>
        <v>2.48999999999997E-2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11"/>
      <c r="H34" s="10"/>
      <c r="I34" s="10">
        <f t="shared" si="5"/>
        <v>10198</v>
      </c>
      <c r="J34" s="10">
        <f t="shared" ref="J34:J65" si="6">IF(I34="","",I34*C34)</f>
        <v>490737031747.24231</v>
      </c>
      <c r="K34" s="11">
        <f t="shared" ref="K34:K65" si="7">IFERROR(J34/J35-1,"")</f>
        <v>2.3900000000000032E-2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11"/>
      <c r="H35" s="10"/>
      <c r="I35" s="10">
        <f t="shared" ref="I35:I66" si="8">IF(H35&lt;&gt;"",H35,I34/(1+IF(G34="",0,G34)))</f>
        <v>10198</v>
      </c>
      <c r="J35" s="10">
        <f t="shared" si="6"/>
        <v>479282187466.78607</v>
      </c>
      <c r="K35" s="11">
        <f t="shared" si="7"/>
        <v>2.289999999999992E-2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11"/>
      <c r="H36" s="10"/>
      <c r="I36" s="10">
        <f t="shared" si="8"/>
        <v>10198</v>
      </c>
      <c r="J36" s="10">
        <f t="shared" si="6"/>
        <v>468552338905.84235</v>
      </c>
      <c r="K36" s="11">
        <f t="shared" si="7"/>
        <v>2.2100000000000009E-2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11"/>
      <c r="H37" s="10"/>
      <c r="I37" s="10">
        <f t="shared" si="8"/>
        <v>10198</v>
      </c>
      <c r="J37" s="10">
        <f t="shared" si="6"/>
        <v>458421229728.83508</v>
      </c>
      <c r="K37" s="11">
        <f t="shared" si="7"/>
        <v>2.1300000000000097E-2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11"/>
      <c r="H38" s="10"/>
      <c r="I38" s="10">
        <f t="shared" si="8"/>
        <v>10198</v>
      </c>
      <c r="J38" s="10">
        <f t="shared" si="6"/>
        <v>448860501056.33514</v>
      </c>
      <c r="K38" s="11">
        <f t="shared" si="7"/>
        <v>2.0599999999999952E-2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11"/>
      <c r="H39" s="10"/>
      <c r="I39" s="10">
        <f t="shared" si="8"/>
        <v>10198</v>
      </c>
      <c r="J39" s="10">
        <f t="shared" si="6"/>
        <v>439800608520.80658</v>
      </c>
      <c r="K39" s="11">
        <f t="shared" si="7"/>
        <v>2.0100000000000007E-2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11"/>
      <c r="H40" s="10"/>
      <c r="I40" s="10">
        <f t="shared" si="8"/>
        <v>10198</v>
      </c>
      <c r="J40" s="10">
        <f t="shared" si="6"/>
        <v>431134799059.70648</v>
      </c>
      <c r="K40" s="11">
        <f t="shared" si="7"/>
        <v>1.9600000000000062E-2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11"/>
      <c r="H41" s="10"/>
      <c r="I41" s="10">
        <f t="shared" si="8"/>
        <v>10198</v>
      </c>
      <c r="J41" s="10">
        <f t="shared" si="6"/>
        <v>422846997900.84979</v>
      </c>
      <c r="K41" s="11">
        <f t="shared" si="7"/>
        <v>1.9100000000000117E-2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11"/>
      <c r="H42" s="10"/>
      <c r="I42" s="10">
        <f t="shared" si="8"/>
        <v>10198</v>
      </c>
      <c r="J42" s="10">
        <f t="shared" si="6"/>
        <v>414921987931.36078</v>
      </c>
      <c r="K42" s="11">
        <f t="shared" si="7"/>
        <v>1.8499999999999961E-2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11"/>
      <c r="H43" s="10"/>
      <c r="I43" s="10">
        <f t="shared" si="8"/>
        <v>10198</v>
      </c>
      <c r="J43" s="10">
        <f t="shared" si="6"/>
        <v>407385358793.67773</v>
      </c>
      <c r="K43" s="11">
        <f t="shared" si="7"/>
        <v>1.7900000000000249E-2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11"/>
      <c r="H44" s="10"/>
      <c r="I44" s="10">
        <f t="shared" si="8"/>
        <v>10198</v>
      </c>
      <c r="J44" s="10">
        <f t="shared" si="6"/>
        <v>400221395808.7019</v>
      </c>
      <c r="K44" s="11">
        <f t="shared" si="7"/>
        <v>1.7199999999999882E-2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11"/>
      <c r="H45" s="10"/>
      <c r="I45" s="10">
        <f t="shared" si="8"/>
        <v>10198</v>
      </c>
      <c r="J45" s="10">
        <f t="shared" si="6"/>
        <v>393453987228.3739</v>
      </c>
      <c r="K45" s="11">
        <f t="shared" si="7"/>
        <v>1.639999999999997E-2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11"/>
      <c r="H46" s="10"/>
      <c r="I46" s="10">
        <f t="shared" si="8"/>
        <v>10198</v>
      </c>
      <c r="J46" s="10">
        <f t="shared" si="6"/>
        <v>387105457721.73743</v>
      </c>
      <c r="K46" s="11">
        <f t="shared" si="7"/>
        <v>1.5600000000000058E-2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11"/>
      <c r="H47" s="10"/>
      <c r="I47" s="10">
        <f t="shared" si="8"/>
        <v>10198</v>
      </c>
      <c r="J47" s="10">
        <f t="shared" si="6"/>
        <v>381159371525.93286</v>
      </c>
      <c r="K47" s="11">
        <f t="shared" si="7"/>
        <v>1.4899999999999913E-2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11"/>
      <c r="H48" s="10"/>
      <c r="I48" s="10">
        <f t="shared" si="8"/>
        <v>10198</v>
      </c>
      <c r="J48" s="10">
        <f t="shared" si="6"/>
        <v>375563475737.44495</v>
      </c>
      <c r="K48" s="11">
        <f t="shared" si="7"/>
        <v>1.4200000000000212E-2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11"/>
      <c r="H49" s="10"/>
      <c r="I49" s="10">
        <f t="shared" si="8"/>
        <v>10198</v>
      </c>
      <c r="J49" s="10">
        <f t="shared" si="6"/>
        <v>370305142710.9494</v>
      </c>
      <c r="K49" s="11">
        <f t="shared" si="7"/>
        <v>1.3500000000000068E-2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11"/>
      <c r="H50" s="10"/>
      <c r="I50" s="10">
        <f t="shared" si="8"/>
        <v>10198</v>
      </c>
      <c r="J50" s="10">
        <f t="shared" si="6"/>
        <v>365372612442.9693</v>
      </c>
      <c r="K50" s="11">
        <f t="shared" si="7"/>
        <v>1.2899999999999912E-2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11"/>
      <c r="H51" s="10"/>
      <c r="I51" s="10">
        <f t="shared" si="8"/>
        <v>10198</v>
      </c>
      <c r="J51" s="10">
        <f t="shared" si="6"/>
        <v>360719333046.66736</v>
      </c>
      <c r="K51" s="11">
        <f t="shared" si="7"/>
        <v>1.2399999999999967E-2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11"/>
      <c r="H52" s="10"/>
      <c r="I52" s="10">
        <f t="shared" si="8"/>
        <v>10198</v>
      </c>
      <c r="J52" s="10">
        <f t="shared" si="6"/>
        <v>356301198189.12225</v>
      </c>
      <c r="K52" s="11">
        <f t="shared" si="7"/>
        <v>1.2000000000000011E-2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11"/>
      <c r="H53" s="10"/>
      <c r="I53" s="10">
        <f t="shared" si="8"/>
        <v>10198</v>
      </c>
      <c r="J53" s="10">
        <f t="shared" si="6"/>
        <v>352076282795.57538</v>
      </c>
      <c r="K53" s="11">
        <f t="shared" si="7"/>
        <v>1.1600000000000055E-2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11"/>
      <c r="H54" s="10"/>
      <c r="I54" s="10">
        <f t="shared" si="8"/>
        <v>10198</v>
      </c>
      <c r="J54" s="10">
        <f t="shared" si="6"/>
        <v>348039030047.02979</v>
      </c>
      <c r="K54" s="11">
        <f t="shared" si="7"/>
        <v>1.1400000000000077E-2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11"/>
      <c r="H55" s="10"/>
      <c r="I55" s="10">
        <f t="shared" si="8"/>
        <v>10198</v>
      </c>
      <c r="J55" s="10">
        <f t="shared" si="6"/>
        <v>344116106433.68573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11"/>
      <c r="H56" s="10"/>
      <c r="I56" s="10">
        <f t="shared" si="8"/>
        <v>10198</v>
      </c>
      <c r="J56" s="10">
        <f t="shared" si="6"/>
        <v>340338350740.46649</v>
      </c>
      <c r="K56" s="11">
        <f t="shared" si="7"/>
        <v>1.089999999999991E-2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11"/>
      <c r="H57" s="10"/>
      <c r="I57" s="10">
        <f t="shared" si="8"/>
        <v>10198</v>
      </c>
      <c r="J57" s="10">
        <f t="shared" si="6"/>
        <v>336668662321.16583</v>
      </c>
      <c r="K57" s="11">
        <f t="shared" si="7"/>
        <v>1.0699999999999932E-2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11"/>
      <c r="H58" s="10"/>
      <c r="I58" s="10">
        <f t="shared" si="8"/>
        <v>10198</v>
      </c>
      <c r="J58" s="10">
        <f t="shared" si="6"/>
        <v>333104444762.21021</v>
      </c>
      <c r="K58" s="11">
        <f t="shared" si="7"/>
        <v>1.0499999999999954E-2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11"/>
      <c r="H59" s="10"/>
      <c r="I59" s="10">
        <f t="shared" si="8"/>
        <v>10198</v>
      </c>
      <c r="J59" s="10">
        <f t="shared" si="6"/>
        <v>329643191254.04279</v>
      </c>
      <c r="K59" s="11">
        <f t="shared" si="7"/>
        <v>1.0299999999999976E-2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11"/>
      <c r="H60" s="10"/>
      <c r="I60" s="10">
        <f t="shared" si="8"/>
        <v>10198</v>
      </c>
      <c r="J60" s="10">
        <f t="shared" si="6"/>
        <v>326282481692.60895</v>
      </c>
      <c r="K60" s="11">
        <f t="shared" si="7"/>
        <v>1.0099999999999998E-2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11"/>
      <c r="H61" s="10"/>
      <c r="I61" s="10">
        <f t="shared" si="8"/>
        <v>10198</v>
      </c>
      <c r="J61" s="10">
        <f t="shared" si="6"/>
        <v>323019979895.66272</v>
      </c>
      <c r="K61" s="11">
        <f t="shared" si="7"/>
        <v>9.9000000000000199E-3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11"/>
      <c r="H62" s="10"/>
      <c r="I62" s="10">
        <f t="shared" si="8"/>
        <v>10198</v>
      </c>
      <c r="J62" s="10">
        <f t="shared" si="6"/>
        <v>319853430929.46106</v>
      </c>
      <c r="K62" s="11">
        <f t="shared" si="7"/>
        <v>9.7000000000000419E-3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11"/>
      <c r="H63" s="10"/>
      <c r="I63" s="10">
        <f t="shared" si="8"/>
        <v>10198</v>
      </c>
      <c r="J63" s="10">
        <f t="shared" si="6"/>
        <v>316780658541.60742</v>
      </c>
      <c r="K63" s="11">
        <f t="shared" si="7"/>
        <v>9.400000000000075E-3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11"/>
      <c r="H64" s="10"/>
      <c r="I64" s="10">
        <f t="shared" si="8"/>
        <v>10198</v>
      </c>
      <c r="J64" s="10">
        <f t="shared" si="6"/>
        <v>313830650427.58807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11"/>
      <c r="H65" s="10"/>
      <c r="I65" s="10">
        <f t="shared" si="8"/>
        <v>10198</v>
      </c>
      <c r="J65" s="10">
        <f t="shared" si="6"/>
        <v>310969728921.51013</v>
      </c>
      <c r="K65" s="11">
        <f t="shared" si="7"/>
        <v>8.899999999999908E-3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6">
        <f>SUM(F2)</f>
        <v>93832500</v>
      </c>
      <c r="G66" s="11"/>
      <c r="H66" s="10"/>
      <c r="I66" s="10">
        <f t="shared" si="8"/>
        <v>10198</v>
      </c>
      <c r="J66" s="10">
        <f t="shared" ref="J66:J97" si="9">IF(I66="","",I66*C66)</f>
        <v>308226512956.20001</v>
      </c>
      <c r="K66" s="11">
        <f t="shared" ref="K66:K97" si="10">IFERROR(J66/J67-1,"")</f>
        <v>8.599999999999941E-3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11"/>
      <c r="H67" s="10"/>
      <c r="I67" s="10">
        <f t="shared" ref="I67:I98" si="11">IF(H67&lt;&gt;"",H67,I66/(1+IF(G66="",0,G66)))</f>
        <v>10198</v>
      </c>
      <c r="J67" s="10">
        <f t="shared" si="9"/>
        <v>305598367000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5">
        <v>33524353</v>
      </c>
      <c r="G2" s="11"/>
      <c r="H2" s="10"/>
      <c r="I2" s="10">
        <f>IF(H2&lt;&gt;"",H2,1655)</f>
        <v>1655</v>
      </c>
      <c r="J2" s="10">
        <f t="shared" ref="J2:J33" si="3">IF(I2="","",I2*C2)</f>
        <v>55485411241.935425</v>
      </c>
      <c r="K2" s="11">
        <f t="shared" ref="K2:K33" si="4">IFERROR(J2/J3-1,"")</f>
        <v>4.3999999999999595E-3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11"/>
      <c r="H3" s="10"/>
      <c r="I3" s="10">
        <f t="shared" ref="I3:I34" si="5">IF(H3&lt;&gt;"",H3,I2/(1+IF(G2="",0,G2)))</f>
        <v>1655</v>
      </c>
      <c r="J3" s="10">
        <f t="shared" si="3"/>
        <v>55242344924.268646</v>
      </c>
      <c r="K3" s="11">
        <f t="shared" si="4"/>
        <v>5.6000000000000494E-3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11"/>
      <c r="H4" s="10"/>
      <c r="I4" s="10">
        <f t="shared" si="5"/>
        <v>1655</v>
      </c>
      <c r="J4" s="10">
        <f t="shared" si="3"/>
        <v>54934710545.215439</v>
      </c>
      <c r="K4" s="11">
        <f t="shared" si="4"/>
        <v>7.2000000000003173E-3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11"/>
      <c r="H5" s="10"/>
      <c r="I5" s="10">
        <f t="shared" si="5"/>
        <v>1655</v>
      </c>
      <c r="J5" s="10">
        <f t="shared" si="3"/>
        <v>54542008086.989105</v>
      </c>
      <c r="K5" s="11">
        <f t="shared" si="4"/>
        <v>8.999999999999897E-3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11"/>
      <c r="H6" s="10"/>
      <c r="I6" s="10">
        <f t="shared" si="5"/>
        <v>1655</v>
      </c>
      <c r="J6" s="10">
        <f t="shared" si="3"/>
        <v>54055508510.395554</v>
      </c>
      <c r="K6" s="11">
        <f t="shared" si="4"/>
        <v>1.089999999999991E-2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11"/>
      <c r="H7" s="10"/>
      <c r="I7" s="10">
        <f t="shared" si="5"/>
        <v>1655</v>
      </c>
      <c r="J7" s="10">
        <f t="shared" si="3"/>
        <v>53472656553.95742</v>
      </c>
      <c r="K7" s="11">
        <f t="shared" si="4"/>
        <v>1.2699999999999934E-2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11"/>
      <c r="H8" s="10"/>
      <c r="I8" s="10">
        <f t="shared" si="5"/>
        <v>1655</v>
      </c>
      <c r="J8" s="10">
        <f t="shared" si="3"/>
        <v>52802070261.634666</v>
      </c>
      <c r="K8" s="11">
        <f t="shared" si="4"/>
        <v>1.4399999999999968E-2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11"/>
      <c r="H9" s="10"/>
      <c r="I9" s="10">
        <f t="shared" si="5"/>
        <v>1655</v>
      </c>
      <c r="J9" s="10">
        <f t="shared" si="3"/>
        <v>52052514059.182442</v>
      </c>
      <c r="K9" s="11">
        <f t="shared" si="4"/>
        <v>1.6000000000000014E-2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11"/>
      <c r="H10" s="10"/>
      <c r="I10" s="10">
        <f t="shared" si="5"/>
        <v>1655</v>
      </c>
      <c r="J10" s="10">
        <f t="shared" si="3"/>
        <v>51232789428.32917</v>
      </c>
      <c r="K10" s="11">
        <f t="shared" si="4"/>
        <v>1.7400000000000082E-2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11"/>
      <c r="H11" s="10"/>
      <c r="I11" s="10">
        <f t="shared" si="5"/>
        <v>1655</v>
      </c>
      <c r="J11" s="10">
        <f t="shared" si="3"/>
        <v>50356584851.906006</v>
      </c>
      <c r="K11" s="11">
        <f t="shared" si="4"/>
        <v>1.8899999999999917E-2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11"/>
      <c r="H12" s="10"/>
      <c r="I12" s="10">
        <f t="shared" si="5"/>
        <v>1655</v>
      </c>
      <c r="J12" s="10">
        <f t="shared" si="3"/>
        <v>49422499609.290421</v>
      </c>
      <c r="K12" s="11">
        <f t="shared" si="4"/>
        <v>2.0300000000000207E-2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11"/>
      <c r="H13" s="10"/>
      <c r="I13" s="10">
        <f t="shared" si="5"/>
        <v>1655</v>
      </c>
      <c r="J13" s="10">
        <f t="shared" si="3"/>
        <v>48439184170.626694</v>
      </c>
      <c r="K13" s="11">
        <f t="shared" si="4"/>
        <v>2.1700000000000053E-2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11"/>
      <c r="H14" s="10"/>
      <c r="I14" s="10">
        <f t="shared" si="5"/>
        <v>1655</v>
      </c>
      <c r="J14" s="10">
        <f t="shared" si="3"/>
        <v>47410378947.466667</v>
      </c>
      <c r="K14" s="11">
        <f t="shared" si="4"/>
        <v>2.2999999999999909E-2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11"/>
      <c r="H15" s="10"/>
      <c r="I15" s="10">
        <f t="shared" si="5"/>
        <v>1655</v>
      </c>
      <c r="J15" s="10">
        <f t="shared" si="3"/>
        <v>46344456449.136528</v>
      </c>
      <c r="K15" s="11">
        <f t="shared" si="4"/>
        <v>2.4499999999999966E-2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11"/>
      <c r="H16" s="10"/>
      <c r="I16" s="10">
        <f t="shared" si="5"/>
        <v>1655</v>
      </c>
      <c r="J16" s="10">
        <f t="shared" si="3"/>
        <v>45236170277.34166</v>
      </c>
      <c r="K16" s="11">
        <f t="shared" si="4"/>
        <v>2.6000000000000023E-2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11"/>
      <c r="H17" s="10"/>
      <c r="I17" s="10">
        <f t="shared" si="5"/>
        <v>1655</v>
      </c>
      <c r="J17" s="10">
        <f t="shared" si="3"/>
        <v>44089834578.30571</v>
      </c>
      <c r="K17" s="11">
        <f t="shared" si="4"/>
        <v>2.7800000000000047E-2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11"/>
      <c r="H18" s="10"/>
      <c r="I18" s="10">
        <f t="shared" si="5"/>
        <v>1655</v>
      </c>
      <c r="J18" s="10">
        <f t="shared" si="3"/>
        <v>42897289918.569473</v>
      </c>
      <c r="K18" s="11">
        <f t="shared" si="4"/>
        <v>2.9699999999999838E-2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11"/>
      <c r="H19" s="10"/>
      <c r="I19" s="10">
        <f t="shared" si="5"/>
        <v>1655</v>
      </c>
      <c r="J19" s="10">
        <f t="shared" si="3"/>
        <v>41659988267.038437</v>
      </c>
      <c r="K19" s="11">
        <f t="shared" si="4"/>
        <v>3.1700000000000061E-2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11"/>
      <c r="H20" s="10"/>
      <c r="I20" s="10">
        <f t="shared" si="5"/>
        <v>1655</v>
      </c>
      <c r="J20" s="10">
        <f t="shared" si="3"/>
        <v>40379944040.940613</v>
      </c>
      <c r="K20" s="11">
        <f t="shared" si="4"/>
        <v>3.3700000000000063E-2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11"/>
      <c r="H21" s="10"/>
      <c r="I21" s="10">
        <f t="shared" si="5"/>
        <v>1655</v>
      </c>
      <c r="J21" s="10">
        <f t="shared" si="3"/>
        <v>39063503957.570488</v>
      </c>
      <c r="K21" s="11">
        <f t="shared" si="4"/>
        <v>3.5600000000000076E-2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11"/>
      <c r="H22" s="10"/>
      <c r="I22" s="10">
        <f t="shared" si="5"/>
        <v>1655</v>
      </c>
      <c r="J22" s="10">
        <f t="shared" si="3"/>
        <v>37720648858.217926</v>
      </c>
      <c r="K22" s="11">
        <f t="shared" si="4"/>
        <v>3.7300000000000111E-2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11"/>
      <c r="H23" s="10"/>
      <c r="I23" s="10">
        <f t="shared" si="5"/>
        <v>1655</v>
      </c>
      <c r="J23" s="10">
        <f t="shared" si="3"/>
        <v>36364261889.730957</v>
      </c>
      <c r="K23" s="11">
        <f t="shared" si="4"/>
        <v>3.8499999999999979E-2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11"/>
      <c r="H24" s="10"/>
      <c r="I24" s="10">
        <f t="shared" si="5"/>
        <v>1655</v>
      </c>
      <c r="J24" s="10">
        <f t="shared" si="3"/>
        <v>35016140481.204582</v>
      </c>
      <c r="K24" s="11">
        <f t="shared" si="4"/>
        <v>3.9099999999999913E-2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11"/>
      <c r="H25" s="10"/>
      <c r="I25" s="10">
        <f t="shared" si="5"/>
        <v>1655</v>
      </c>
      <c r="J25" s="10">
        <f t="shared" si="3"/>
        <v>33698528035.034729</v>
      </c>
      <c r="K25" s="11">
        <f t="shared" si="4"/>
        <v>3.8799999999999946E-2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11"/>
      <c r="H26" s="10"/>
      <c r="I26" s="10">
        <f t="shared" si="5"/>
        <v>1655</v>
      </c>
      <c r="J26" s="10">
        <f t="shared" si="3"/>
        <v>32439861412.239826</v>
      </c>
      <c r="K26" s="11">
        <f t="shared" si="4"/>
        <v>3.7800000000000056E-2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11"/>
      <c r="H27" s="10"/>
      <c r="I27" s="10">
        <f t="shared" si="5"/>
        <v>1655</v>
      </c>
      <c r="J27" s="10">
        <f t="shared" si="3"/>
        <v>31258297757.024307</v>
      </c>
      <c r="K27" s="11">
        <f t="shared" si="4"/>
        <v>3.620000000000001E-2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11"/>
      <c r="H28" s="10"/>
      <c r="I28" s="10">
        <f t="shared" si="5"/>
        <v>1655</v>
      </c>
      <c r="J28" s="10">
        <f t="shared" si="3"/>
        <v>30166278476.186359</v>
      </c>
      <c r="K28" s="11">
        <f t="shared" si="4"/>
        <v>3.4399999999999764E-2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11"/>
      <c r="H29" s="10"/>
      <c r="I29" s="10">
        <f t="shared" si="5"/>
        <v>1655</v>
      </c>
      <c r="J29" s="10">
        <f t="shared" si="3"/>
        <v>29163068905.825951</v>
      </c>
      <c r="K29" s="11">
        <f t="shared" si="4"/>
        <v>3.2599999999999962E-2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11"/>
      <c r="H30" s="10"/>
      <c r="I30" s="10">
        <f t="shared" si="5"/>
        <v>1655</v>
      </c>
      <c r="J30" s="10">
        <f t="shared" si="3"/>
        <v>28242367718.212234</v>
      </c>
      <c r="K30" s="11">
        <f t="shared" si="4"/>
        <v>3.1199999999999894E-2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11"/>
      <c r="H31" s="10"/>
      <c r="I31" s="10">
        <f t="shared" si="5"/>
        <v>1655</v>
      </c>
      <c r="J31" s="10">
        <f t="shared" si="3"/>
        <v>27387866289.965317</v>
      </c>
      <c r="K31" s="11">
        <f t="shared" si="4"/>
        <v>3.069999999999995E-2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11"/>
      <c r="H32" s="10"/>
      <c r="I32" s="10">
        <f t="shared" si="5"/>
        <v>1655</v>
      </c>
      <c r="J32" s="10">
        <f t="shared" si="3"/>
        <v>26572102735.971008</v>
      </c>
      <c r="K32" s="11">
        <f t="shared" si="4"/>
        <v>3.1300000000000106E-2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11"/>
      <c r="H33" s="10"/>
      <c r="I33" s="10">
        <f t="shared" si="5"/>
        <v>1655</v>
      </c>
      <c r="J33" s="10">
        <f t="shared" si="3"/>
        <v>25765638258.480564</v>
      </c>
      <c r="K33" s="11">
        <f t="shared" si="4"/>
        <v>3.2999999999999918E-2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11"/>
      <c r="H34" s="10"/>
      <c r="I34" s="10">
        <f t="shared" si="5"/>
        <v>1655</v>
      </c>
      <c r="J34" s="10">
        <f t="shared" ref="J34:J65" si="6">IF(I34="","",I34*C34)</f>
        <v>24942534616.147694</v>
      </c>
      <c r="K34" s="11">
        <f t="shared" ref="K34:K65" si="7">IFERROR(J34/J35-1,"")</f>
        <v>3.5299999999999887E-2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11"/>
      <c r="H35" s="10"/>
      <c r="I35" s="10">
        <f t="shared" ref="I35:I66" si="8">IF(H35&lt;&gt;"",H35,I34/(1+IF(G34="",0,G34)))</f>
        <v>1655</v>
      </c>
      <c r="J35" s="10">
        <f t="shared" si="6"/>
        <v>24092084049.210564</v>
      </c>
      <c r="K35" s="11">
        <f t="shared" si="7"/>
        <v>3.7400000000000322E-2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11"/>
      <c r="H36" s="10"/>
      <c r="I36" s="10">
        <f t="shared" si="8"/>
        <v>1655</v>
      </c>
      <c r="J36" s="10">
        <f t="shared" si="6"/>
        <v>23223524242.539577</v>
      </c>
      <c r="K36" s="11">
        <f t="shared" si="7"/>
        <v>3.8899999999999935E-2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11"/>
      <c r="H37" s="10"/>
      <c r="I37" s="10">
        <f t="shared" si="8"/>
        <v>1655</v>
      </c>
      <c r="J37" s="10">
        <f t="shared" si="6"/>
        <v>22353955378.322823</v>
      </c>
      <c r="K37" s="11">
        <f t="shared" si="7"/>
        <v>3.9299999999999891E-2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11"/>
      <c r="H38" s="10"/>
      <c r="I38" s="10">
        <f t="shared" si="8"/>
        <v>1655</v>
      </c>
      <c r="J38" s="10">
        <f t="shared" si="6"/>
        <v>21508664849.728497</v>
      </c>
      <c r="K38" s="11">
        <f t="shared" si="7"/>
        <v>3.8599999999999968E-2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11"/>
      <c r="H39" s="10"/>
      <c r="I39" s="10">
        <f t="shared" si="8"/>
        <v>1655</v>
      </c>
      <c r="J39" s="10">
        <f t="shared" si="6"/>
        <v>20709286394.885902</v>
      </c>
      <c r="K39" s="11">
        <f t="shared" si="7"/>
        <v>3.71999999999999E-2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11"/>
      <c r="H40" s="10"/>
      <c r="I40" s="10">
        <f t="shared" si="8"/>
        <v>1655</v>
      </c>
      <c r="J40" s="10">
        <f t="shared" si="6"/>
        <v>19966531425.84449</v>
      </c>
      <c r="K40" s="11">
        <f t="shared" si="7"/>
        <v>3.5099999999999909E-2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11"/>
      <c r="H41" s="10"/>
      <c r="I41" s="10">
        <f t="shared" si="8"/>
        <v>1655</v>
      </c>
      <c r="J41" s="10">
        <f t="shared" si="6"/>
        <v>19289470993.956615</v>
      </c>
      <c r="K41" s="11">
        <f t="shared" si="7"/>
        <v>3.2700000000000173E-2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11"/>
      <c r="H42" s="10"/>
      <c r="I42" s="10">
        <f t="shared" si="8"/>
        <v>1655</v>
      </c>
      <c r="J42" s="10">
        <f t="shared" si="6"/>
        <v>18678678216.284122</v>
      </c>
      <c r="K42" s="11">
        <f t="shared" si="7"/>
        <v>3.0299999999999994E-2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11"/>
      <c r="H43" s="10"/>
      <c r="I43" s="10">
        <f t="shared" si="8"/>
        <v>1655</v>
      </c>
      <c r="J43" s="10">
        <f t="shared" si="6"/>
        <v>18129358649.212971</v>
      </c>
      <c r="K43" s="11">
        <f t="shared" si="7"/>
        <v>2.7900000000000036E-2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11"/>
      <c r="H44" s="10"/>
      <c r="I44" s="10">
        <f t="shared" si="8"/>
        <v>1655</v>
      </c>
      <c r="J44" s="10">
        <f t="shared" si="6"/>
        <v>17637278576.916985</v>
      </c>
      <c r="K44" s="11">
        <f t="shared" si="7"/>
        <v>2.5499999999999856E-2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11"/>
      <c r="H45" s="10"/>
      <c r="I45" s="10">
        <f t="shared" si="8"/>
        <v>1655</v>
      </c>
      <c r="J45" s="10">
        <f t="shared" si="6"/>
        <v>17198711435.316418</v>
      </c>
      <c r="K45" s="11">
        <f t="shared" si="7"/>
        <v>2.3300000000000098E-2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11"/>
      <c r="H46" s="10"/>
      <c r="I46" s="10">
        <f t="shared" si="8"/>
        <v>1655</v>
      </c>
      <c r="J46" s="10">
        <f t="shared" si="6"/>
        <v>16807105868.578535</v>
      </c>
      <c r="K46" s="11">
        <f t="shared" si="7"/>
        <v>2.1300000000000097E-2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11"/>
      <c r="H47" s="10"/>
      <c r="I47" s="10">
        <f t="shared" si="8"/>
        <v>1655</v>
      </c>
      <c r="J47" s="10">
        <f t="shared" si="6"/>
        <v>16456580699.675447</v>
      </c>
      <c r="K47" s="11">
        <f t="shared" si="7"/>
        <v>1.9500000000000073E-2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11"/>
      <c r="H48" s="10"/>
      <c r="I48" s="10">
        <f t="shared" si="8"/>
        <v>1655</v>
      </c>
      <c r="J48" s="10">
        <f t="shared" si="6"/>
        <v>16141815301.300093</v>
      </c>
      <c r="K48" s="11">
        <f t="shared" si="7"/>
        <v>1.7900000000000027E-2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11"/>
      <c r="H49" s="10"/>
      <c r="I49" s="10">
        <f t="shared" si="8"/>
        <v>1655</v>
      </c>
      <c r="J49" s="10">
        <f t="shared" si="6"/>
        <v>15857957855.683361</v>
      </c>
      <c r="K49" s="11">
        <f t="shared" si="7"/>
        <v>1.6499999999999959E-2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11"/>
      <c r="H50" s="10"/>
      <c r="I50" s="10">
        <f t="shared" si="8"/>
        <v>1655</v>
      </c>
      <c r="J50" s="10">
        <f t="shared" si="6"/>
        <v>15600548800.475515</v>
      </c>
      <c r="K50" s="11">
        <f t="shared" si="7"/>
        <v>1.5200000000000102E-2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11"/>
      <c r="H51" s="10"/>
      <c r="I51" s="10">
        <f t="shared" si="8"/>
        <v>1655</v>
      </c>
      <c r="J51" s="10">
        <f t="shared" si="6"/>
        <v>15366970843.652004</v>
      </c>
      <c r="K51" s="11">
        <f t="shared" si="7"/>
        <v>1.4100000000000001E-2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11"/>
      <c r="H52" s="10"/>
      <c r="I52" s="10">
        <f t="shared" si="8"/>
        <v>1655</v>
      </c>
      <c r="J52" s="10">
        <f t="shared" si="6"/>
        <v>15153309184.155413</v>
      </c>
      <c r="K52" s="11">
        <f t="shared" si="7"/>
        <v>1.3100000000000112E-2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11"/>
      <c r="H53" s="10"/>
      <c r="I53" s="10">
        <f t="shared" si="8"/>
        <v>1655</v>
      </c>
      <c r="J53" s="10">
        <f t="shared" si="6"/>
        <v>14957367667.708429</v>
      </c>
      <c r="K53" s="11">
        <f t="shared" si="7"/>
        <v>1.2299999999999978E-2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11"/>
      <c r="H54" s="10"/>
      <c r="I54" s="10">
        <f t="shared" si="8"/>
        <v>1655</v>
      </c>
      <c r="J54" s="10">
        <f t="shared" si="6"/>
        <v>14775627450.072536</v>
      </c>
      <c r="K54" s="11">
        <f t="shared" si="7"/>
        <v>1.1800000000000033E-2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11"/>
      <c r="H55" s="10"/>
      <c r="I55" s="10">
        <f t="shared" si="8"/>
        <v>1655</v>
      </c>
      <c r="J55" s="10">
        <f t="shared" si="6"/>
        <v>14603308410.824802</v>
      </c>
      <c r="K55" s="11">
        <f t="shared" si="7"/>
        <v>1.1600000000000055E-2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11"/>
      <c r="H56" s="10"/>
      <c r="I56" s="10">
        <f t="shared" si="8"/>
        <v>1655</v>
      </c>
      <c r="J56" s="10">
        <f t="shared" si="6"/>
        <v>14435852521.574537</v>
      </c>
      <c r="K56" s="11">
        <f t="shared" si="7"/>
        <v>1.1700000000000044E-2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11"/>
      <c r="H57" s="10"/>
      <c r="I57" s="10">
        <f t="shared" si="8"/>
        <v>1655</v>
      </c>
      <c r="J57" s="10">
        <f t="shared" si="6"/>
        <v>14268906317.65794</v>
      </c>
      <c r="K57" s="11">
        <f t="shared" si="7"/>
        <v>1.2000000000000233E-2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11"/>
      <c r="H58" s="10"/>
      <c r="I58" s="10">
        <f t="shared" si="8"/>
        <v>1655</v>
      </c>
      <c r="J58" s="10">
        <f t="shared" si="6"/>
        <v>14099709800.057251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11"/>
      <c r="H59" s="10"/>
      <c r="I59" s="10">
        <f t="shared" si="8"/>
        <v>1655</v>
      </c>
      <c r="J59" s="10">
        <f t="shared" si="6"/>
        <v>13928390595.729776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11"/>
      <c r="H60" s="10"/>
      <c r="I60" s="10">
        <f t="shared" si="8"/>
        <v>1655</v>
      </c>
      <c r="J60" s="10">
        <f t="shared" si="6"/>
        <v>13753718372.400293</v>
      </c>
      <c r="K60" s="11">
        <f t="shared" si="7"/>
        <v>1.2999999999999901E-2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11"/>
      <c r="H61" s="10"/>
      <c r="I61" s="10">
        <f t="shared" si="8"/>
        <v>1655</v>
      </c>
      <c r="J61" s="10">
        <f t="shared" si="6"/>
        <v>13577214582.823587</v>
      </c>
      <c r="K61" s="11">
        <f t="shared" si="7"/>
        <v>1.3100000000000112E-2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11"/>
      <c r="H62" s="10"/>
      <c r="I62" s="10">
        <f t="shared" si="8"/>
        <v>1655</v>
      </c>
      <c r="J62" s="10">
        <f t="shared" si="6"/>
        <v>13401652929.447819</v>
      </c>
      <c r="K62" s="11">
        <f t="shared" si="7"/>
        <v>1.3200000000000101E-2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11"/>
      <c r="H63" s="10"/>
      <c r="I63" s="10">
        <f t="shared" si="8"/>
        <v>1655</v>
      </c>
      <c r="J63" s="10">
        <f t="shared" si="6"/>
        <v>13227055792.980474</v>
      </c>
      <c r="K63" s="11">
        <f t="shared" si="7"/>
        <v>1.3200000000000101E-2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11"/>
      <c r="H64" s="10"/>
      <c r="I64" s="10">
        <f t="shared" si="8"/>
        <v>1655</v>
      </c>
      <c r="J64" s="10">
        <f t="shared" si="6"/>
        <v>13054733313.245632</v>
      </c>
      <c r="K64" s="11">
        <f t="shared" si="7"/>
        <v>1.3100000000000112E-2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11"/>
      <c r="H65" s="10"/>
      <c r="I65" s="10">
        <f t="shared" si="8"/>
        <v>1655</v>
      </c>
      <c r="J65" s="10">
        <f t="shared" si="6"/>
        <v>12885927660.887999</v>
      </c>
      <c r="K65" s="11">
        <f t="shared" si="7"/>
        <v>1.3000000000000123E-2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6">
        <f>SUM(F2)</f>
        <v>33524353</v>
      </c>
      <c r="G66" s="11"/>
      <c r="H66" s="10"/>
      <c r="I66" s="10">
        <f t="shared" si="8"/>
        <v>1655</v>
      </c>
      <c r="J66" s="10">
        <f t="shared" ref="J66:J97" si="9">IF(I66="","",I66*C66)</f>
        <v>12720560375.999998</v>
      </c>
      <c r="K66" s="11">
        <f t="shared" ref="K66:K97" si="10">IFERROR(J66/J67-1,"")</f>
        <v>1.2799999999999923E-2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11"/>
      <c r="H67" s="10"/>
      <c r="I67" s="10">
        <f t="shared" ref="I67:I98" si="11">IF(H67&lt;&gt;"",H67,I66/(1+IF(G66="",0,G66)))</f>
        <v>1655</v>
      </c>
      <c r="J67" s="10">
        <f t="shared" si="9"/>
        <v>12559795000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5">
        <v>1914198</v>
      </c>
      <c r="G2" s="11"/>
      <c r="H2" s="10"/>
      <c r="I2" s="10">
        <f>IF(H2&lt;&gt;"",H2,1786)</f>
        <v>1786</v>
      </c>
      <c r="J2" s="10">
        <f t="shared" ref="J2:J33" si="3">IF(I2="","",I2*C2)</f>
        <v>3418692150.7031608</v>
      </c>
      <c r="K2" s="11">
        <f t="shared" ref="K2:K33" si="4">IFERROR(J2/J3-1,"")</f>
        <v>6.9999999999998952E-3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11"/>
      <c r="H3" s="10"/>
      <c r="I3" s="10">
        <f t="shared" ref="I3:I34" si="5">IF(H3&lt;&gt;"",H3,I2/(1+IF(G2="",0,G2)))</f>
        <v>1786</v>
      </c>
      <c r="J3" s="10">
        <f t="shared" si="3"/>
        <v>3394927657.1034369</v>
      </c>
      <c r="K3" s="11">
        <f t="shared" si="4"/>
        <v>8.1999999999999851E-3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11"/>
      <c r="H4" s="10"/>
      <c r="I4" s="10">
        <f t="shared" si="5"/>
        <v>1786</v>
      </c>
      <c r="J4" s="10">
        <f t="shared" si="3"/>
        <v>3367315668.6207471</v>
      </c>
      <c r="K4" s="11">
        <f t="shared" si="4"/>
        <v>9.6000000000000529E-3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11"/>
      <c r="H5" s="10"/>
      <c r="I5" s="10">
        <f t="shared" si="5"/>
        <v>1786</v>
      </c>
      <c r="J5" s="10">
        <f t="shared" si="3"/>
        <v>3335296819.1568413</v>
      </c>
      <c r="K5" s="11">
        <f t="shared" si="4"/>
        <v>1.1100000000000332E-2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11"/>
      <c r="H6" s="10"/>
      <c r="I6" s="10">
        <f t="shared" si="5"/>
        <v>1786</v>
      </c>
      <c r="J6" s="10">
        <f t="shared" si="3"/>
        <v>3298681455.0062709</v>
      </c>
      <c r="K6" s="11">
        <f t="shared" si="4"/>
        <v>1.2699999999999712E-2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11"/>
      <c r="H7" s="10"/>
      <c r="I7" s="10">
        <f t="shared" si="5"/>
        <v>1786</v>
      </c>
      <c r="J7" s="10">
        <f t="shared" si="3"/>
        <v>3257313572.633822</v>
      </c>
      <c r="K7" s="11">
        <f t="shared" si="4"/>
        <v>1.419999999999999E-2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11"/>
      <c r="H8" s="10"/>
      <c r="I8" s="10">
        <f t="shared" si="5"/>
        <v>1786</v>
      </c>
      <c r="J8" s="10">
        <f t="shared" si="3"/>
        <v>3211707328.5681539</v>
      </c>
      <c r="K8" s="11">
        <f t="shared" si="4"/>
        <v>1.5500000000000069E-2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11"/>
      <c r="H9" s="10"/>
      <c r="I9" s="10">
        <f t="shared" si="5"/>
        <v>1786</v>
      </c>
      <c r="J9" s="10">
        <f t="shared" si="3"/>
        <v>3162685700.2148237</v>
      </c>
      <c r="K9" s="11">
        <f t="shared" si="4"/>
        <v>1.6699999999999937E-2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11"/>
      <c r="H10" s="10"/>
      <c r="I10" s="10">
        <f t="shared" si="5"/>
        <v>1786</v>
      </c>
      <c r="J10" s="10">
        <f t="shared" si="3"/>
        <v>3110736402.296473</v>
      </c>
      <c r="K10" s="11">
        <f t="shared" si="4"/>
        <v>1.7700000000000049E-2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11"/>
      <c r="H11" s="10"/>
      <c r="I11" s="10">
        <f t="shared" si="5"/>
        <v>1786</v>
      </c>
      <c r="J11" s="10">
        <f t="shared" si="3"/>
        <v>3056633980.8356814</v>
      </c>
      <c r="K11" s="11">
        <f t="shared" si="4"/>
        <v>1.8399999999999972E-2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11"/>
      <c r="H12" s="10"/>
      <c r="I12" s="10">
        <f t="shared" si="5"/>
        <v>1786</v>
      </c>
      <c r="J12" s="10">
        <f t="shared" si="3"/>
        <v>3001408072.3052645</v>
      </c>
      <c r="K12" s="11">
        <f t="shared" si="4"/>
        <v>1.8799999999999928E-2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11"/>
      <c r="H13" s="10"/>
      <c r="I13" s="10">
        <f t="shared" si="5"/>
        <v>1786</v>
      </c>
      <c r="J13" s="10">
        <f t="shared" si="3"/>
        <v>2946022842.8595057</v>
      </c>
      <c r="K13" s="11">
        <f t="shared" si="4"/>
        <v>1.9099999999999895E-2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11"/>
      <c r="H14" s="10"/>
      <c r="I14" s="10">
        <f t="shared" si="5"/>
        <v>1786</v>
      </c>
      <c r="J14" s="10">
        <f t="shared" si="3"/>
        <v>2890808402.3741598</v>
      </c>
      <c r="K14" s="11">
        <f t="shared" si="4"/>
        <v>1.9500000000000073E-2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11"/>
      <c r="H15" s="10"/>
      <c r="I15" s="10">
        <f t="shared" si="5"/>
        <v>1786</v>
      </c>
      <c r="J15" s="10">
        <f t="shared" si="3"/>
        <v>2835515843.4273267</v>
      </c>
      <c r="K15" s="11">
        <f t="shared" si="4"/>
        <v>2.0100000000000007E-2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11"/>
      <c r="H16" s="10"/>
      <c r="I16" s="10">
        <f t="shared" si="5"/>
        <v>1786</v>
      </c>
      <c r="J16" s="10">
        <f t="shared" si="3"/>
        <v>2779644979.3425417</v>
      </c>
      <c r="K16" s="11">
        <f t="shared" si="4"/>
        <v>2.1200000000000108E-2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11"/>
      <c r="H17" s="10"/>
      <c r="I17" s="10">
        <f t="shared" si="5"/>
        <v>1786</v>
      </c>
      <c r="J17" s="10">
        <f t="shared" si="3"/>
        <v>2721939854.4286542</v>
      </c>
      <c r="K17" s="11">
        <f t="shared" si="4"/>
        <v>2.2600000000000176E-2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11"/>
      <c r="H18" s="10"/>
      <c r="I18" s="10">
        <f t="shared" si="5"/>
        <v>1786</v>
      </c>
      <c r="J18" s="10">
        <f t="shared" si="3"/>
        <v>2661783546.2826657</v>
      </c>
      <c r="K18" s="11">
        <f t="shared" si="4"/>
        <v>2.4499999999999966E-2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11"/>
      <c r="H19" s="10"/>
      <c r="I19" s="10">
        <f t="shared" si="5"/>
        <v>1786</v>
      </c>
      <c r="J19" s="10">
        <f t="shared" si="3"/>
        <v>2598129376.5570188</v>
      </c>
      <c r="K19" s="11">
        <f t="shared" si="4"/>
        <v>2.6399999999999979E-2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11"/>
      <c r="H20" s="10"/>
      <c r="I20" s="10">
        <f t="shared" si="5"/>
        <v>1786</v>
      </c>
      <c r="J20" s="10">
        <f t="shared" si="3"/>
        <v>2531302977.9394183</v>
      </c>
      <c r="K20" s="11">
        <f t="shared" si="4"/>
        <v>2.8399999999999981E-2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11"/>
      <c r="H21" s="10"/>
      <c r="I21" s="10">
        <f t="shared" si="5"/>
        <v>1786</v>
      </c>
      <c r="J21" s="10">
        <f t="shared" si="3"/>
        <v>2461399239.5365796</v>
      </c>
      <c r="K21" s="11">
        <f t="shared" si="4"/>
        <v>3.0100000000000016E-2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11"/>
      <c r="H22" s="10"/>
      <c r="I22" s="10">
        <f t="shared" si="5"/>
        <v>1786</v>
      </c>
      <c r="J22" s="10">
        <f t="shared" si="3"/>
        <v>2389476011.5877872</v>
      </c>
      <c r="K22" s="11">
        <f t="shared" si="4"/>
        <v>3.1600000000000072E-2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11"/>
      <c r="H23" s="10"/>
      <c r="I23" s="10">
        <f t="shared" si="5"/>
        <v>1786</v>
      </c>
      <c r="J23" s="10">
        <f t="shared" si="3"/>
        <v>2316281515.6919222</v>
      </c>
      <c r="K23" s="11">
        <f t="shared" si="4"/>
        <v>3.2699999999999951E-2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11"/>
      <c r="H24" s="10"/>
      <c r="I24" s="10">
        <f t="shared" si="5"/>
        <v>1786</v>
      </c>
      <c r="J24" s="10">
        <f t="shared" si="3"/>
        <v>2242937460.7261763</v>
      </c>
      <c r="K24" s="11">
        <f t="shared" si="4"/>
        <v>3.3500000000000085E-2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11"/>
      <c r="H25" s="10"/>
      <c r="I25" s="10">
        <f t="shared" si="5"/>
        <v>1786</v>
      </c>
      <c r="J25" s="10">
        <f t="shared" si="3"/>
        <v>2170234601.5734649</v>
      </c>
      <c r="K25" s="11">
        <f t="shared" si="4"/>
        <v>3.4100000000000019E-2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11"/>
      <c r="H26" s="10"/>
      <c r="I26" s="10">
        <f t="shared" si="5"/>
        <v>1786</v>
      </c>
      <c r="J26" s="10">
        <f t="shared" si="3"/>
        <v>2098669956.071429</v>
      </c>
      <c r="K26" s="11">
        <f t="shared" si="4"/>
        <v>3.4499999999999975E-2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11"/>
      <c r="H27" s="10"/>
      <c r="I27" s="10">
        <f t="shared" si="5"/>
        <v>1786</v>
      </c>
      <c r="J27" s="10">
        <f t="shared" si="3"/>
        <v>2028680479.5277226</v>
      </c>
      <c r="K27" s="11">
        <f t="shared" si="4"/>
        <v>3.4799999999999942E-2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11"/>
      <c r="H28" s="10"/>
      <c r="I28" s="10">
        <f t="shared" si="5"/>
        <v>1786</v>
      </c>
      <c r="J28" s="10">
        <f t="shared" si="3"/>
        <v>1960456590.1891408</v>
      </c>
      <c r="K28" s="11">
        <f t="shared" si="4"/>
        <v>3.499999999999992E-2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11"/>
      <c r="H29" s="10"/>
      <c r="I29" s="10">
        <f t="shared" si="5"/>
        <v>1786</v>
      </c>
      <c r="J29" s="10">
        <f t="shared" si="3"/>
        <v>1894160956.704484</v>
      </c>
      <c r="K29" s="11">
        <f t="shared" si="4"/>
        <v>3.5099999999999909E-2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11"/>
      <c r="H30" s="10"/>
      <c r="I30" s="10">
        <f t="shared" si="5"/>
        <v>1786</v>
      </c>
      <c r="J30" s="10">
        <f t="shared" si="3"/>
        <v>1829930399.6758616</v>
      </c>
      <c r="K30" s="11">
        <f t="shared" si="4"/>
        <v>3.5299999999999887E-2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11"/>
      <c r="H31" s="10"/>
      <c r="I31" s="10">
        <f t="shared" si="5"/>
        <v>1786</v>
      </c>
      <c r="J31" s="10">
        <f t="shared" si="3"/>
        <v>1767536365.9575598</v>
      </c>
      <c r="K31" s="11">
        <f t="shared" si="4"/>
        <v>3.5500000000000087E-2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11"/>
      <c r="H32" s="10"/>
      <c r="I32" s="10">
        <f t="shared" si="5"/>
        <v>1786</v>
      </c>
      <c r="J32" s="10">
        <f t="shared" si="3"/>
        <v>1706939996.0961466</v>
      </c>
      <c r="K32" s="11">
        <f t="shared" si="4"/>
        <v>3.599999999999981E-2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11"/>
      <c r="H33" s="10"/>
      <c r="I33" s="10">
        <f t="shared" si="5"/>
        <v>1786</v>
      </c>
      <c r="J33" s="10">
        <f t="shared" si="3"/>
        <v>1647625478.8572845</v>
      </c>
      <c r="K33" s="11">
        <f t="shared" si="4"/>
        <v>3.6899999999999933E-2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11"/>
      <c r="H34" s="10"/>
      <c r="I34" s="10">
        <f t="shared" si="5"/>
        <v>1786</v>
      </c>
      <c r="J34" s="10">
        <f t="shared" ref="J34:J65" si="6">IF(I34="","",I34*C34)</f>
        <v>1588991685.6565576</v>
      </c>
      <c r="K34" s="11">
        <f t="shared" ref="K34:K65" si="7">IFERROR(J34/J35-1,"")</f>
        <v>3.8100000000000023E-2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11"/>
      <c r="H35" s="10"/>
      <c r="I35" s="10">
        <f t="shared" ref="I35:I66" si="8">IF(H35&lt;&gt;"",H35,I34/(1+IF(G34="",0,G34)))</f>
        <v>1786</v>
      </c>
      <c r="J35" s="10">
        <f t="shared" si="6"/>
        <v>1530673042.7285979</v>
      </c>
      <c r="K35" s="11">
        <f t="shared" si="7"/>
        <v>3.9400000000000102E-2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11"/>
      <c r="H36" s="10"/>
      <c r="I36" s="10">
        <f t="shared" si="8"/>
        <v>1786</v>
      </c>
      <c r="J36" s="10">
        <f t="shared" si="6"/>
        <v>1472650608.744081</v>
      </c>
      <c r="K36" s="11">
        <f t="shared" si="7"/>
        <v>4.0699999999999958E-2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11"/>
      <c r="H37" s="10"/>
      <c r="I37" s="10">
        <f t="shared" si="8"/>
        <v>1786</v>
      </c>
      <c r="J37" s="10">
        <f t="shared" si="6"/>
        <v>1415057757.993736</v>
      </c>
      <c r="K37" s="11">
        <f t="shared" si="7"/>
        <v>4.1699999999999848E-2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11"/>
      <c r="H38" s="10"/>
      <c r="I38" s="10">
        <f t="shared" si="8"/>
        <v>1786</v>
      </c>
      <c r="J38" s="10">
        <f t="shared" si="6"/>
        <v>1358411978.490675</v>
      </c>
      <c r="K38" s="11">
        <f t="shared" si="7"/>
        <v>4.2200000000000015E-2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11"/>
      <c r="H39" s="10"/>
      <c r="I39" s="10">
        <f t="shared" si="8"/>
        <v>1786</v>
      </c>
      <c r="J39" s="10">
        <f t="shared" si="6"/>
        <v>1303408154.3760073</v>
      </c>
      <c r="K39" s="11">
        <f t="shared" si="7"/>
        <v>4.2100000000000026E-2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11"/>
      <c r="H40" s="10"/>
      <c r="I40" s="10">
        <f t="shared" si="8"/>
        <v>1786</v>
      </c>
      <c r="J40" s="10">
        <f t="shared" si="6"/>
        <v>1250751515.5704896</v>
      </c>
      <c r="K40" s="11">
        <f t="shared" si="7"/>
        <v>4.1400000000000103E-2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11"/>
      <c r="H41" s="10"/>
      <c r="I41" s="10">
        <f t="shared" si="8"/>
        <v>1786</v>
      </c>
      <c r="J41" s="10">
        <f t="shared" si="6"/>
        <v>1201028918.3507676</v>
      </c>
      <c r="K41" s="11">
        <f t="shared" si="7"/>
        <v>4.0000000000000036E-2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11"/>
      <c r="H42" s="10"/>
      <c r="I42" s="10">
        <f t="shared" si="8"/>
        <v>1786</v>
      </c>
      <c r="J42" s="10">
        <f t="shared" si="6"/>
        <v>1154835498.4141996</v>
      </c>
      <c r="K42" s="11">
        <f t="shared" si="7"/>
        <v>3.8200000000000012E-2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11"/>
      <c r="H43" s="10"/>
      <c r="I43" s="10">
        <f t="shared" si="8"/>
        <v>1786</v>
      </c>
      <c r="J43" s="10">
        <f t="shared" si="6"/>
        <v>1112343959.1737618</v>
      </c>
      <c r="K43" s="11">
        <f t="shared" si="7"/>
        <v>3.6100000000000021E-2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11"/>
      <c r="H44" s="10"/>
      <c r="I44" s="10">
        <f t="shared" si="8"/>
        <v>1786</v>
      </c>
      <c r="J44" s="10">
        <f t="shared" si="6"/>
        <v>1073587452.151107</v>
      </c>
      <c r="K44" s="11">
        <f t="shared" si="7"/>
        <v>3.3900000000000041E-2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11"/>
      <c r="H45" s="10"/>
      <c r="I45" s="10">
        <f t="shared" si="8"/>
        <v>1786</v>
      </c>
      <c r="J45" s="10">
        <f t="shared" si="6"/>
        <v>1038386161.2835932</v>
      </c>
      <c r="K45" s="11">
        <f t="shared" si="7"/>
        <v>3.1700000000000061E-2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11"/>
      <c r="H46" s="10"/>
      <c r="I46" s="10">
        <f t="shared" si="8"/>
        <v>1786</v>
      </c>
      <c r="J46" s="10">
        <f t="shared" si="6"/>
        <v>1006480722.3840197</v>
      </c>
      <c r="K46" s="11">
        <f t="shared" si="7"/>
        <v>2.970000000000006E-2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11"/>
      <c r="H47" s="10"/>
      <c r="I47" s="10">
        <f t="shared" si="8"/>
        <v>1786</v>
      </c>
      <c r="J47" s="10">
        <f t="shared" si="6"/>
        <v>977450444.19153118</v>
      </c>
      <c r="K47" s="11">
        <f t="shared" si="7"/>
        <v>2.8100000000000014E-2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11"/>
      <c r="H48" s="10"/>
      <c r="I48" s="10">
        <f t="shared" si="8"/>
        <v>1786</v>
      </c>
      <c r="J48" s="10">
        <f t="shared" si="6"/>
        <v>950734796.41234434</v>
      </c>
      <c r="K48" s="11">
        <f t="shared" si="7"/>
        <v>2.7099999999999902E-2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11"/>
      <c r="H49" s="10"/>
      <c r="I49" s="10">
        <f t="shared" si="8"/>
        <v>1786</v>
      </c>
      <c r="J49" s="10">
        <f t="shared" si="6"/>
        <v>925649689.81826937</v>
      </c>
      <c r="K49" s="11">
        <f t="shared" si="7"/>
        <v>2.6599999999999957E-2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11"/>
      <c r="H50" s="10"/>
      <c r="I50" s="10">
        <f t="shared" si="8"/>
        <v>1786</v>
      </c>
      <c r="J50" s="10">
        <f t="shared" si="6"/>
        <v>901665390.43275809</v>
      </c>
      <c r="K50" s="11">
        <f t="shared" si="7"/>
        <v>2.6699999999999946E-2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11"/>
      <c r="H51" s="10"/>
      <c r="I51" s="10">
        <f t="shared" si="8"/>
        <v>1786</v>
      </c>
      <c r="J51" s="10">
        <f t="shared" si="6"/>
        <v>878216996.622926</v>
      </c>
      <c r="K51" s="11">
        <f t="shared" si="7"/>
        <v>2.7300000000000102E-2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11"/>
      <c r="H52" s="10"/>
      <c r="I52" s="10">
        <f t="shared" si="8"/>
        <v>1786</v>
      </c>
      <c r="J52" s="10">
        <f t="shared" si="6"/>
        <v>854878805.23987722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11"/>
      <c r="H53" s="10"/>
      <c r="I53" s="10">
        <f t="shared" si="8"/>
        <v>1786</v>
      </c>
      <c r="J53" s="10">
        <f t="shared" si="6"/>
        <v>831270716.88047183</v>
      </c>
      <c r="K53" s="11">
        <f t="shared" si="7"/>
        <v>2.970000000000006E-2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11"/>
      <c r="H54" s="10"/>
      <c r="I54" s="10">
        <f t="shared" si="8"/>
        <v>1786</v>
      </c>
      <c r="J54" s="10">
        <f t="shared" si="6"/>
        <v>807294082.6264658</v>
      </c>
      <c r="K54" s="11">
        <f t="shared" si="7"/>
        <v>3.0899999999999928E-2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11"/>
      <c r="H55" s="10"/>
      <c r="I55" s="10">
        <f t="shared" si="8"/>
        <v>1786</v>
      </c>
      <c r="J55" s="10">
        <f t="shared" si="6"/>
        <v>783096403.75057316</v>
      </c>
      <c r="K55" s="11">
        <f t="shared" si="7"/>
        <v>3.2100000000000017E-2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11"/>
      <c r="H56" s="10"/>
      <c r="I56" s="10">
        <f t="shared" si="8"/>
        <v>1786</v>
      </c>
      <c r="J56" s="10">
        <f t="shared" si="6"/>
        <v>758740823.32193887</v>
      </c>
      <c r="K56" s="11">
        <f t="shared" si="7"/>
        <v>3.2800000000000162E-2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11"/>
      <c r="H57" s="10"/>
      <c r="I57" s="10">
        <f t="shared" si="8"/>
        <v>1786</v>
      </c>
      <c r="J57" s="10">
        <f t="shared" si="6"/>
        <v>734644484.23890281</v>
      </c>
      <c r="K57" s="11">
        <f t="shared" si="7"/>
        <v>3.2899999999999929E-2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11"/>
      <c r="H58" s="10"/>
      <c r="I58" s="10">
        <f t="shared" si="8"/>
        <v>1786</v>
      </c>
      <c r="J58" s="10">
        <f t="shared" si="6"/>
        <v>711244538.90880322</v>
      </c>
      <c r="K58" s="11">
        <f t="shared" si="7"/>
        <v>3.2300000000000217E-2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11"/>
      <c r="H59" s="10"/>
      <c r="I59" s="10">
        <f t="shared" si="8"/>
        <v>1786</v>
      </c>
      <c r="J59" s="10">
        <f t="shared" si="6"/>
        <v>688990156.84278131</v>
      </c>
      <c r="K59" s="11">
        <f t="shared" si="7"/>
        <v>3.1099999999999683E-2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11"/>
      <c r="H60" s="10"/>
      <c r="I60" s="10">
        <f t="shared" si="8"/>
        <v>1786</v>
      </c>
      <c r="J60" s="10">
        <f t="shared" si="6"/>
        <v>668208861.25766802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11"/>
      <c r="H61" s="10"/>
      <c r="I61" s="10">
        <f t="shared" si="8"/>
        <v>1786</v>
      </c>
      <c r="J61" s="10">
        <f t="shared" si="6"/>
        <v>649250739.65960753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11"/>
      <c r="H62" s="10"/>
      <c r="I62" s="10">
        <f t="shared" si="8"/>
        <v>1786</v>
      </c>
      <c r="J62" s="10">
        <f t="shared" si="6"/>
        <v>632058741.88045907</v>
      </c>
      <c r="K62" s="11">
        <f t="shared" si="7"/>
        <v>2.5400000000000089E-2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11"/>
      <c r="H63" s="10"/>
      <c r="I63" s="10">
        <f t="shared" si="8"/>
        <v>1786</v>
      </c>
      <c r="J63" s="10">
        <f t="shared" si="6"/>
        <v>616402127.83348835</v>
      </c>
      <c r="K63" s="11">
        <f t="shared" si="7"/>
        <v>2.4100000000000232E-2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11"/>
      <c r="H64" s="10"/>
      <c r="I64" s="10">
        <f t="shared" si="8"/>
        <v>1786</v>
      </c>
      <c r="J64" s="10">
        <f t="shared" si="6"/>
        <v>601896424.0147332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11"/>
      <c r="H65" s="10"/>
      <c r="I65" s="10">
        <f t="shared" si="8"/>
        <v>1786</v>
      </c>
      <c r="J65" s="10">
        <f t="shared" si="6"/>
        <v>588191560.65155196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6">
        <f>SUM(F2)</f>
        <v>1914198</v>
      </c>
      <c r="G66" s="11"/>
      <c r="H66" s="10"/>
      <c r="I66" s="10">
        <f t="shared" si="8"/>
        <v>1786</v>
      </c>
      <c r="J66" s="10">
        <f t="shared" ref="J66:J97" si="9">IF(I66="","",I66*C66)</f>
        <v>574911113.92000008</v>
      </c>
      <c r="K66" s="11">
        <f t="shared" ref="K66:K97" si="10">IFERROR(J66/J67-1,"")</f>
        <v>2.3200000000000109E-2</v>
      </c>
    </row>
    <row r="67" spans="1:11" ht="22.5" customHeight="1">
      <c r="A67" s="3">
        <f t="shared" si="0"/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11"/>
      <c r="H67" s="10"/>
      <c r="I67" s="10">
        <f t="shared" ref="I67:I98" si="11">IF(H67&lt;&gt;"",H67,I66/(1+IF(G66="",0,G66)))</f>
        <v>1786</v>
      </c>
      <c r="J67" s="10">
        <f t="shared" si="9"/>
        <v>561875600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131.11195797523743</v>
      </c>
      <c r="D2" s="11">
        <v>-5.3E-3</v>
      </c>
      <c r="E2" s="10">
        <f t="shared" ref="E2:E66" si="2">SUM(C2-C3)</f>
        <v>-0.69859593572812173</v>
      </c>
      <c r="F2" s="15">
        <v>5001934</v>
      </c>
      <c r="G2" s="11"/>
      <c r="H2" s="10"/>
      <c r="I2" s="10">
        <f>IF(H2&lt;&gt;"",H2,7302)</f>
        <v>7302</v>
      </c>
      <c r="J2" s="10">
        <f t="shared" ref="J2:J33" si="3">IF(I2="","",I2*C2)</f>
        <v>957379.51713518368</v>
      </c>
      <c r="K2" s="11">
        <f t="shared" ref="K2:K33" si="4">IFERROR(J2/J3-1,"")</f>
        <v>-5.3000000000000824E-3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131.81055391096555</v>
      </c>
      <c r="D3" s="11">
        <v>-5.5999999999999999E-3</v>
      </c>
      <c r="E3" s="10">
        <f t="shared" si="2"/>
        <v>-0.74229595927334913</v>
      </c>
      <c r="F3" s="3"/>
      <c r="G3" s="11"/>
      <c r="H3" s="10"/>
      <c r="I3" s="10">
        <f t="shared" ref="I3:I34" si="5">IF(H3&lt;&gt;"",H3,I2/(1+IF(G2="",0,G2)))</f>
        <v>7302</v>
      </c>
      <c r="J3" s="10">
        <f t="shared" si="3"/>
        <v>962480.66465787042</v>
      </c>
      <c r="K3" s="11">
        <f t="shared" si="4"/>
        <v>-5.6000000000000494E-3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132.5528498702389</v>
      </c>
      <c r="D4" s="11">
        <v>-6.4999999999999997E-3</v>
      </c>
      <c r="E4" s="10">
        <f t="shared" si="2"/>
        <v>-0.86723052255314315</v>
      </c>
      <c r="F4" s="3"/>
      <c r="G4" s="11"/>
      <c r="H4" s="10"/>
      <c r="I4" s="10">
        <f t="shared" si="5"/>
        <v>7302</v>
      </c>
      <c r="J4" s="10">
        <f t="shared" si="3"/>
        <v>967900.90975248441</v>
      </c>
      <c r="K4" s="11">
        <f t="shared" si="4"/>
        <v>-6.5000000000000613E-3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133.42008039279204</v>
      </c>
      <c r="D5" s="11">
        <v>-7.7999999999999996E-3</v>
      </c>
      <c r="E5" s="10">
        <f t="shared" si="2"/>
        <v>-1.0488577172583859</v>
      </c>
      <c r="F5" s="3"/>
      <c r="G5" s="11"/>
      <c r="H5" s="10"/>
      <c r="I5" s="10">
        <f t="shared" si="5"/>
        <v>7302</v>
      </c>
      <c r="J5" s="10">
        <f t="shared" si="3"/>
        <v>974233.42702816753</v>
      </c>
      <c r="K5" s="11">
        <f t="shared" si="4"/>
        <v>-7.7999999999999181E-3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134.46893811005043</v>
      </c>
      <c r="D6" s="11">
        <v>-6.8999999999999999E-3</v>
      </c>
      <c r="E6" s="10">
        <f t="shared" si="2"/>
        <v>-0.93428222027927177</v>
      </c>
      <c r="F6" s="3"/>
      <c r="G6" s="11"/>
      <c r="H6" s="10"/>
      <c r="I6" s="10">
        <f t="shared" si="5"/>
        <v>7302</v>
      </c>
      <c r="J6" s="10">
        <f t="shared" si="3"/>
        <v>981892.18607958825</v>
      </c>
      <c r="K6" s="11">
        <f t="shared" si="4"/>
        <v>-6.9000000000000172E-3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135.4032203303297</v>
      </c>
      <c r="D7" s="11">
        <v>-7.1000000000000004E-3</v>
      </c>
      <c r="E7" s="10">
        <f t="shared" si="2"/>
        <v>-0.96823734952698715</v>
      </c>
      <c r="F7" s="3"/>
      <c r="G7" s="11"/>
      <c r="H7" s="10"/>
      <c r="I7" s="10">
        <f t="shared" si="5"/>
        <v>7302</v>
      </c>
      <c r="J7" s="10">
        <f t="shared" si="3"/>
        <v>988714.3148520675</v>
      </c>
      <c r="K7" s="11">
        <f t="shared" si="4"/>
        <v>-7.0999999999999952E-3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136.37145767985669</v>
      </c>
      <c r="D8" s="11">
        <v>-6.1000000000000004E-3</v>
      </c>
      <c r="E8" s="10">
        <f t="shared" si="2"/>
        <v>-0.83697141749382808</v>
      </c>
      <c r="F8" s="3"/>
      <c r="G8" s="11"/>
      <c r="H8" s="10"/>
      <c r="I8" s="10">
        <f t="shared" si="5"/>
        <v>7302</v>
      </c>
      <c r="J8" s="10">
        <f t="shared" si="3"/>
        <v>995784.38397831353</v>
      </c>
      <c r="K8" s="11">
        <f t="shared" si="4"/>
        <v>-6.0999999999999943E-3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137.20842909735052</v>
      </c>
      <c r="D9" s="11">
        <v>-4.4999999999999997E-3</v>
      </c>
      <c r="E9" s="10">
        <f t="shared" si="2"/>
        <v>-0.62022896126376281</v>
      </c>
      <c r="F9" s="3"/>
      <c r="G9" s="11"/>
      <c r="H9" s="10"/>
      <c r="I9" s="10">
        <f t="shared" si="5"/>
        <v>7302</v>
      </c>
      <c r="J9" s="10">
        <f t="shared" si="3"/>
        <v>1001895.9492688535</v>
      </c>
      <c r="K9" s="11">
        <f t="shared" si="4"/>
        <v>-4.4999999999999485E-3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137.82865805861428</v>
      </c>
      <c r="D10" s="11">
        <v>-3.3999999999999998E-3</v>
      </c>
      <c r="E10" s="10">
        <f t="shared" si="2"/>
        <v>-0.47021617238539193</v>
      </c>
      <c r="F10" s="3"/>
      <c r="G10" s="11"/>
      <c r="H10" s="10"/>
      <c r="I10" s="10">
        <f t="shared" si="5"/>
        <v>7302</v>
      </c>
      <c r="J10" s="10">
        <f t="shared" si="3"/>
        <v>1006424.8611440015</v>
      </c>
      <c r="K10" s="11">
        <f t="shared" si="4"/>
        <v>-3.3999999999999586E-3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138.29887423099967</v>
      </c>
      <c r="D11" s="11">
        <v>-2.8999999999999998E-3</v>
      </c>
      <c r="E11" s="10">
        <f t="shared" si="2"/>
        <v>-0.402233211583507</v>
      </c>
      <c r="F11" s="3"/>
      <c r="G11" s="11"/>
      <c r="H11" s="10"/>
      <c r="I11" s="10">
        <f t="shared" si="5"/>
        <v>7302</v>
      </c>
      <c r="J11" s="10">
        <f t="shared" si="3"/>
        <v>1009858.3796347596</v>
      </c>
      <c r="K11" s="11">
        <f t="shared" si="4"/>
        <v>-2.9000000000001247E-3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138.70110744258318</v>
      </c>
      <c r="D12" s="11">
        <v>-3.3999999999999998E-3</v>
      </c>
      <c r="E12" s="10">
        <f t="shared" si="2"/>
        <v>-0.47319262021349573</v>
      </c>
      <c r="F12" s="3"/>
      <c r="G12" s="11"/>
      <c r="H12" s="10"/>
      <c r="I12" s="10">
        <f t="shared" si="5"/>
        <v>7302</v>
      </c>
      <c r="J12" s="10">
        <f t="shared" si="3"/>
        <v>1012795.4865457424</v>
      </c>
      <c r="K12" s="11">
        <f t="shared" si="4"/>
        <v>-3.3999999999999586E-3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139.17430006279668</v>
      </c>
      <c r="D13" s="11">
        <v>-1.8100000000000002E-2</v>
      </c>
      <c r="E13" s="10">
        <f t="shared" si="2"/>
        <v>-2.565490203825874</v>
      </c>
      <c r="F13" s="3"/>
      <c r="G13" s="11"/>
      <c r="H13" s="10"/>
      <c r="I13" s="10">
        <f t="shared" si="5"/>
        <v>7302</v>
      </c>
      <c r="J13" s="10">
        <f t="shared" si="3"/>
        <v>1016250.7390585414</v>
      </c>
      <c r="K13" s="11">
        <f t="shared" si="4"/>
        <v>-1.8100000000000005E-2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141.73979026662255</v>
      </c>
      <c r="D14" s="11">
        <v>-1.34E-2</v>
      </c>
      <c r="E14" s="10">
        <f t="shared" si="2"/>
        <v>-1.9251096590033967</v>
      </c>
      <c r="F14" s="3"/>
      <c r="G14" s="11"/>
      <c r="H14" s="10"/>
      <c r="I14" s="10">
        <f t="shared" si="5"/>
        <v>7302</v>
      </c>
      <c r="J14" s="10">
        <f t="shared" si="3"/>
        <v>1034983.9485268779</v>
      </c>
      <c r="K14" s="11">
        <f t="shared" si="4"/>
        <v>-1.3399999999999967E-2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143.66489992562595</v>
      </c>
      <c r="D15" s="11">
        <v>-8.9999999999999993E-3</v>
      </c>
      <c r="E15" s="10">
        <f t="shared" si="2"/>
        <v>-1.3047266390823893</v>
      </c>
      <c r="F15" s="3"/>
      <c r="G15" s="11"/>
      <c r="H15" s="10"/>
      <c r="I15" s="10">
        <f t="shared" si="5"/>
        <v>7302</v>
      </c>
      <c r="J15" s="10">
        <f t="shared" si="3"/>
        <v>1049041.0992569206</v>
      </c>
      <c r="K15" s="11">
        <f t="shared" si="4"/>
        <v>-9.000000000000119E-3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144.96962656470834</v>
      </c>
      <c r="D16" s="11">
        <v>-6.7999999999999996E-3</v>
      </c>
      <c r="E16" s="10">
        <f t="shared" si="2"/>
        <v>-0.99254275134919112</v>
      </c>
      <c r="F16" s="3"/>
      <c r="G16" s="11"/>
      <c r="H16" s="10"/>
      <c r="I16" s="10">
        <f t="shared" si="5"/>
        <v>7302</v>
      </c>
      <c r="J16" s="10">
        <f t="shared" si="3"/>
        <v>1058568.2131755003</v>
      </c>
      <c r="K16" s="11">
        <f t="shared" si="4"/>
        <v>-6.7999999999999172E-3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145.96216931605753</v>
      </c>
      <c r="D17" s="11">
        <v>-5.7000000000000002E-3</v>
      </c>
      <c r="E17" s="10">
        <f t="shared" si="2"/>
        <v>-0.83675386211558589</v>
      </c>
      <c r="F17" s="3"/>
      <c r="G17" s="11"/>
      <c r="H17" s="10"/>
      <c r="I17" s="10">
        <f t="shared" si="5"/>
        <v>7302</v>
      </c>
      <c r="J17" s="10">
        <f t="shared" si="3"/>
        <v>1065815.760345852</v>
      </c>
      <c r="K17" s="11">
        <f t="shared" si="4"/>
        <v>-5.7000000000000384E-3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146.79892317817311</v>
      </c>
      <c r="D18" s="11">
        <v>-5.1000000000000004E-3</v>
      </c>
      <c r="E18" s="10">
        <f t="shared" si="2"/>
        <v>-0.7525123210460265</v>
      </c>
      <c r="F18" s="3"/>
      <c r="G18" s="11"/>
      <c r="H18" s="10"/>
      <c r="I18" s="10">
        <f t="shared" si="5"/>
        <v>7302</v>
      </c>
      <c r="J18" s="10">
        <f t="shared" si="3"/>
        <v>1071925.7370470201</v>
      </c>
      <c r="K18" s="11">
        <f t="shared" si="4"/>
        <v>-5.0999999999999934E-3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147.55143549921914</v>
      </c>
      <c r="D19" s="11">
        <v>-4.8999999999999998E-3</v>
      </c>
      <c r="E19" s="10">
        <f t="shared" si="2"/>
        <v>-0.72656218867066968</v>
      </c>
      <c r="F19" s="3"/>
      <c r="G19" s="11"/>
      <c r="H19" s="10"/>
      <c r="I19" s="10">
        <f t="shared" si="5"/>
        <v>7302</v>
      </c>
      <c r="J19" s="10">
        <f t="shared" si="3"/>
        <v>1077420.5820152981</v>
      </c>
      <c r="K19" s="11">
        <f t="shared" si="4"/>
        <v>-4.9000000000001265E-3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148.27799768788981</v>
      </c>
      <c r="D20" s="11">
        <v>-4.7000000000000002E-3</v>
      </c>
      <c r="E20" s="10">
        <f t="shared" si="2"/>
        <v>-0.70019751746517045</v>
      </c>
      <c r="F20" s="3"/>
      <c r="G20" s="11"/>
      <c r="H20" s="10"/>
      <c r="I20" s="10">
        <f t="shared" si="5"/>
        <v>7302</v>
      </c>
      <c r="J20" s="10">
        <f t="shared" si="3"/>
        <v>1082725.9391169713</v>
      </c>
      <c r="K20" s="11">
        <f t="shared" si="4"/>
        <v>-4.7000000000001485E-3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148.97819520535498</v>
      </c>
      <c r="D21" s="11">
        <v>-4.4999999999999997E-3</v>
      </c>
      <c r="E21" s="10">
        <f t="shared" si="2"/>
        <v>-0.67343232388157048</v>
      </c>
      <c r="F21" s="3"/>
      <c r="G21" s="11"/>
      <c r="H21" s="10"/>
      <c r="I21" s="10">
        <f t="shared" si="5"/>
        <v>7302</v>
      </c>
      <c r="J21" s="10">
        <f t="shared" si="3"/>
        <v>1087838.7813895021</v>
      </c>
      <c r="K21" s="11">
        <f t="shared" si="4"/>
        <v>-4.5000000000000595E-3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149.65162752923655</v>
      </c>
      <c r="D22" s="11">
        <v>-4.1000000000000003E-3</v>
      </c>
      <c r="E22" s="10">
        <f t="shared" si="2"/>
        <v>-0.61609767333052901</v>
      </c>
      <c r="F22" s="3"/>
      <c r="G22" s="11"/>
      <c r="H22" s="10"/>
      <c r="I22" s="10">
        <f t="shared" si="5"/>
        <v>7302</v>
      </c>
      <c r="J22" s="10">
        <f t="shared" si="3"/>
        <v>1092756.1842184854</v>
      </c>
      <c r="K22" s="11">
        <f t="shared" si="4"/>
        <v>-4.0999999999999925E-3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150.26772520256708</v>
      </c>
      <c r="D23" s="11">
        <v>-3.2000000000000002E-3</v>
      </c>
      <c r="E23" s="10">
        <f t="shared" si="2"/>
        <v>-0.48240040193439881</v>
      </c>
      <c r="F23" s="3"/>
      <c r="G23" s="11"/>
      <c r="H23" s="10"/>
      <c r="I23" s="10">
        <f t="shared" si="5"/>
        <v>7302</v>
      </c>
      <c r="J23" s="10">
        <f t="shared" si="3"/>
        <v>1097254.9294291448</v>
      </c>
      <c r="K23" s="11">
        <f t="shared" si="4"/>
        <v>-3.1999999999999806E-3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150.75012560450148</v>
      </c>
      <c r="D24" s="11">
        <v>-2.3E-3</v>
      </c>
      <c r="E24" s="10">
        <f t="shared" si="2"/>
        <v>-0.34752459545990178</v>
      </c>
      <c r="F24" s="3"/>
      <c r="G24" s="11"/>
      <c r="H24" s="10"/>
      <c r="I24" s="10">
        <f t="shared" si="5"/>
        <v>7302</v>
      </c>
      <c r="J24" s="10">
        <f t="shared" si="3"/>
        <v>1100777.4171640698</v>
      </c>
      <c r="K24" s="11">
        <f t="shared" si="4"/>
        <v>-2.2999999999998577E-3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151.09765019996138</v>
      </c>
      <c r="D25" s="11">
        <v>1.6000000000000001E-3</v>
      </c>
      <c r="E25" s="10">
        <f t="shared" si="2"/>
        <v>0.241370048242743</v>
      </c>
      <c r="F25" s="3"/>
      <c r="G25" s="11"/>
      <c r="H25" s="10"/>
      <c r="I25" s="10">
        <f t="shared" si="5"/>
        <v>7302</v>
      </c>
      <c r="J25" s="10">
        <f t="shared" si="3"/>
        <v>1103315.041760118</v>
      </c>
      <c r="K25" s="11">
        <f t="shared" si="4"/>
        <v>1.5999999999998238E-3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150.85628015171864</v>
      </c>
      <c r="D26" s="11">
        <v>3.3999999999999998E-3</v>
      </c>
      <c r="E26" s="10">
        <f t="shared" si="2"/>
        <v>0.51117336308138306</v>
      </c>
      <c r="F26" s="3"/>
      <c r="G26" s="11"/>
      <c r="H26" s="10"/>
      <c r="I26" s="10">
        <f t="shared" si="5"/>
        <v>7302</v>
      </c>
      <c r="J26" s="10">
        <f t="shared" si="3"/>
        <v>1101552.5576678496</v>
      </c>
      <c r="K26" s="11">
        <f t="shared" si="4"/>
        <v>3.4000000000002917E-3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150.34510678863725</v>
      </c>
      <c r="D27" s="11">
        <v>3.8E-3</v>
      </c>
      <c r="E27" s="10">
        <f t="shared" si="2"/>
        <v>0.56914864096117412</v>
      </c>
      <c r="F27" s="3"/>
      <c r="G27" s="11"/>
      <c r="H27" s="10"/>
      <c r="I27" s="10">
        <f t="shared" si="5"/>
        <v>7302</v>
      </c>
      <c r="J27" s="10">
        <f t="shared" si="3"/>
        <v>1097819.9697706292</v>
      </c>
      <c r="K27" s="11">
        <f t="shared" si="4"/>
        <v>3.8000000000000256E-3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149.77595814767608</v>
      </c>
      <c r="D28" s="11">
        <v>3.8E-3</v>
      </c>
      <c r="E28" s="10">
        <f t="shared" si="2"/>
        <v>0.5669940635197861</v>
      </c>
      <c r="F28" s="3"/>
      <c r="G28" s="11"/>
      <c r="H28" s="10"/>
      <c r="I28" s="10">
        <f t="shared" si="5"/>
        <v>7302</v>
      </c>
      <c r="J28" s="10">
        <f t="shared" si="3"/>
        <v>1093664.0463943307</v>
      </c>
      <c r="K28" s="11">
        <f t="shared" si="4"/>
        <v>3.7999999999998035E-3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149.20896408415629</v>
      </c>
      <c r="D29" s="11">
        <v>4.1000000000000003E-3</v>
      </c>
      <c r="E29" s="10">
        <f t="shared" si="2"/>
        <v>0.60925879169906239</v>
      </c>
      <c r="F29" s="3"/>
      <c r="G29" s="11"/>
      <c r="H29" s="10"/>
      <c r="I29" s="10">
        <f t="shared" si="5"/>
        <v>7302</v>
      </c>
      <c r="J29" s="10">
        <f t="shared" si="3"/>
        <v>1089523.8557425092</v>
      </c>
      <c r="K29" s="11">
        <f t="shared" si="4"/>
        <v>4.0999999999997705E-3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148.59970529245723</v>
      </c>
      <c r="D30" s="11">
        <v>4.7999999999999996E-3</v>
      </c>
      <c r="E30" s="10">
        <f t="shared" si="2"/>
        <v>0.70987120362636347</v>
      </c>
      <c r="F30" s="3"/>
      <c r="G30" s="11"/>
      <c r="H30" s="10"/>
      <c r="I30" s="10">
        <f t="shared" si="5"/>
        <v>7302</v>
      </c>
      <c r="J30" s="10">
        <f t="shared" si="3"/>
        <v>1085075.0480455228</v>
      </c>
      <c r="K30" s="11">
        <f t="shared" si="4"/>
        <v>4.7999999999999154E-3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147.88983408883087</v>
      </c>
      <c r="D31" s="11">
        <v>5.7999999999999996E-3</v>
      </c>
      <c r="E31" s="10">
        <f t="shared" si="2"/>
        <v>0.852814712383406</v>
      </c>
      <c r="F31" s="3"/>
      <c r="G31" s="11"/>
      <c r="H31" s="10"/>
      <c r="I31" s="10">
        <f t="shared" si="5"/>
        <v>7302</v>
      </c>
      <c r="J31" s="10">
        <f t="shared" si="3"/>
        <v>1079891.568516643</v>
      </c>
      <c r="K31" s="11">
        <f t="shared" si="4"/>
        <v>5.8000000000002494E-3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147.03701937644746</v>
      </c>
      <c r="D32" s="11">
        <v>7.1999999999999998E-3</v>
      </c>
      <c r="E32" s="10">
        <f t="shared" si="2"/>
        <v>1.0510986293789131</v>
      </c>
      <c r="F32" s="3"/>
      <c r="G32" s="11"/>
      <c r="H32" s="10"/>
      <c r="I32" s="10">
        <f t="shared" si="5"/>
        <v>7302</v>
      </c>
      <c r="J32" s="10">
        <f t="shared" si="3"/>
        <v>1073664.3154868193</v>
      </c>
      <c r="K32" s="11">
        <f t="shared" si="4"/>
        <v>7.1999999999998732E-3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145.98592074706855</v>
      </c>
      <c r="D33" s="11">
        <v>8.3999999999999995E-3</v>
      </c>
      <c r="E33" s="10">
        <f t="shared" si="2"/>
        <v>1.2160667733789978</v>
      </c>
      <c r="F33" s="3"/>
      <c r="G33" s="11"/>
      <c r="H33" s="10"/>
      <c r="I33" s="10">
        <f t="shared" si="5"/>
        <v>7302</v>
      </c>
      <c r="J33" s="10">
        <f t="shared" si="3"/>
        <v>1065989.1932950947</v>
      </c>
      <c r="K33" s="11">
        <f t="shared" si="4"/>
        <v>8.4000000000001851E-3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144.76985397368955</v>
      </c>
      <c r="D34" s="11">
        <v>9.2999999999999992E-3</v>
      </c>
      <c r="E34" s="10">
        <f t="shared" si="2"/>
        <v>1.3339538709554404</v>
      </c>
      <c r="F34" s="3"/>
      <c r="G34" s="11"/>
      <c r="H34" s="10"/>
      <c r="I34" s="10">
        <f t="shared" si="5"/>
        <v>7302</v>
      </c>
      <c r="J34" s="10">
        <f t="shared" ref="J34:J65" si="6">IF(I34="","",I34*C34)</f>
        <v>1057109.4737158811</v>
      </c>
      <c r="K34" s="11">
        <f t="shared" ref="K34:K65" si="7">IFERROR(J34/J35-1,"")</f>
        <v>9.300000000000086E-3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143.43590010273411</v>
      </c>
      <c r="D35" s="11">
        <v>9.2999999999999992E-3</v>
      </c>
      <c r="E35" s="10">
        <f t="shared" si="2"/>
        <v>1.3216624105374422</v>
      </c>
      <c r="F35" s="3"/>
      <c r="G35" s="11"/>
      <c r="H35" s="10"/>
      <c r="I35" s="10">
        <f t="shared" ref="I35:I66" si="8">IF(H35&lt;&gt;"",H35,I34/(1+IF(G34="",0,G34)))</f>
        <v>7302</v>
      </c>
      <c r="J35" s="10">
        <f t="shared" si="6"/>
        <v>1047368.9425501644</v>
      </c>
      <c r="K35" s="11">
        <f t="shared" si="7"/>
        <v>9.300000000000086E-3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142.11423769219667</v>
      </c>
      <c r="D36" s="11">
        <v>8.8999999999999999E-3</v>
      </c>
      <c r="E36" s="10">
        <f t="shared" si="2"/>
        <v>1.2536591490341209</v>
      </c>
      <c r="F36" s="3"/>
      <c r="G36" s="11"/>
      <c r="H36" s="10"/>
      <c r="I36" s="10">
        <f t="shared" si="8"/>
        <v>7302</v>
      </c>
      <c r="J36" s="10">
        <f t="shared" si="6"/>
        <v>1037718.1636284201</v>
      </c>
      <c r="K36" s="11">
        <f t="shared" si="7"/>
        <v>8.899999999999908E-3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140.86057854316255</v>
      </c>
      <c r="D37" s="11">
        <v>8.6E-3</v>
      </c>
      <c r="E37" s="10">
        <f t="shared" si="2"/>
        <v>1.2010717583493715</v>
      </c>
      <c r="F37" s="3"/>
      <c r="G37" s="11"/>
      <c r="H37" s="10"/>
      <c r="I37" s="10">
        <f t="shared" si="8"/>
        <v>7302</v>
      </c>
      <c r="J37" s="10">
        <f t="shared" si="6"/>
        <v>1028563.9445221729</v>
      </c>
      <c r="K37" s="11">
        <f t="shared" si="7"/>
        <v>8.599999999999941E-3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139.65950678481317</v>
      </c>
      <c r="D38" s="11">
        <v>9.2999999999999992E-3</v>
      </c>
      <c r="E38" s="10">
        <f t="shared" si="2"/>
        <v>1.2868655633595267</v>
      </c>
      <c r="F38" s="3"/>
      <c r="G38" s="11"/>
      <c r="H38" s="10"/>
      <c r="I38" s="10">
        <f t="shared" si="8"/>
        <v>7302</v>
      </c>
      <c r="J38" s="10">
        <f t="shared" si="6"/>
        <v>1019793.7185427058</v>
      </c>
      <c r="K38" s="11">
        <f t="shared" si="7"/>
        <v>9.300000000000086E-3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138.37264122145365</v>
      </c>
      <c r="D39" s="11">
        <v>1.09E-2</v>
      </c>
      <c r="E39" s="10">
        <f t="shared" si="2"/>
        <v>1.4919990002115355</v>
      </c>
      <c r="F39" s="3"/>
      <c r="G39" s="11"/>
      <c r="H39" s="10"/>
      <c r="I39" s="10">
        <f t="shared" si="8"/>
        <v>7302</v>
      </c>
      <c r="J39" s="10">
        <f t="shared" si="6"/>
        <v>1010397.0261990546</v>
      </c>
      <c r="K39" s="11">
        <f t="shared" si="7"/>
        <v>1.089999999999991E-2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136.88064222124211</v>
      </c>
      <c r="D40" s="11">
        <v>1.23E-2</v>
      </c>
      <c r="E40" s="10">
        <f t="shared" si="2"/>
        <v>1.6631748486824733</v>
      </c>
      <c r="F40" s="3"/>
      <c r="G40" s="11"/>
      <c r="H40" s="10"/>
      <c r="I40" s="10">
        <f t="shared" si="8"/>
        <v>7302</v>
      </c>
      <c r="J40" s="10">
        <f t="shared" si="6"/>
        <v>999502.44949950988</v>
      </c>
      <c r="K40" s="11">
        <f t="shared" si="7"/>
        <v>1.2299999999999756E-2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135.21746737255964</v>
      </c>
      <c r="D41" s="11">
        <v>1.2800000000000001E-2</v>
      </c>
      <c r="E41" s="10">
        <f t="shared" si="2"/>
        <v>1.7089095402535008</v>
      </c>
      <c r="F41" s="3"/>
      <c r="G41" s="11"/>
      <c r="H41" s="10"/>
      <c r="I41" s="10">
        <f t="shared" si="8"/>
        <v>7302</v>
      </c>
      <c r="J41" s="10">
        <f t="shared" si="6"/>
        <v>987357.94675443054</v>
      </c>
      <c r="K41" s="11">
        <f t="shared" si="7"/>
        <v>1.2799999999999923E-2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133.50855783230614</v>
      </c>
      <c r="D42" s="11">
        <v>1.14E-2</v>
      </c>
      <c r="E42" s="10">
        <f t="shared" si="2"/>
        <v>1.5048423564250584</v>
      </c>
      <c r="F42" s="3"/>
      <c r="G42" s="11"/>
      <c r="H42" s="10"/>
      <c r="I42" s="10">
        <f t="shared" si="8"/>
        <v>7302</v>
      </c>
      <c r="J42" s="10">
        <f t="shared" si="6"/>
        <v>974879.48929149937</v>
      </c>
      <c r="K42" s="11">
        <f t="shared" si="7"/>
        <v>1.1400000000000077E-2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132.00371547588108</v>
      </c>
      <c r="D43" s="11">
        <v>1.11E-2</v>
      </c>
      <c r="E43" s="10">
        <f t="shared" si="2"/>
        <v>1.4491556144617732</v>
      </c>
      <c r="F43" s="3"/>
      <c r="G43" s="11"/>
      <c r="H43" s="10"/>
      <c r="I43" s="10">
        <f t="shared" si="8"/>
        <v>7302</v>
      </c>
      <c r="J43" s="10">
        <f t="shared" si="6"/>
        <v>963891.13040488365</v>
      </c>
      <c r="K43" s="11">
        <f t="shared" si="7"/>
        <v>1.110000000000011E-2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130.55455986141931</v>
      </c>
      <c r="D44" s="11">
        <v>1.1599999999999999E-2</v>
      </c>
      <c r="E44" s="10">
        <f t="shared" si="2"/>
        <v>1.4970669181420249</v>
      </c>
      <c r="F44" s="3"/>
      <c r="G44" s="11"/>
      <c r="H44" s="10"/>
      <c r="I44" s="10">
        <f t="shared" si="8"/>
        <v>7302</v>
      </c>
      <c r="J44" s="10">
        <f t="shared" si="6"/>
        <v>953309.39610808378</v>
      </c>
      <c r="K44" s="11">
        <f t="shared" si="7"/>
        <v>1.1600000000000055E-2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129.05749294327728</v>
      </c>
      <c r="D45" s="11">
        <v>1.2699999999999999E-2</v>
      </c>
      <c r="E45" s="10">
        <f t="shared" si="2"/>
        <v>1.6184755212596258</v>
      </c>
      <c r="F45" s="3"/>
      <c r="G45" s="11"/>
      <c r="H45" s="10"/>
      <c r="I45" s="10">
        <f t="shared" si="8"/>
        <v>7302</v>
      </c>
      <c r="J45" s="10">
        <f t="shared" si="6"/>
        <v>942377.81347181066</v>
      </c>
      <c r="K45" s="11">
        <f t="shared" si="7"/>
        <v>1.2699999999999934E-2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127.43901742201766</v>
      </c>
      <c r="D46" s="11">
        <v>1.66E-2</v>
      </c>
      <c r="E46" s="10">
        <f t="shared" si="2"/>
        <v>2.080944018498414</v>
      </c>
      <c r="F46" s="3"/>
      <c r="G46" s="11"/>
      <c r="H46" s="10"/>
      <c r="I46" s="10">
        <f t="shared" si="8"/>
        <v>7302</v>
      </c>
      <c r="J46" s="10">
        <f t="shared" si="6"/>
        <v>930559.70521557296</v>
      </c>
      <c r="K46" s="11">
        <f t="shared" si="7"/>
        <v>1.6599999999999948E-2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125.35807340351924</v>
      </c>
      <c r="D47" s="11">
        <v>3.0999999999999999E-3</v>
      </c>
      <c r="E47" s="10">
        <f t="shared" si="2"/>
        <v>0.38740905946657733</v>
      </c>
      <c r="F47" s="3"/>
      <c r="G47" s="11"/>
      <c r="H47" s="10"/>
      <c r="I47" s="10">
        <f t="shared" si="8"/>
        <v>7302</v>
      </c>
      <c r="J47" s="10">
        <f t="shared" si="6"/>
        <v>915364.6519924975</v>
      </c>
      <c r="K47" s="11">
        <f t="shared" si="7"/>
        <v>3.1000000000001027E-3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124.97066434405266</v>
      </c>
      <c r="D48" s="11">
        <v>3.7000000000000002E-3</v>
      </c>
      <c r="E48" s="10">
        <f t="shared" si="2"/>
        <v>0.4606869164820182</v>
      </c>
      <c r="F48" s="3"/>
      <c r="G48" s="11"/>
      <c r="H48" s="10"/>
      <c r="I48" s="10">
        <f t="shared" si="8"/>
        <v>7302</v>
      </c>
      <c r="J48" s="10">
        <f t="shared" si="6"/>
        <v>912535.79104027257</v>
      </c>
      <c r="K48" s="11">
        <f t="shared" si="7"/>
        <v>3.7000000000000366E-3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124.50997742757065</v>
      </c>
      <c r="D49" s="11">
        <v>4.1000000000000003E-3</v>
      </c>
      <c r="E49" s="10">
        <f t="shared" si="2"/>
        <v>0.5084064410447553</v>
      </c>
      <c r="F49" s="3"/>
      <c r="G49" s="11"/>
      <c r="H49" s="10"/>
      <c r="I49" s="10">
        <f t="shared" si="8"/>
        <v>7302</v>
      </c>
      <c r="J49" s="10">
        <f t="shared" si="6"/>
        <v>909171.85517612088</v>
      </c>
      <c r="K49" s="11">
        <f t="shared" si="7"/>
        <v>4.0999999999999925E-3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124.00157098652589</v>
      </c>
      <c r="D50" s="11">
        <v>4.7999999999999996E-3</v>
      </c>
      <c r="E50" s="10">
        <f t="shared" si="2"/>
        <v>0.59236419261078765</v>
      </c>
      <c r="F50" s="3"/>
      <c r="G50" s="11"/>
      <c r="H50" s="10"/>
      <c r="I50" s="10">
        <f t="shared" si="8"/>
        <v>7302</v>
      </c>
      <c r="J50" s="10">
        <f t="shared" si="6"/>
        <v>905459.47134361207</v>
      </c>
      <c r="K50" s="11">
        <f t="shared" si="7"/>
        <v>4.7999999999999154E-3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123.4092067939151</v>
      </c>
      <c r="D51" s="11">
        <v>6.0000000000000001E-3</v>
      </c>
      <c r="E51" s="10">
        <f t="shared" si="2"/>
        <v>0.73603900672314637</v>
      </c>
      <c r="F51" s="3"/>
      <c r="G51" s="11"/>
      <c r="H51" s="10"/>
      <c r="I51" s="10">
        <f t="shared" si="8"/>
        <v>7302</v>
      </c>
      <c r="J51" s="10">
        <f t="shared" si="6"/>
        <v>901134.02800916811</v>
      </c>
      <c r="K51" s="11">
        <f t="shared" si="7"/>
        <v>6.0000000000000053E-3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122.67316778719196</v>
      </c>
      <c r="D52" s="11">
        <v>6.8999999999999999E-3</v>
      </c>
      <c r="E52" s="10">
        <f t="shared" si="2"/>
        <v>0.84064441129368106</v>
      </c>
      <c r="F52" s="3"/>
      <c r="G52" s="11"/>
      <c r="H52" s="10"/>
      <c r="I52" s="10">
        <f t="shared" si="8"/>
        <v>7302</v>
      </c>
      <c r="J52" s="10">
        <f t="shared" si="6"/>
        <v>895759.47118207568</v>
      </c>
      <c r="K52" s="11">
        <f t="shared" si="7"/>
        <v>6.8999999999999062E-3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121.83252337589828</v>
      </c>
      <c r="D53" s="11">
        <v>7.7999999999999996E-3</v>
      </c>
      <c r="E53" s="10">
        <f t="shared" si="2"/>
        <v>0.94293876000398313</v>
      </c>
      <c r="F53" s="3"/>
      <c r="G53" s="11"/>
      <c r="H53" s="10"/>
      <c r="I53" s="10">
        <f t="shared" si="8"/>
        <v>7302</v>
      </c>
      <c r="J53" s="10">
        <f t="shared" si="6"/>
        <v>889621.08569080918</v>
      </c>
      <c r="K53" s="11">
        <f t="shared" si="7"/>
        <v>7.8000000000000291E-3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120.88958461589429</v>
      </c>
      <c r="D54" s="11">
        <v>8.8999999999999999E-3</v>
      </c>
      <c r="E54" s="10">
        <f t="shared" si="2"/>
        <v>1.0664261106962556</v>
      </c>
      <c r="F54" s="3"/>
      <c r="G54" s="11"/>
      <c r="H54" s="10"/>
      <c r="I54" s="10">
        <f t="shared" si="8"/>
        <v>7302</v>
      </c>
      <c r="J54" s="10">
        <f t="shared" si="6"/>
        <v>882735.74686526018</v>
      </c>
      <c r="K54" s="11">
        <f t="shared" si="7"/>
        <v>8.90000000000013E-3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119.82315850519804</v>
      </c>
      <c r="D55" s="11">
        <v>1.11E-2</v>
      </c>
      <c r="E55" s="10">
        <f t="shared" si="2"/>
        <v>1.3154357228837057</v>
      </c>
      <c r="F55" s="3"/>
      <c r="G55" s="11"/>
      <c r="H55" s="10"/>
      <c r="I55" s="10">
        <f t="shared" si="8"/>
        <v>7302</v>
      </c>
      <c r="J55" s="10">
        <f t="shared" si="6"/>
        <v>874948.70340495603</v>
      </c>
      <c r="K55" s="11">
        <f t="shared" si="7"/>
        <v>1.110000000000011E-2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118.50772278231433</v>
      </c>
      <c r="D56" s="11">
        <v>1.24E-2</v>
      </c>
      <c r="E56" s="10">
        <f t="shared" si="2"/>
        <v>1.4514971972547386</v>
      </c>
      <c r="F56" s="3"/>
      <c r="G56" s="11"/>
      <c r="H56" s="10"/>
      <c r="I56" s="10">
        <f t="shared" si="8"/>
        <v>7302</v>
      </c>
      <c r="J56" s="10">
        <f t="shared" si="6"/>
        <v>865343.39175645926</v>
      </c>
      <c r="K56" s="11">
        <f t="shared" si="7"/>
        <v>1.2399999999999967E-2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117.05622558505959</v>
      </c>
      <c r="D57" s="11">
        <v>1.21E-2</v>
      </c>
      <c r="E57" s="10">
        <f t="shared" si="2"/>
        <v>1.3994470206296086</v>
      </c>
      <c r="F57" s="3"/>
      <c r="G57" s="11"/>
      <c r="H57" s="10"/>
      <c r="I57" s="10">
        <f t="shared" si="8"/>
        <v>7302</v>
      </c>
      <c r="J57" s="10">
        <f t="shared" si="6"/>
        <v>854744.55922210519</v>
      </c>
      <c r="K57" s="11">
        <f t="shared" si="7"/>
        <v>1.21E-2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115.65677856442998</v>
      </c>
      <c r="D58" s="11">
        <v>1.23E-2</v>
      </c>
      <c r="E58" s="10">
        <f t="shared" si="2"/>
        <v>1.4052932691321587</v>
      </c>
      <c r="F58" s="3"/>
      <c r="G58" s="11"/>
      <c r="H58" s="10"/>
      <c r="I58" s="10">
        <f t="shared" si="8"/>
        <v>7302</v>
      </c>
      <c r="J58" s="10">
        <f t="shared" si="6"/>
        <v>844525.79707746778</v>
      </c>
      <c r="K58" s="11">
        <f t="shared" si="7"/>
        <v>1.2299999999999978E-2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114.25148529529783</v>
      </c>
      <c r="D59" s="11">
        <v>1.26E-2</v>
      </c>
      <c r="E59" s="10">
        <f t="shared" si="2"/>
        <v>1.4216558509981638</v>
      </c>
      <c r="F59" s="3"/>
      <c r="G59" s="11"/>
      <c r="H59" s="10"/>
      <c r="I59" s="10">
        <f t="shared" si="8"/>
        <v>7302</v>
      </c>
      <c r="J59" s="10">
        <f t="shared" si="6"/>
        <v>834264.34562626469</v>
      </c>
      <c r="K59" s="11">
        <f t="shared" si="7"/>
        <v>1.2599999999999723E-2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112.82982944429966</v>
      </c>
      <c r="D60" s="11">
        <v>1.3299999999999999E-2</v>
      </c>
      <c r="E60" s="10">
        <f t="shared" si="2"/>
        <v>1.4809402265954787</v>
      </c>
      <c r="F60" s="3"/>
      <c r="G60" s="11"/>
      <c r="H60" s="10"/>
      <c r="I60" s="10">
        <f t="shared" si="8"/>
        <v>7302</v>
      </c>
      <c r="J60" s="10">
        <f t="shared" si="6"/>
        <v>823883.41460227617</v>
      </c>
      <c r="K60" s="11">
        <f t="shared" si="7"/>
        <v>1.330000000000009E-2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111.34888921770418</v>
      </c>
      <c r="D61" s="11">
        <v>1.3899999999999999E-2</v>
      </c>
      <c r="E61" s="10">
        <f t="shared" si="2"/>
        <v>1.5265307822527774</v>
      </c>
      <c r="F61" s="3"/>
      <c r="G61" s="11"/>
      <c r="H61" s="10"/>
      <c r="I61" s="10">
        <f t="shared" si="8"/>
        <v>7302</v>
      </c>
      <c r="J61" s="10">
        <f t="shared" si="6"/>
        <v>813069.58906767599</v>
      </c>
      <c r="K61" s="11">
        <f t="shared" si="7"/>
        <v>1.3900000000000023E-2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109.82235843545141</v>
      </c>
      <c r="D62" s="11">
        <v>2.2800000000000001E-2</v>
      </c>
      <c r="E62" s="10">
        <f t="shared" si="2"/>
        <v>2.4481323546424392</v>
      </c>
      <c r="F62" s="3"/>
      <c r="G62" s="11"/>
      <c r="H62" s="10"/>
      <c r="I62" s="10">
        <f t="shared" si="8"/>
        <v>7302</v>
      </c>
      <c r="J62" s="10">
        <f t="shared" si="6"/>
        <v>801922.8612956662</v>
      </c>
      <c r="K62" s="11">
        <f t="shared" si="7"/>
        <v>2.2799999999999931E-2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107.37422608080897</v>
      </c>
      <c r="D63" s="11">
        <v>2.1399999999999999E-2</v>
      </c>
      <c r="E63" s="10">
        <f t="shared" si="2"/>
        <v>2.2496655944089667</v>
      </c>
      <c r="F63" s="3"/>
      <c r="G63" s="11"/>
      <c r="H63" s="10"/>
      <c r="I63" s="10">
        <f t="shared" si="8"/>
        <v>7302</v>
      </c>
      <c r="J63" s="10">
        <f t="shared" si="6"/>
        <v>784046.59884206706</v>
      </c>
      <c r="K63" s="11">
        <f t="shared" si="7"/>
        <v>2.1400000000000086E-2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105.1245604864</v>
      </c>
      <c r="D64" s="11">
        <v>1.9199999999999998E-2</v>
      </c>
      <c r="E64" s="10">
        <f t="shared" si="2"/>
        <v>1.9803684864000104</v>
      </c>
      <c r="F64" s="3"/>
      <c r="G64" s="11"/>
      <c r="H64" s="10"/>
      <c r="I64" s="10">
        <f t="shared" si="8"/>
        <v>7302</v>
      </c>
      <c r="J64" s="10">
        <f t="shared" si="6"/>
        <v>767619.54067169281</v>
      </c>
      <c r="K64" s="11">
        <f t="shared" si="7"/>
        <v>1.9200000000000106E-2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103.14419199999999</v>
      </c>
      <c r="D65" s="11">
        <v>1.6799999999999999E-2</v>
      </c>
      <c r="E65" s="10">
        <f t="shared" si="2"/>
        <v>1.7041919999999919</v>
      </c>
      <c r="F65" s="3"/>
      <c r="G65" s="11"/>
      <c r="H65" s="10"/>
      <c r="I65" s="10">
        <f t="shared" si="8"/>
        <v>7302</v>
      </c>
      <c r="J65" s="10">
        <f t="shared" si="6"/>
        <v>753158.88998399989</v>
      </c>
      <c r="K65" s="11">
        <f t="shared" si="7"/>
        <v>1.6799999999999926E-2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101.44</v>
      </c>
      <c r="D66" s="11">
        <v>1.44E-2</v>
      </c>
      <c r="E66" s="10">
        <f t="shared" si="2"/>
        <v>1.4399999999999977</v>
      </c>
      <c r="F66" s="26">
        <f>SUM(F2)</f>
        <v>5001934</v>
      </c>
      <c r="G66" s="11"/>
      <c r="H66" s="10"/>
      <c r="I66" s="10">
        <f t="shared" si="8"/>
        <v>7302</v>
      </c>
      <c r="J66" s="10">
        <f t="shared" ref="J66:J97" si="9">IF(I66="","",I66*C66)</f>
        <v>740714.88</v>
      </c>
      <c r="K66" s="11">
        <f t="shared" ref="K66:K97" si="10">IFERROR(J66/J67-1,"")</f>
        <v>1.4399999999999968E-2</v>
      </c>
    </row>
    <row r="67" spans="1:11" ht="22.5" customHeight="1">
      <c r="A67" s="3">
        <f t="shared" si="0"/>
        <v>1950</v>
      </c>
      <c r="B67" s="3">
        <v>1700</v>
      </c>
      <c r="C67" s="10">
        <v>100</v>
      </c>
      <c r="D67" s="11">
        <v>1.23E-2</v>
      </c>
      <c r="E67" s="3" t="s">
        <v>72</v>
      </c>
      <c r="F67" s="10">
        <f>SUM(C2)</f>
        <v>131.11195797523743</v>
      </c>
      <c r="G67" s="11"/>
      <c r="H67" s="10"/>
      <c r="I67" s="10">
        <f t="shared" ref="I67:I98" si="11">IF(H67&lt;&gt;"",H67,I66/(1+IF(G66="",0,G66)))</f>
        <v>7302</v>
      </c>
      <c r="J67" s="10">
        <f t="shared" si="9"/>
        <v>730200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5">
        <v>74436761</v>
      </c>
      <c r="G2" s="11"/>
      <c r="H2" s="10"/>
      <c r="I2" s="10">
        <f>IF(H2&lt;&gt;"",H2,8770)</f>
        <v>8770</v>
      </c>
      <c r="J2" s="10">
        <f t="shared" ref="J2:J33" si="3">IF(I2="","",I2*C2)</f>
        <v>652818144151.90479</v>
      </c>
      <c r="K2" s="11">
        <f t="shared" ref="K2:K33" si="4">IFERROR(J2/J3-1,"")</f>
        <v>1.9099999999999895E-2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11"/>
      <c r="H3" s="10"/>
      <c r="I3" s="10">
        <f t="shared" ref="I3:I34" si="5">IF(H3&lt;&gt;"",H3,I2/(1+IF(G2="",0,G2)))</f>
        <v>8770</v>
      </c>
      <c r="J3" s="10">
        <f t="shared" si="3"/>
        <v>640583008686.0022</v>
      </c>
      <c r="K3" s="11">
        <f t="shared" si="4"/>
        <v>2.0100000000000007E-2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11"/>
      <c r="H4" s="10"/>
      <c r="I4" s="10">
        <f t="shared" si="5"/>
        <v>8770</v>
      </c>
      <c r="J4" s="10">
        <f t="shared" si="3"/>
        <v>627960992732.08728</v>
      </c>
      <c r="K4" s="11">
        <f t="shared" si="4"/>
        <v>2.079999999999993E-2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11"/>
      <c r="H5" s="10"/>
      <c r="I5" s="10">
        <f t="shared" si="5"/>
        <v>8770</v>
      </c>
      <c r="J5" s="10">
        <f t="shared" si="3"/>
        <v>615165549306.51184</v>
      </c>
      <c r="K5" s="11">
        <f t="shared" si="4"/>
        <v>2.0399999999999752E-2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11"/>
      <c r="H6" s="10"/>
      <c r="I6" s="10">
        <f t="shared" si="5"/>
        <v>8770</v>
      </c>
      <c r="J6" s="10">
        <f t="shared" si="3"/>
        <v>602867061256.87183</v>
      </c>
      <c r="K6" s="11">
        <f t="shared" si="4"/>
        <v>2.0499999999999963E-2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11"/>
      <c r="H7" s="10"/>
      <c r="I7" s="10">
        <f t="shared" si="5"/>
        <v>8770</v>
      </c>
      <c r="J7" s="10">
        <f t="shared" si="3"/>
        <v>590756551942.05957</v>
      </c>
      <c r="K7" s="11">
        <f t="shared" si="4"/>
        <v>2.0299999999999985E-2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11"/>
      <c r="H8" s="10"/>
      <c r="I8" s="10">
        <f t="shared" si="5"/>
        <v>8770</v>
      </c>
      <c r="J8" s="10">
        <f t="shared" si="3"/>
        <v>579002795199.50952</v>
      </c>
      <c r="K8" s="11">
        <f t="shared" si="4"/>
        <v>1.980000000000004E-2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11"/>
      <c r="H9" s="10"/>
      <c r="I9" s="10">
        <f t="shared" si="5"/>
        <v>8770</v>
      </c>
      <c r="J9" s="10">
        <f t="shared" si="3"/>
        <v>567761124925.97522</v>
      </c>
      <c r="K9" s="11">
        <f t="shared" si="4"/>
        <v>1.8499999999999961E-2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11"/>
      <c r="H10" s="10"/>
      <c r="I10" s="10">
        <f t="shared" si="5"/>
        <v>8770</v>
      </c>
      <c r="J10" s="10">
        <f t="shared" si="3"/>
        <v>557448330806.06311</v>
      </c>
      <c r="K10" s="11">
        <f t="shared" si="4"/>
        <v>1.6800000000000148E-2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11"/>
      <c r="H11" s="10"/>
      <c r="I11" s="10">
        <f t="shared" si="5"/>
        <v>8770</v>
      </c>
      <c r="J11" s="10">
        <f t="shared" si="3"/>
        <v>548237933522.87872</v>
      </c>
      <c r="K11" s="11">
        <f t="shared" si="4"/>
        <v>1.519999999999988E-2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11"/>
      <c r="H12" s="10"/>
      <c r="I12" s="10">
        <f t="shared" si="5"/>
        <v>8770</v>
      </c>
      <c r="J12" s="10">
        <f t="shared" si="3"/>
        <v>540029485345.62524</v>
      </c>
      <c r="K12" s="11">
        <f t="shared" si="4"/>
        <v>1.3900000000000023E-2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11"/>
      <c r="H13" s="10"/>
      <c r="I13" s="10">
        <f t="shared" si="5"/>
        <v>8770</v>
      </c>
      <c r="J13" s="10">
        <f t="shared" si="3"/>
        <v>532625984165.72168</v>
      </c>
      <c r="K13" s="11">
        <f t="shared" si="4"/>
        <v>1.2799999999999923E-2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11"/>
      <c r="H14" s="10"/>
      <c r="I14" s="10">
        <f t="shared" si="5"/>
        <v>8770</v>
      </c>
      <c r="J14" s="10">
        <f t="shared" si="3"/>
        <v>525894534128.87213</v>
      </c>
      <c r="K14" s="11">
        <f t="shared" si="4"/>
        <v>1.2499999999999956E-2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11"/>
      <c r="H15" s="10"/>
      <c r="I15" s="10">
        <f t="shared" si="5"/>
        <v>8770</v>
      </c>
      <c r="J15" s="10">
        <f t="shared" si="3"/>
        <v>519402009016.17004</v>
      </c>
      <c r="K15" s="11">
        <f t="shared" si="4"/>
        <v>1.2599999999999945E-2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11"/>
      <c r="H16" s="10"/>
      <c r="I16" s="10">
        <f t="shared" si="5"/>
        <v>8770</v>
      </c>
      <c r="J16" s="10">
        <f t="shared" si="3"/>
        <v>512938977894.6969</v>
      </c>
      <c r="K16" s="11">
        <f t="shared" si="4"/>
        <v>1.3100000000000112E-2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11"/>
      <c r="H17" s="10"/>
      <c r="I17" s="10">
        <f t="shared" si="5"/>
        <v>8770</v>
      </c>
      <c r="J17" s="10">
        <f t="shared" si="3"/>
        <v>506306364519.49146</v>
      </c>
      <c r="K17" s="11">
        <f t="shared" si="4"/>
        <v>1.3500000000000068E-2</v>
      </c>
      <c r="L17" t="inlineStr">
        <is>
          <t xml:space="preserve">Mahean Debt Crisis - continent-wide defaults after over-borrowing.</t>
        </is>
      </c>
      <c r="M17" t="inlineStr">
        <is>
          <t xml:space="preserve">Mahean Debt Crisis (1750-52): a chain of sovereign defaults across Mahea's commodity exporters after the borrowing boom reversed.</t>
        </is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11"/>
      <c r="H18" s="10"/>
      <c r="I18" s="10">
        <f t="shared" si="5"/>
        <v>8770</v>
      </c>
      <c r="J18" s="10">
        <f t="shared" si="3"/>
        <v>499562273822.88251</v>
      </c>
      <c r="K18" s="11">
        <f t="shared" si="4"/>
        <v>1.3500000000000068E-2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11"/>
      <c r="H19" s="10"/>
      <c r="I19" s="10">
        <f t="shared" si="5"/>
        <v>8770</v>
      </c>
      <c r="J19" s="10">
        <f t="shared" si="3"/>
        <v>492908015612.11884</v>
      </c>
      <c r="K19" s="11">
        <f t="shared" si="4"/>
        <v>1.3700000000000045E-2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11"/>
      <c r="H20" s="10"/>
      <c r="I20" s="10">
        <f t="shared" si="5"/>
        <v>8770</v>
      </c>
      <c r="J20" s="10">
        <f t="shared" si="3"/>
        <v>486246439392.44238</v>
      </c>
      <c r="K20" s="11">
        <f t="shared" si="4"/>
        <v>1.4699999999999935E-2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11"/>
      <c r="H21" s="10"/>
      <c r="I21" s="10">
        <f t="shared" si="5"/>
        <v>8770</v>
      </c>
      <c r="J21" s="10">
        <f t="shared" si="3"/>
        <v>479202167529.755</v>
      </c>
      <c r="K21" s="11">
        <f t="shared" si="4"/>
        <v>1.6799999999999926E-2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11"/>
      <c r="H22" s="10"/>
      <c r="I22" s="10">
        <f t="shared" si="5"/>
        <v>8770</v>
      </c>
      <c r="J22" s="10">
        <f t="shared" si="3"/>
        <v>471284586476.94238</v>
      </c>
      <c r="K22" s="11">
        <f t="shared" si="4"/>
        <v>1.9500000000000073E-2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11"/>
      <c r="H23" s="10"/>
      <c r="I23" s="10">
        <f t="shared" si="5"/>
        <v>8770</v>
      </c>
      <c r="J23" s="10">
        <f t="shared" si="3"/>
        <v>462270315328.04547</v>
      </c>
      <c r="K23" s="11">
        <f t="shared" si="4"/>
        <v>2.2399999999999975E-2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11"/>
      <c r="H24" s="10"/>
      <c r="I24" s="10">
        <f t="shared" si="5"/>
        <v>8770</v>
      </c>
      <c r="J24" s="10">
        <f t="shared" si="3"/>
        <v>452142327198.79254</v>
      </c>
      <c r="K24" s="11">
        <f t="shared" si="4"/>
        <v>2.50999999999999E-2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11"/>
      <c r="H25" s="10"/>
      <c r="I25" s="10">
        <f t="shared" si="5"/>
        <v>8770</v>
      </c>
      <c r="J25" s="10">
        <f t="shared" si="3"/>
        <v>441071434200.36346</v>
      </c>
      <c r="K25" s="11">
        <f t="shared" si="4"/>
        <v>2.7199999999999891E-2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11"/>
      <c r="H26" s="10"/>
      <c r="I26" s="10">
        <f t="shared" si="5"/>
        <v>8770</v>
      </c>
      <c r="J26" s="10">
        <f t="shared" si="3"/>
        <v>429391972547.08282</v>
      </c>
      <c r="K26" s="11">
        <f t="shared" si="4"/>
        <v>2.8699999999999948E-2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11"/>
      <c r="H27" s="10"/>
      <c r="I27" s="10">
        <f t="shared" si="5"/>
        <v>8770</v>
      </c>
      <c r="J27" s="10">
        <f t="shared" si="3"/>
        <v>417412241223.95532</v>
      </c>
      <c r="K27" s="11">
        <f t="shared" si="4"/>
        <v>3.0000000000000027E-2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11"/>
      <c r="H28" s="10"/>
      <c r="I28" s="10">
        <f t="shared" si="5"/>
        <v>8770</v>
      </c>
      <c r="J28" s="10">
        <f t="shared" si="3"/>
        <v>405254603130.05371</v>
      </c>
      <c r="K28" s="11">
        <f t="shared" si="4"/>
        <v>3.0800000000000161E-2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11"/>
      <c r="H29" s="10"/>
      <c r="I29" s="10">
        <f t="shared" si="5"/>
        <v>8770</v>
      </c>
      <c r="J29" s="10">
        <f t="shared" si="3"/>
        <v>393145715104.82507</v>
      </c>
      <c r="K29" s="11">
        <f t="shared" si="4"/>
        <v>3.1299999999999883E-2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11"/>
      <c r="H30" s="10"/>
      <c r="I30" s="10">
        <f t="shared" si="5"/>
        <v>8770</v>
      </c>
      <c r="J30" s="10">
        <f t="shared" si="3"/>
        <v>381213725496.776</v>
      </c>
      <c r="K30" s="11">
        <f t="shared" si="4"/>
        <v>3.1600000000000295E-2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11"/>
      <c r="H31" s="10"/>
      <c r="I31" s="10">
        <f t="shared" si="5"/>
        <v>8770</v>
      </c>
      <c r="J31" s="10">
        <f t="shared" si="3"/>
        <v>369536376014.71106</v>
      </c>
      <c r="K31" s="11">
        <f t="shared" si="4"/>
        <v>3.2100000000000017E-2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11"/>
      <c r="H32" s="10"/>
      <c r="I32" s="10">
        <f t="shared" si="5"/>
        <v>8770</v>
      </c>
      <c r="J32" s="10">
        <f t="shared" si="3"/>
        <v>358043189627.66309</v>
      </c>
      <c r="K32" s="11">
        <f t="shared" si="4"/>
        <v>3.2200000000000006E-2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11"/>
      <c r="H33" s="10"/>
      <c r="I33" s="10">
        <f t="shared" si="5"/>
        <v>8770</v>
      </c>
      <c r="J33" s="10">
        <f t="shared" si="3"/>
        <v>346873851605.95142</v>
      </c>
      <c r="K33" s="11">
        <f t="shared" si="4"/>
        <v>3.2000000000000028E-2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11"/>
      <c r="H34" s="10"/>
      <c r="I34" s="10">
        <f t="shared" si="5"/>
        <v>8770</v>
      </c>
      <c r="J34" s="10">
        <f t="shared" ref="J34:J65" si="6">IF(I34="","",I34*C34)</f>
        <v>336118073261.58081</v>
      </c>
      <c r="K34" s="11">
        <f t="shared" ref="K34:K65" si="7">IFERROR(J34/J35-1,"")</f>
        <v>3.1600000000000072E-2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11"/>
      <c r="H35" s="10"/>
      <c r="I35" s="10">
        <f t="shared" ref="I35:I66" si="8">IF(H35&lt;&gt;"",H35,I34/(1+IF(G34="",0,G34)))</f>
        <v>8770</v>
      </c>
      <c r="J35" s="10">
        <f t="shared" si="6"/>
        <v>325822095057.75568</v>
      </c>
      <c r="K35" s="11">
        <f t="shared" si="7"/>
        <v>3.1300000000000106E-2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11"/>
      <c r="H36" s="10"/>
      <c r="I36" s="10">
        <f t="shared" si="8"/>
        <v>8770</v>
      </c>
      <c r="J36" s="10">
        <f t="shared" si="6"/>
        <v>315933380255.75067</v>
      </c>
      <c r="K36" s="11">
        <f t="shared" si="7"/>
        <v>3.1400000000000095E-2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11"/>
      <c r="H37" s="10"/>
      <c r="I37" s="10">
        <f t="shared" si="8"/>
        <v>8770</v>
      </c>
      <c r="J37" s="10">
        <f t="shared" si="6"/>
        <v>306315086538.44354</v>
      </c>
      <c r="K37" s="11">
        <f t="shared" si="7"/>
        <v>3.1700000000000061E-2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11"/>
      <c r="H38" s="10"/>
      <c r="I38" s="10">
        <f t="shared" si="8"/>
        <v>8770</v>
      </c>
      <c r="J38" s="10">
        <f t="shared" si="6"/>
        <v>296903253405.4895</v>
      </c>
      <c r="K38" s="11">
        <f t="shared" si="7"/>
        <v>3.180000000000005E-2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11"/>
      <c r="H39" s="10"/>
      <c r="I39" s="10">
        <f t="shared" si="8"/>
        <v>8770</v>
      </c>
      <c r="J39" s="10">
        <f t="shared" si="6"/>
        <v>287752717004.73877</v>
      </c>
      <c r="K39" s="11">
        <f t="shared" si="7"/>
        <v>3.1300000000000106E-2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11"/>
      <c r="H40" s="10"/>
      <c r="I40" s="10">
        <f t="shared" si="8"/>
        <v>8770</v>
      </c>
      <c r="J40" s="10">
        <f t="shared" si="6"/>
        <v>279019409487.77148</v>
      </c>
      <c r="K40" s="11">
        <f t="shared" si="7"/>
        <v>3.0199999999999783E-2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11"/>
      <c r="H41" s="10"/>
      <c r="I41" s="10">
        <f t="shared" si="8"/>
        <v>8770</v>
      </c>
      <c r="J41" s="10">
        <f t="shared" si="6"/>
        <v>270840040271.5701</v>
      </c>
      <c r="K41" s="11">
        <f t="shared" si="7"/>
        <v>2.9199999999999893E-2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11"/>
      <c r="H42" s="10"/>
      <c r="I42" s="10">
        <f t="shared" si="8"/>
        <v>8770</v>
      </c>
      <c r="J42" s="10">
        <f t="shared" si="6"/>
        <v>263155888332.26788</v>
      </c>
      <c r="K42" s="11">
        <f t="shared" si="7"/>
        <v>2.8599999999999959E-2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11"/>
      <c r="H43" s="10"/>
      <c r="I43" s="10">
        <f t="shared" si="8"/>
        <v>8770</v>
      </c>
      <c r="J43" s="10">
        <f t="shared" si="6"/>
        <v>255838895909.26297</v>
      </c>
      <c r="K43" s="11">
        <f t="shared" si="7"/>
        <v>2.829999999999977E-2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11"/>
      <c r="H44" s="10"/>
      <c r="I44" s="10">
        <f t="shared" si="8"/>
        <v>8770</v>
      </c>
      <c r="J44" s="10">
        <f t="shared" si="6"/>
        <v>248797914917.10883</v>
      </c>
      <c r="K44" s="11">
        <f t="shared" si="7"/>
        <v>2.8000000000000247E-2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11"/>
      <c r="H45" s="10"/>
      <c r="I45" s="10">
        <f t="shared" si="8"/>
        <v>8770</v>
      </c>
      <c r="J45" s="10">
        <f t="shared" si="6"/>
        <v>242021318012.75174</v>
      </c>
      <c r="K45" s="11">
        <f t="shared" si="7"/>
        <v>2.7400000000000091E-2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11"/>
      <c r="H46" s="10"/>
      <c r="I46" s="10">
        <f t="shared" si="8"/>
        <v>8770</v>
      </c>
      <c r="J46" s="10">
        <f t="shared" si="6"/>
        <v>235566788020.97693</v>
      </c>
      <c r="K46" s="11">
        <f t="shared" si="7"/>
        <v>2.6799999999999935E-2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11"/>
      <c r="H47" s="10"/>
      <c r="I47" s="10">
        <f t="shared" si="8"/>
        <v>8770</v>
      </c>
      <c r="J47" s="10">
        <f t="shared" si="6"/>
        <v>229418375556.07416</v>
      </c>
      <c r="K47" s="11">
        <f t="shared" si="7"/>
        <v>2.6000000000000023E-2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11"/>
      <c r="H48" s="10"/>
      <c r="I48" s="10">
        <f t="shared" si="8"/>
        <v>8770</v>
      </c>
      <c r="J48" s="10">
        <f t="shared" si="6"/>
        <v>223604654538.08398</v>
      </c>
      <c r="K48" s="11">
        <f t="shared" si="7"/>
        <v>2.5400000000000089E-2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11"/>
      <c r="H49" s="10"/>
      <c r="I49" s="10">
        <f t="shared" si="8"/>
        <v>8770</v>
      </c>
      <c r="J49" s="10">
        <f t="shared" si="6"/>
        <v>218065783633.7858</v>
      </c>
      <c r="K49" s="11">
        <f t="shared" si="7"/>
        <v>2.5400000000000089E-2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11"/>
      <c r="H50" s="10"/>
      <c r="I50" s="10">
        <f t="shared" si="8"/>
        <v>8770</v>
      </c>
      <c r="J50" s="10">
        <f t="shared" si="6"/>
        <v>212664115109.99197</v>
      </c>
      <c r="K50" s="11">
        <f t="shared" si="7"/>
        <v>2.53000000000001E-2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11"/>
      <c r="H51" s="10"/>
      <c r="I51" s="10">
        <f t="shared" si="8"/>
        <v>8770</v>
      </c>
      <c r="J51" s="10">
        <f t="shared" si="6"/>
        <v>207416478211.24741</v>
      </c>
      <c r="K51" s="11">
        <f t="shared" si="7"/>
        <v>2.53000000000001E-2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11"/>
      <c r="H52" s="10"/>
      <c r="I52" s="10">
        <f t="shared" si="8"/>
        <v>8770</v>
      </c>
      <c r="J52" s="10">
        <f t="shared" si="6"/>
        <v>202298330450.84113</v>
      </c>
      <c r="K52" s="11">
        <f t="shared" si="7"/>
        <v>2.1500000000000075E-2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11"/>
      <c r="H53" s="10"/>
      <c r="I53" s="10">
        <f t="shared" si="8"/>
        <v>8770</v>
      </c>
      <c r="J53" s="10">
        <f t="shared" si="6"/>
        <v>198040460549.0368</v>
      </c>
      <c r="K53" s="11">
        <f t="shared" si="7"/>
        <v>1.4999999999999902E-2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11"/>
      <c r="H54" s="10"/>
      <c r="I54" s="10">
        <f t="shared" si="8"/>
        <v>8770</v>
      </c>
      <c r="J54" s="10">
        <f t="shared" si="6"/>
        <v>195113754235.50427</v>
      </c>
      <c r="K54" s="11">
        <f t="shared" si="7"/>
        <v>1.2299999999999978E-2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11"/>
      <c r="H55" s="10"/>
      <c r="I55" s="10">
        <f t="shared" si="8"/>
        <v>8770</v>
      </c>
      <c r="J55" s="10">
        <f t="shared" si="6"/>
        <v>192743015149.16949</v>
      </c>
      <c r="K55" s="11">
        <f t="shared" si="7"/>
        <v>1.639999999999997E-2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11"/>
      <c r="H56" s="10"/>
      <c r="I56" s="10">
        <f t="shared" si="8"/>
        <v>8770</v>
      </c>
      <c r="J56" s="10">
        <f t="shared" si="6"/>
        <v>189633033401.38675</v>
      </c>
      <c r="K56" s="11">
        <f t="shared" si="7"/>
        <v>2.2299999999999986E-2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11"/>
      <c r="H57" s="10"/>
      <c r="I57" s="10">
        <f t="shared" si="8"/>
        <v>8770</v>
      </c>
      <c r="J57" s="10">
        <f t="shared" si="6"/>
        <v>185496462292.26913</v>
      </c>
      <c r="K57" s="11">
        <f t="shared" si="7"/>
        <v>2.3400000000000087E-2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11"/>
      <c r="H58" s="10"/>
      <c r="I58" s="10">
        <f t="shared" si="8"/>
        <v>8770</v>
      </c>
      <c r="J58" s="10">
        <f t="shared" si="6"/>
        <v>181255093113.41522</v>
      </c>
      <c r="K58" s="11">
        <f t="shared" si="7"/>
        <v>2.4499999999999966E-2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11"/>
      <c r="H59" s="10"/>
      <c r="I59" s="10">
        <f t="shared" si="8"/>
        <v>8770</v>
      </c>
      <c r="J59" s="10">
        <f t="shared" si="6"/>
        <v>176920539886.20325</v>
      </c>
      <c r="K59" s="11">
        <f t="shared" si="7"/>
        <v>2.5500000000000078E-2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11"/>
      <c r="H60" s="10"/>
      <c r="I60" s="10">
        <f t="shared" si="8"/>
        <v>8770</v>
      </c>
      <c r="J60" s="10">
        <f t="shared" si="6"/>
        <v>172521248060.65649</v>
      </c>
      <c r="K60" s="11">
        <f t="shared" si="7"/>
        <v>2.6200000000000001E-2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11"/>
      <c r="H61" s="10"/>
      <c r="I61" s="10">
        <f t="shared" si="8"/>
        <v>8770</v>
      </c>
      <c r="J61" s="10">
        <f t="shared" si="6"/>
        <v>168116593315.78299</v>
      </c>
      <c r="K61" s="11">
        <f t="shared" si="7"/>
        <v>2.6699999999999946E-2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11"/>
      <c r="H62" s="10"/>
      <c r="I62" s="10">
        <f t="shared" si="8"/>
        <v>8770</v>
      </c>
      <c r="J62" s="10">
        <f t="shared" si="6"/>
        <v>163744612170.82205</v>
      </c>
      <c r="K62" s="11">
        <f t="shared" si="7"/>
        <v>2.6499999999999968E-2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11"/>
      <c r="H63" s="10"/>
      <c r="I63" s="10">
        <f t="shared" si="8"/>
        <v>8770</v>
      </c>
      <c r="J63" s="10">
        <f t="shared" si="6"/>
        <v>159517401043.17786</v>
      </c>
      <c r="K63" s="11">
        <f t="shared" si="7"/>
        <v>2.5600000000000289E-2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11"/>
      <c r="H64" s="10"/>
      <c r="I64" s="10">
        <f t="shared" si="8"/>
        <v>8770</v>
      </c>
      <c r="J64" s="10">
        <f t="shared" si="6"/>
        <v>155535687444.59616</v>
      </c>
      <c r="K64" s="11">
        <f t="shared" si="7"/>
        <v>2.4599999999999955E-2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11"/>
      <c r="H65" s="10"/>
      <c r="I65" s="10">
        <f t="shared" si="8"/>
        <v>8770</v>
      </c>
      <c r="J65" s="10">
        <f t="shared" si="6"/>
        <v>151801373652.7388</v>
      </c>
      <c r="K65" s="11">
        <f t="shared" si="7"/>
        <v>2.3700000000000276E-2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6">
        <f>SUM(F2)</f>
        <v>74436761</v>
      </c>
      <c r="G66" s="11"/>
      <c r="H66" s="10"/>
      <c r="I66" s="10">
        <f t="shared" si="8"/>
        <v>8770</v>
      </c>
      <c r="J66" s="10">
        <f t="shared" ref="J66:J97" si="9">IF(I66="","",I66*C66)</f>
        <v>148286972406.69998</v>
      </c>
      <c r="K66" s="11">
        <f t="shared" ref="K66:K97" si="10">IFERROR(J66/J67-1,"")</f>
        <v>2.289999999999992E-2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11"/>
      <c r="H67" s="10"/>
      <c r="I67" s="10">
        <f t="shared" ref="I67:I98" si="11">IF(H67&lt;&gt;"",H67,I66/(1+IF(G66="",0,G66)))</f>
        <v>8770</v>
      </c>
      <c r="J67" s="10">
        <f t="shared" si="9"/>
        <v>144967223000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5">
        <v>828597</v>
      </c>
      <c r="G2" s="11"/>
      <c r="H2" s="10"/>
      <c r="I2" s="10">
        <f>IF(H2&lt;&gt;"",H2,1702)</f>
        <v>1702</v>
      </c>
      <c r="J2" s="10">
        <f t="shared" ref="J2:J33" si="3">IF(I2="","",I2*C2)</f>
        <v>1410149329.4887424</v>
      </c>
      <c r="K2" s="11">
        <f t="shared" ref="K2:K33" si="4">IFERROR(J2/J3-1,"")</f>
        <v>5.6000000000002714E-3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11"/>
      <c r="H3" s="10"/>
      <c r="I3" s="10">
        <f t="shared" ref="I3:I34" si="5">IF(H3&lt;&gt;"",H3,I2/(1+IF(G2="",0,G2)))</f>
        <v>1702</v>
      </c>
      <c r="J3" s="10">
        <f t="shared" si="3"/>
        <v>1402296469.2608812</v>
      </c>
      <c r="K3" s="11">
        <f t="shared" si="4"/>
        <v>5.8000000000000274E-3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11"/>
      <c r="H4" s="10"/>
      <c r="I4" s="10">
        <f t="shared" si="5"/>
        <v>1702</v>
      </c>
      <c r="J4" s="10">
        <f t="shared" si="3"/>
        <v>1394210050.9652824</v>
      </c>
      <c r="K4" s="11">
        <f t="shared" si="4"/>
        <v>6.0000000000000053E-3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11"/>
      <c r="H5" s="10"/>
      <c r="I5" s="10">
        <f t="shared" si="5"/>
        <v>1702</v>
      </c>
      <c r="J5" s="10">
        <f t="shared" si="3"/>
        <v>1385894682.8680739</v>
      </c>
      <c r="K5" s="11">
        <f t="shared" si="4"/>
        <v>6.0999999999999943E-3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11"/>
      <c r="H6" s="10"/>
      <c r="I6" s="10">
        <f t="shared" si="5"/>
        <v>1702</v>
      </c>
      <c r="J6" s="10">
        <f t="shared" si="3"/>
        <v>1377491981.7792208</v>
      </c>
      <c r="K6" s="11">
        <f t="shared" si="4"/>
        <v>6.0000000000000053E-3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11"/>
      <c r="H7" s="10"/>
      <c r="I7" s="10">
        <f t="shared" si="5"/>
        <v>1702</v>
      </c>
      <c r="J7" s="10">
        <f t="shared" si="3"/>
        <v>1369276323.8362036</v>
      </c>
      <c r="K7" s="11">
        <f t="shared" si="4"/>
        <v>5.7000000000000384E-3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11"/>
      <c r="H8" s="10"/>
      <c r="I8" s="10">
        <f t="shared" si="5"/>
        <v>1702</v>
      </c>
      <c r="J8" s="10">
        <f t="shared" si="3"/>
        <v>1361515684.4349244</v>
      </c>
      <c r="K8" s="11">
        <f t="shared" si="4"/>
        <v>5.1000000000001044E-3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11"/>
      <c r="H9" s="10"/>
      <c r="I9" s="10">
        <f t="shared" si="5"/>
        <v>1702</v>
      </c>
      <c r="J9" s="10">
        <f t="shared" si="3"/>
        <v>1354607187.7772601</v>
      </c>
      <c r="K9" s="11">
        <f t="shared" si="4"/>
        <v>4.4999999999997264E-3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11"/>
      <c r="H10" s="10"/>
      <c r="I10" s="10">
        <f t="shared" si="5"/>
        <v>1702</v>
      </c>
      <c r="J10" s="10">
        <f t="shared" si="3"/>
        <v>1348538763.3422203</v>
      </c>
      <c r="K10" s="11">
        <f t="shared" si="4"/>
        <v>3.9000000000000146E-3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11"/>
      <c r="H11" s="10"/>
      <c r="I11" s="10">
        <f t="shared" si="5"/>
        <v>1702</v>
      </c>
      <c r="J11" s="10">
        <f t="shared" si="3"/>
        <v>1343299893.7565696</v>
      </c>
      <c r="K11" s="11">
        <f t="shared" si="4"/>
        <v>3.6000000000000476E-3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11"/>
      <c r="H12" s="10"/>
      <c r="I12" s="10">
        <f t="shared" si="5"/>
        <v>1702</v>
      </c>
      <c r="J12" s="10">
        <f t="shared" si="3"/>
        <v>1338481360.8574827</v>
      </c>
      <c r="K12" s="11">
        <f t="shared" si="4"/>
        <v>3.7000000000000366E-3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11"/>
      <c r="H13" s="10"/>
      <c r="I13" s="10">
        <f t="shared" si="5"/>
        <v>1702</v>
      </c>
      <c r="J13" s="10">
        <f t="shared" si="3"/>
        <v>1333547236.083972</v>
      </c>
      <c r="K13" s="11">
        <f t="shared" si="4"/>
        <v>4.0000000000000036E-3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11"/>
      <c r="H14" s="10"/>
      <c r="I14" s="10">
        <f t="shared" si="5"/>
        <v>1702</v>
      </c>
      <c r="J14" s="10">
        <f t="shared" si="3"/>
        <v>1328234298.8884182</v>
      </c>
      <c r="K14" s="11">
        <f t="shared" si="4"/>
        <v>4.2999999999999705E-3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11"/>
      <c r="H15" s="10"/>
      <c r="I15" s="10">
        <f t="shared" si="5"/>
        <v>1702</v>
      </c>
      <c r="J15" s="10">
        <f t="shared" si="3"/>
        <v>1322547345.3036127</v>
      </c>
      <c r="K15" s="11">
        <f t="shared" si="4"/>
        <v>4.2999999999999705E-3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11"/>
      <c r="H16" s="10"/>
      <c r="I16" s="10">
        <f t="shared" si="5"/>
        <v>1702</v>
      </c>
      <c r="J16" s="10">
        <f t="shared" si="3"/>
        <v>1316884740.9176669</v>
      </c>
      <c r="K16" s="11">
        <f t="shared" si="4"/>
        <v>3.9000000000000146E-3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11"/>
      <c r="H17" s="10"/>
      <c r="I17" s="10">
        <f t="shared" si="5"/>
        <v>1702</v>
      </c>
      <c r="J17" s="10">
        <f t="shared" si="3"/>
        <v>1311768842.4321814</v>
      </c>
      <c r="K17" s="11">
        <f t="shared" si="4"/>
        <v>3.2999999999998586E-3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11"/>
      <c r="H18" s="10"/>
      <c r="I18" s="10">
        <f t="shared" si="5"/>
        <v>1702</v>
      </c>
      <c r="J18" s="10">
        <f t="shared" si="3"/>
        <v>1307454243.4288661</v>
      </c>
      <c r="K18" s="11">
        <f t="shared" si="4"/>
        <v>2.3999999999999577E-3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11"/>
      <c r="H19" s="10"/>
      <c r="I19" s="10">
        <f t="shared" si="5"/>
        <v>1702</v>
      </c>
      <c r="J19" s="10">
        <f t="shared" si="3"/>
        <v>1304323866.150106</v>
      </c>
      <c r="K19" s="11">
        <f t="shared" si="4"/>
        <v>1.7000000000000348E-3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11"/>
      <c r="H20" s="10"/>
      <c r="I20" s="10">
        <f t="shared" si="5"/>
        <v>1702</v>
      </c>
      <c r="J20" s="10">
        <f t="shared" si="3"/>
        <v>1302110278.6763561</v>
      </c>
      <c r="K20" s="11">
        <f t="shared" si="4"/>
        <v>1.3000000000000789E-3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11"/>
      <c r="H21" s="10"/>
      <c r="I21" s="10">
        <f t="shared" si="5"/>
        <v>1702</v>
      </c>
      <c r="J21" s="10">
        <f t="shared" si="3"/>
        <v>1300419733.0234256</v>
      </c>
      <c r="K21" s="11">
        <f t="shared" si="4"/>
        <v>1.5000000000000568E-3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11"/>
      <c r="H22" s="10"/>
      <c r="I22" s="10">
        <f t="shared" si="5"/>
        <v>1702</v>
      </c>
      <c r="J22" s="10">
        <f t="shared" si="3"/>
        <v>1298472024.9859467</v>
      </c>
      <c r="K22" s="11">
        <f t="shared" si="4"/>
        <v>2.0999999999999908E-3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11"/>
      <c r="H23" s="10"/>
      <c r="I23" s="10">
        <f t="shared" si="5"/>
        <v>1702</v>
      </c>
      <c r="J23" s="10">
        <f t="shared" si="3"/>
        <v>1295750947.9951568</v>
      </c>
      <c r="K23" s="11">
        <f t="shared" si="4"/>
        <v>3.1999999999998696E-3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11"/>
      <c r="H24" s="10"/>
      <c r="I24" s="10">
        <f t="shared" si="5"/>
        <v>1702</v>
      </c>
      <c r="J24" s="10">
        <f t="shared" si="3"/>
        <v>1291617771.1275487</v>
      </c>
      <c r="K24" s="11">
        <f t="shared" si="4"/>
        <v>4.1999999999999815E-3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11"/>
      <c r="H25" s="10"/>
      <c r="I25" s="10">
        <f t="shared" si="5"/>
        <v>1702</v>
      </c>
      <c r="J25" s="10">
        <f t="shared" si="3"/>
        <v>1286215665.3331494</v>
      </c>
      <c r="K25" s="11">
        <f t="shared" si="4"/>
        <v>4.9999999999998934E-3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11"/>
      <c r="H26" s="10"/>
      <c r="I26" s="10">
        <f t="shared" si="5"/>
        <v>1702</v>
      </c>
      <c r="J26" s="10">
        <f t="shared" si="3"/>
        <v>1279816582.4210443</v>
      </c>
      <c r="K26" s="11">
        <f t="shared" si="4"/>
        <v>5.1000000000001044E-3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11"/>
      <c r="H27" s="10"/>
      <c r="I27" s="10">
        <f t="shared" si="5"/>
        <v>1702</v>
      </c>
      <c r="J27" s="10">
        <f t="shared" si="3"/>
        <v>1273322636.9724846</v>
      </c>
      <c r="K27" s="11">
        <f t="shared" si="4"/>
        <v>4.4999999999999485E-3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11"/>
      <c r="H28" s="10"/>
      <c r="I28" s="10">
        <f t="shared" si="5"/>
        <v>1702</v>
      </c>
      <c r="J28" s="10">
        <f t="shared" si="3"/>
        <v>1267618354.3777845</v>
      </c>
      <c r="K28" s="11">
        <f t="shared" si="4"/>
        <v>3.3000000000000806E-3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11"/>
      <c r="H29" s="10"/>
      <c r="I29" s="10">
        <f t="shared" si="5"/>
        <v>1702</v>
      </c>
      <c r="J29" s="10">
        <f t="shared" si="3"/>
        <v>1263448972.7676511</v>
      </c>
      <c r="K29" s="11">
        <f t="shared" si="4"/>
        <v>1.8000000000000238E-3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11"/>
      <c r="H30" s="10"/>
      <c r="I30" s="10">
        <f t="shared" si="5"/>
        <v>1702</v>
      </c>
      <c r="J30" s="10">
        <f t="shared" si="3"/>
        <v>1261178850.8361461</v>
      </c>
      <c r="K30" s="11">
        <f t="shared" si="4"/>
        <v>3.00000000000189E-4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11"/>
      <c r="H31" s="10"/>
      <c r="I31" s="10">
        <f t="shared" si="5"/>
        <v>1702</v>
      </c>
      <c r="J31" s="10">
        <f t="shared" si="3"/>
        <v>1260800610.65295</v>
      </c>
      <c r="K31" s="11">
        <f t="shared" si="4"/>
        <v>-1.2000000000000899E-3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11"/>
      <c r="H32" s="10"/>
      <c r="I32" s="10">
        <f t="shared" si="5"/>
        <v>1702</v>
      </c>
      <c r="J32" s="10">
        <f t="shared" si="3"/>
        <v>1262315389.119894</v>
      </c>
      <c r="K32" s="11">
        <f t="shared" si="4"/>
        <v>-2.3999999999998467E-3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11"/>
      <c r="H33" s="10"/>
      <c r="I33" s="10">
        <f t="shared" si="5"/>
        <v>1702</v>
      </c>
      <c r="J33" s="10">
        <f t="shared" si="3"/>
        <v>1265352234.4826522</v>
      </c>
      <c r="K33" s="11">
        <f t="shared" si="4"/>
        <v>-3.4000000000001807E-3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11"/>
      <c r="H34" s="10"/>
      <c r="I34" s="10">
        <f t="shared" si="5"/>
        <v>1702</v>
      </c>
      <c r="J34" s="10">
        <f t="shared" ref="J34:J65" si="6">IF(I34="","",I34*C34)</f>
        <v>1269669109.4547987</v>
      </c>
      <c r="K34" s="11">
        <f t="shared" ref="K34:K65" si="7">IFERROR(J34/J35-1,"")</f>
        <v>-3.8999999999997925E-3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11"/>
      <c r="H35" s="10"/>
      <c r="I35" s="10">
        <f t="shared" ref="I35:I66" si="8">IF(H35&lt;&gt;"",H35,I34/(1+IF(G34="",0,G34)))</f>
        <v>1702</v>
      </c>
      <c r="J35" s="10">
        <f t="shared" si="6"/>
        <v>1274640206.2592094</v>
      </c>
      <c r="K35" s="11">
        <f t="shared" si="7"/>
        <v>-3.9000000000001256E-3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11"/>
      <c r="H36" s="10"/>
      <c r="I36" s="10">
        <f t="shared" si="8"/>
        <v>1702</v>
      </c>
      <c r="J36" s="10">
        <f t="shared" si="6"/>
        <v>1279630766.247575</v>
      </c>
      <c r="K36" s="11">
        <f t="shared" si="7"/>
        <v>-3.2999999999999696E-3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11"/>
      <c r="H37" s="10"/>
      <c r="I37" s="10">
        <f t="shared" si="8"/>
        <v>1702</v>
      </c>
      <c r="J37" s="10">
        <f t="shared" si="6"/>
        <v>1283867529.0935838</v>
      </c>
      <c r="K37" s="11">
        <f t="shared" si="7"/>
        <v>-2.3999999999999577E-3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11"/>
      <c r="H38" s="10"/>
      <c r="I38" s="10">
        <f t="shared" si="8"/>
        <v>1702</v>
      </c>
      <c r="J38" s="10">
        <f t="shared" si="6"/>
        <v>1286956224.0312588</v>
      </c>
      <c r="K38" s="11">
        <f t="shared" si="7"/>
        <v>-9.000000000000119E-4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11"/>
      <c r="H39" s="10"/>
      <c r="I39" s="10">
        <f t="shared" si="8"/>
        <v>1702</v>
      </c>
      <c r="J39" s="10">
        <f t="shared" si="6"/>
        <v>1288115528.0064647</v>
      </c>
      <c r="K39" s="11">
        <f t="shared" si="7"/>
        <v>9.9999999999988987E-4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11"/>
      <c r="H40" s="10"/>
      <c r="I40" s="10">
        <f t="shared" si="8"/>
        <v>1702</v>
      </c>
      <c r="J40" s="10">
        <f t="shared" si="6"/>
        <v>1286828699.3071578</v>
      </c>
      <c r="K40" s="11">
        <f t="shared" si="7"/>
        <v>3.3000000000000806E-3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11"/>
      <c r="H41" s="10"/>
      <c r="I41" s="10">
        <f t="shared" si="8"/>
        <v>1702</v>
      </c>
      <c r="J41" s="10">
        <f t="shared" si="6"/>
        <v>1282596132.0713222</v>
      </c>
      <c r="K41" s="11">
        <f t="shared" si="7"/>
        <v>5.9000000000000163E-3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11"/>
      <c r="H42" s="10"/>
      <c r="I42" s="10">
        <f t="shared" si="8"/>
        <v>1702</v>
      </c>
      <c r="J42" s="10">
        <f t="shared" si="6"/>
        <v>1275073200.1902001</v>
      </c>
      <c r="K42" s="11">
        <f t="shared" si="7"/>
        <v>8.4000000000001851E-3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11"/>
      <c r="H43" s="10"/>
      <c r="I43" s="10">
        <f t="shared" si="8"/>
        <v>1702</v>
      </c>
      <c r="J43" s="10">
        <f t="shared" si="6"/>
        <v>1264451805.0279651</v>
      </c>
      <c r="K43" s="11">
        <f t="shared" si="7"/>
        <v>1.089999999999991E-2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11"/>
      <c r="H44" s="10"/>
      <c r="I44" s="10">
        <f t="shared" si="8"/>
        <v>1702</v>
      </c>
      <c r="J44" s="10">
        <f t="shared" si="6"/>
        <v>1250817890.0266745</v>
      </c>
      <c r="K44" s="11">
        <f t="shared" si="7"/>
        <v>1.3399999999999856E-2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11"/>
      <c r="H45" s="10"/>
      <c r="I45" s="10">
        <f t="shared" si="8"/>
        <v>1702</v>
      </c>
      <c r="J45" s="10">
        <f t="shared" si="6"/>
        <v>1234278557.3580763</v>
      </c>
      <c r="K45" s="11">
        <f t="shared" si="7"/>
        <v>1.5800000000000258E-2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11"/>
      <c r="H46" s="10"/>
      <c r="I46" s="10">
        <f t="shared" si="8"/>
        <v>1702</v>
      </c>
      <c r="J46" s="10">
        <f t="shared" si="6"/>
        <v>1215080288.7951133</v>
      </c>
      <c r="K46" s="11">
        <f t="shared" si="7"/>
        <v>1.839999999999975E-2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11"/>
      <c r="H47" s="10"/>
      <c r="I47" s="10">
        <f t="shared" si="8"/>
        <v>1702</v>
      </c>
      <c r="J47" s="10">
        <f t="shared" si="6"/>
        <v>1193126756.475956</v>
      </c>
      <c r="K47" s="11">
        <f t="shared" si="7"/>
        <v>2.0999999999999908E-2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11"/>
      <c r="H48" s="10"/>
      <c r="I48" s="10">
        <f t="shared" si="8"/>
        <v>1702</v>
      </c>
      <c r="J48" s="10">
        <f t="shared" si="6"/>
        <v>1168586441.2105348</v>
      </c>
      <c r="K48" s="11">
        <f t="shared" si="7"/>
        <v>2.3300000000000098E-2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11"/>
      <c r="H49" s="10"/>
      <c r="I49" s="10">
        <f t="shared" si="8"/>
        <v>1702</v>
      </c>
      <c r="J49" s="10">
        <f t="shared" si="6"/>
        <v>1141978345.7544558</v>
      </c>
      <c r="K49" s="11">
        <f t="shared" si="7"/>
        <v>2.5100000000000122E-2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11"/>
      <c r="H50" s="10"/>
      <c r="I50" s="10">
        <f t="shared" si="8"/>
        <v>1702</v>
      </c>
      <c r="J50" s="10">
        <f t="shared" si="6"/>
        <v>1114016530.8306074</v>
      </c>
      <c r="K50" s="11">
        <f t="shared" si="7"/>
        <v>2.6399999999999979E-2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11"/>
      <c r="H51" s="10"/>
      <c r="I51" s="10">
        <f t="shared" si="8"/>
        <v>1702</v>
      </c>
      <c r="J51" s="10">
        <f t="shared" si="6"/>
        <v>1085362948.9775989</v>
      </c>
      <c r="K51" s="11">
        <f t="shared" si="7"/>
        <v>2.7199999999999891E-2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11"/>
      <c r="H52" s="10"/>
      <c r="I52" s="10">
        <f t="shared" si="8"/>
        <v>1702</v>
      </c>
      <c r="J52" s="10">
        <f t="shared" si="6"/>
        <v>1056622808.5841111</v>
      </c>
      <c r="K52" s="11">
        <f t="shared" si="7"/>
        <v>2.7400000000000091E-2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11"/>
      <c r="H53" s="10"/>
      <c r="I53" s="10">
        <f t="shared" si="8"/>
        <v>1702</v>
      </c>
      <c r="J53" s="10">
        <f t="shared" si="6"/>
        <v>1028443457.8393137</v>
      </c>
      <c r="K53" s="11">
        <f t="shared" si="7"/>
        <v>2.7199999999999891E-2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11"/>
      <c r="H54" s="10"/>
      <c r="I54" s="10">
        <f t="shared" si="8"/>
        <v>1702</v>
      </c>
      <c r="J54" s="10">
        <f t="shared" si="6"/>
        <v>1001210531.3856249</v>
      </c>
      <c r="K54" s="11">
        <f t="shared" si="7"/>
        <v>2.6899999999999924E-2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11"/>
      <c r="H55" s="10"/>
      <c r="I55" s="10">
        <f t="shared" si="8"/>
        <v>1702</v>
      </c>
      <c r="J55" s="10">
        <f t="shared" si="6"/>
        <v>974983475.88433635</v>
      </c>
      <c r="K55" s="11">
        <f t="shared" si="7"/>
        <v>2.6599999999999957E-2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11"/>
      <c r="H56" s="10"/>
      <c r="I56" s="10">
        <f t="shared" si="8"/>
        <v>1702</v>
      </c>
      <c r="J56" s="10">
        <f t="shared" si="6"/>
        <v>949720899.94577861</v>
      </c>
      <c r="K56" s="11">
        <f t="shared" si="7"/>
        <v>2.6499999999999968E-2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11"/>
      <c r="H57" s="10"/>
      <c r="I57" s="10">
        <f t="shared" si="8"/>
        <v>1702</v>
      </c>
      <c r="J57" s="10">
        <f t="shared" si="6"/>
        <v>925203019.9179529</v>
      </c>
      <c r="K57" s="11">
        <f t="shared" si="7"/>
        <v>2.6599999999999957E-2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11"/>
      <c r="H58" s="10"/>
      <c r="I58" s="10">
        <f t="shared" si="8"/>
        <v>1702</v>
      </c>
      <c r="J58" s="10">
        <f t="shared" si="6"/>
        <v>901230294.0950253</v>
      </c>
      <c r="K58" s="11">
        <f t="shared" si="7"/>
        <v>2.7099999999999902E-2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11"/>
      <c r="H59" s="10"/>
      <c r="I59" s="10">
        <f t="shared" si="8"/>
        <v>1702</v>
      </c>
      <c r="J59" s="10">
        <f t="shared" si="6"/>
        <v>877451362.17994869</v>
      </c>
      <c r="K59" s="11">
        <f t="shared" si="7"/>
        <v>2.7900000000000036E-2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11"/>
      <c r="H60" s="10"/>
      <c r="I60" s="10">
        <f t="shared" si="8"/>
        <v>1702</v>
      </c>
      <c r="J60" s="10">
        <f t="shared" si="6"/>
        <v>853634947.15434253</v>
      </c>
      <c r="K60" s="11">
        <f t="shared" si="7"/>
        <v>2.8999999999999915E-2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11"/>
      <c r="H61" s="10"/>
      <c r="I61" s="10">
        <f t="shared" si="8"/>
        <v>1702</v>
      </c>
      <c r="J61" s="10">
        <f t="shared" si="6"/>
        <v>829577208.1188947</v>
      </c>
      <c r="K61" s="11">
        <f t="shared" si="7"/>
        <v>3.0300000000000216E-2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11"/>
      <c r="H62" s="10"/>
      <c r="I62" s="10">
        <f t="shared" si="8"/>
        <v>1702</v>
      </c>
      <c r="J62" s="10">
        <f t="shared" si="6"/>
        <v>805180246.64553487</v>
      </c>
      <c r="K62" s="11">
        <f t="shared" si="7"/>
        <v>3.1700000000000061E-2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11"/>
      <c r="H63" s="10"/>
      <c r="I63" s="10">
        <f t="shared" si="8"/>
        <v>1702</v>
      </c>
      <c r="J63" s="10">
        <f t="shared" si="6"/>
        <v>780440289.4693563</v>
      </c>
      <c r="K63" s="11">
        <f t="shared" si="7"/>
        <v>3.2599999999999962E-2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11"/>
      <c r="H64" s="10"/>
      <c r="I64" s="10">
        <f t="shared" si="8"/>
        <v>1702</v>
      </c>
      <c r="J64" s="10">
        <f t="shared" si="6"/>
        <v>755801171.28545058</v>
      </c>
      <c r="K64" s="11">
        <f t="shared" si="7"/>
        <v>3.300000000000014E-2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11"/>
      <c r="H65" s="10"/>
      <c r="I65" s="10">
        <f t="shared" si="8"/>
        <v>1702</v>
      </c>
      <c r="J65" s="10">
        <f t="shared" si="6"/>
        <v>731656506.56868398</v>
      </c>
      <c r="K65" s="11">
        <f t="shared" si="7"/>
        <v>3.2699999999999951E-2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6">
        <f>SUM(F2)</f>
        <v>828597</v>
      </c>
      <c r="G66" s="11"/>
      <c r="H66" s="10"/>
      <c r="I66" s="10">
        <f t="shared" si="8"/>
        <v>1702</v>
      </c>
      <c r="J66" s="10">
        <f t="shared" ref="J66:J97" si="9">IF(I66="","",I66*C66)</f>
        <v>708488918.92000008</v>
      </c>
      <c r="K66" s="11">
        <f t="shared" ref="K66:K97" si="10">IFERROR(J66/J67-1,"")</f>
        <v>3.1900000000000039E-2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11"/>
      <c r="H67" s="10"/>
      <c r="I67" s="10">
        <f t="shared" ref="I67:I98" si="11">IF(H67&lt;&gt;"",H67,I66/(1+IF(G66="",0,G66)))</f>
        <v>1702</v>
      </c>
      <c r="J67" s="10">
        <f t="shared" si="9"/>
        <v>686586800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5">
        <v>53302916</v>
      </c>
      <c r="G2" s="11"/>
      <c r="H2" s="10"/>
      <c r="I2" s="10">
        <f>IF(H2&lt;&gt;"",H2,10119)</f>
        <v>10119</v>
      </c>
      <c r="J2" s="10">
        <f t="shared" ref="J2:J33" si="3">IF(I2="","",I2*C2)</f>
        <v>539378999160.60864</v>
      </c>
      <c r="K2" s="11">
        <f t="shared" ref="K2:K33" si="4">IFERROR(J2/J3-1,"")</f>
        <v>9.100000000000108E-3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11"/>
      <c r="H3" s="10"/>
      <c r="I3" s="10">
        <f t="shared" ref="I3:I34" si="5">IF(H3&lt;&gt;"",H3,I2/(1+IF(G2="",0,G2)))</f>
        <v>10119</v>
      </c>
      <c r="J3" s="10">
        <f t="shared" si="3"/>
        <v>534514913448.22968</v>
      </c>
      <c r="K3" s="11">
        <f t="shared" si="4"/>
        <v>9.6000000000000529E-3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11"/>
      <c r="H4" s="10"/>
      <c r="I4" s="10">
        <f t="shared" si="5"/>
        <v>10119</v>
      </c>
      <c r="J4" s="10">
        <f t="shared" si="3"/>
        <v>529432362765.67914</v>
      </c>
      <c r="K4" s="11">
        <f t="shared" si="4"/>
        <v>1.0199999999999987E-2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11"/>
      <c r="H5" s="10"/>
      <c r="I5" s="10">
        <f t="shared" si="5"/>
        <v>10119</v>
      </c>
      <c r="J5" s="10">
        <f t="shared" si="3"/>
        <v>524086678643.51526</v>
      </c>
      <c r="K5" s="11">
        <f t="shared" si="4"/>
        <v>1.089999999999991E-2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11"/>
      <c r="H6" s="10"/>
      <c r="I6" s="10">
        <f t="shared" si="5"/>
        <v>10119</v>
      </c>
      <c r="J6" s="10">
        <f t="shared" si="3"/>
        <v>518435729195.28668</v>
      </c>
      <c r="K6" s="11">
        <f t="shared" si="4"/>
        <v>1.1600000000000055E-2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11"/>
      <c r="H7" s="10"/>
      <c r="I7" s="10">
        <f t="shared" si="5"/>
        <v>10119</v>
      </c>
      <c r="J7" s="10">
        <f t="shared" si="3"/>
        <v>512490835503.44666</v>
      </c>
      <c r="K7" s="11">
        <f t="shared" si="4"/>
        <v>1.2299999999999978E-2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11"/>
      <c r="H8" s="10"/>
      <c r="I8" s="10">
        <f t="shared" si="5"/>
        <v>10119</v>
      </c>
      <c r="J8" s="10">
        <f t="shared" si="3"/>
        <v>506263790875.67584</v>
      </c>
      <c r="K8" s="11">
        <f t="shared" si="4"/>
        <v>1.2499999999999956E-2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11"/>
      <c r="H9" s="10"/>
      <c r="I9" s="10">
        <f t="shared" si="5"/>
        <v>10119</v>
      </c>
      <c r="J9" s="10">
        <f t="shared" si="3"/>
        <v>500013620617.95148</v>
      </c>
      <c r="K9" s="11">
        <f t="shared" si="4"/>
        <v>1.2199999999999989E-2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11"/>
      <c r="H10" s="10"/>
      <c r="I10" s="10">
        <f t="shared" si="5"/>
        <v>10119</v>
      </c>
      <c r="J10" s="10">
        <f t="shared" si="3"/>
        <v>493986979468.43652</v>
      </c>
      <c r="K10" s="11">
        <f t="shared" si="4"/>
        <v>1.1799999999999811E-2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11"/>
      <c r="H11" s="10"/>
      <c r="I11" s="10">
        <f t="shared" si="5"/>
        <v>10119</v>
      </c>
      <c r="J11" s="10">
        <f t="shared" si="3"/>
        <v>488225913686.93079</v>
      </c>
      <c r="K11" s="11">
        <f t="shared" si="4"/>
        <v>1.1500000000000066E-2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11"/>
      <c r="H12" s="10"/>
      <c r="I12" s="10">
        <f t="shared" si="5"/>
        <v>10119</v>
      </c>
      <c r="J12" s="10">
        <f t="shared" si="3"/>
        <v>482675149468.04822</v>
      </c>
      <c r="K12" s="11">
        <f t="shared" si="4"/>
        <v>1.1600000000000277E-2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11"/>
      <c r="H13" s="10"/>
      <c r="I13" s="10">
        <f t="shared" si="5"/>
        <v>10119</v>
      </c>
      <c r="J13" s="10">
        <f t="shared" si="3"/>
        <v>477140321735.91156</v>
      </c>
      <c r="K13" s="11">
        <f t="shared" si="4"/>
        <v>1.2000000000000011E-2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11"/>
      <c r="H14" s="10"/>
      <c r="I14" s="10">
        <f t="shared" si="5"/>
        <v>10119</v>
      </c>
      <c r="J14" s="10">
        <f t="shared" si="3"/>
        <v>471482531359.59644</v>
      </c>
      <c r="K14" s="11">
        <f t="shared" si="4"/>
        <v>1.2399999999999967E-2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11"/>
      <c r="H15" s="10"/>
      <c r="I15" s="10">
        <f t="shared" si="5"/>
        <v>10119</v>
      </c>
      <c r="J15" s="10">
        <f t="shared" si="3"/>
        <v>465707755195.17627</v>
      </c>
      <c r="K15" s="11">
        <f t="shared" si="4"/>
        <v>1.2899999999999912E-2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11"/>
      <c r="H16" s="10"/>
      <c r="I16" s="10">
        <f t="shared" si="5"/>
        <v>10119</v>
      </c>
      <c r="J16" s="10">
        <f t="shared" si="3"/>
        <v>459776636583.25232</v>
      </c>
      <c r="K16" s="11">
        <f t="shared" si="4"/>
        <v>1.3800000000000034E-2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11"/>
      <c r="H17" s="10"/>
      <c r="I17" s="10">
        <f t="shared" si="5"/>
        <v>10119</v>
      </c>
      <c r="J17" s="10">
        <f t="shared" si="3"/>
        <v>453518086982.88849</v>
      </c>
      <c r="K17" s="11">
        <f t="shared" si="4"/>
        <v>1.5200000000000102E-2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11"/>
      <c r="H18" s="10"/>
      <c r="I18" s="10">
        <f t="shared" si="5"/>
        <v>10119</v>
      </c>
      <c r="J18" s="10">
        <f t="shared" si="3"/>
        <v>446727824057.21869</v>
      </c>
      <c r="K18" s="11">
        <f t="shared" si="4"/>
        <v>1.6899999999999915E-2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11"/>
      <c r="H19" s="10"/>
      <c r="I19" s="10">
        <f t="shared" si="5"/>
        <v>10119</v>
      </c>
      <c r="J19" s="10">
        <f t="shared" si="3"/>
        <v>439303593329.94269</v>
      </c>
      <c r="K19" s="11">
        <f t="shared" si="4"/>
        <v>1.8399999999999972E-2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11"/>
      <c r="H20" s="10"/>
      <c r="I20" s="10">
        <f t="shared" si="5"/>
        <v>10119</v>
      </c>
      <c r="J20" s="10">
        <f t="shared" si="3"/>
        <v>431366450638.19983</v>
      </c>
      <c r="K20" s="11">
        <f t="shared" si="4"/>
        <v>1.9299999999999873E-2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11"/>
      <c r="H21" s="10"/>
      <c r="I21" s="10">
        <f t="shared" si="5"/>
        <v>10119</v>
      </c>
      <c r="J21" s="10">
        <f t="shared" si="3"/>
        <v>423198715430.39325</v>
      </c>
      <c r="K21" s="11">
        <f t="shared" si="4"/>
        <v>1.9500000000000295E-2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11"/>
      <c r="H22" s="10"/>
      <c r="I22" s="10">
        <f t="shared" si="5"/>
        <v>10119</v>
      </c>
      <c r="J22" s="10">
        <f t="shared" si="3"/>
        <v>415104183845.40771</v>
      </c>
      <c r="K22" s="11">
        <f t="shared" si="4"/>
        <v>1.9600000000000062E-2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11"/>
      <c r="H23" s="10"/>
      <c r="I23" s="10">
        <f t="shared" si="5"/>
        <v>10119</v>
      </c>
      <c r="J23" s="10">
        <f t="shared" si="3"/>
        <v>407124542806.40222</v>
      </c>
      <c r="K23" s="11">
        <f t="shared" si="4"/>
        <v>1.9900000000000029E-2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11"/>
      <c r="H24" s="10"/>
      <c r="I24" s="10">
        <f t="shared" si="5"/>
        <v>10119</v>
      </c>
      <c r="J24" s="10">
        <f t="shared" si="3"/>
        <v>399180844010.59143</v>
      </c>
      <c r="K24" s="11">
        <f t="shared" si="4"/>
        <v>2.0300000000000207E-2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11"/>
      <c r="H25" s="10"/>
      <c r="I25" s="10">
        <f t="shared" si="5"/>
        <v>10119</v>
      </c>
      <c r="J25" s="10">
        <f t="shared" si="3"/>
        <v>391238698432.41339</v>
      </c>
      <c r="K25" s="11">
        <f t="shared" si="4"/>
        <v>2.0600000000000174E-2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11"/>
      <c r="H26" s="10"/>
      <c r="I26" s="10">
        <f t="shared" si="5"/>
        <v>10119</v>
      </c>
      <c r="J26" s="10">
        <f t="shared" si="3"/>
        <v>383341856194.80048</v>
      </c>
      <c r="K26" s="11">
        <f t="shared" si="4"/>
        <v>2.079999999999993E-2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11"/>
      <c r="H27" s="10"/>
      <c r="I27" s="10">
        <f t="shared" si="5"/>
        <v>10119</v>
      </c>
      <c r="J27" s="10">
        <f t="shared" si="3"/>
        <v>375530815237.85315</v>
      </c>
      <c r="K27" s="11">
        <f t="shared" si="4"/>
        <v>2.0899999999999919E-2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11"/>
      <c r="H28" s="10"/>
      <c r="I28" s="10">
        <f t="shared" si="5"/>
        <v>10119</v>
      </c>
      <c r="J28" s="10">
        <f t="shared" si="3"/>
        <v>367842898655.94397</v>
      </c>
      <c r="K28" s="11">
        <f t="shared" si="4"/>
        <v>2.0999999999999686E-2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11"/>
      <c r="H29" s="10"/>
      <c r="I29" s="10">
        <f t="shared" si="5"/>
        <v>10119</v>
      </c>
      <c r="J29" s="10">
        <f t="shared" si="3"/>
        <v>360277079976.43884</v>
      </c>
      <c r="K29" s="11">
        <f t="shared" si="4"/>
        <v>2.1200000000000108E-2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11"/>
      <c r="H30" s="10"/>
      <c r="I30" s="10">
        <f t="shared" si="5"/>
        <v>10119</v>
      </c>
      <c r="J30" s="10">
        <f t="shared" si="3"/>
        <v>352797767309.47791</v>
      </c>
      <c r="K30" s="11">
        <f t="shared" si="4"/>
        <v>2.1300000000000319E-2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11"/>
      <c r="H31" s="10"/>
      <c r="I31" s="10">
        <f t="shared" si="5"/>
        <v>10119</v>
      </c>
      <c r="J31" s="10">
        <f t="shared" si="3"/>
        <v>345439897492.87946</v>
      </c>
      <c r="K31" s="11">
        <f t="shared" si="4"/>
        <v>2.1300000000000097E-2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11"/>
      <c r="H32" s="10"/>
      <c r="I32" s="10">
        <f t="shared" si="5"/>
        <v>10119</v>
      </c>
      <c r="J32" s="10">
        <f t="shared" si="3"/>
        <v>338235481731.9881</v>
      </c>
      <c r="K32" s="11">
        <f t="shared" si="4"/>
        <v>2.1199999999999886E-2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11"/>
      <c r="H33" s="10"/>
      <c r="I33" s="10">
        <f t="shared" si="5"/>
        <v>10119</v>
      </c>
      <c r="J33" s="10">
        <f t="shared" si="3"/>
        <v>331213750227.17206</v>
      </c>
      <c r="K33" s="11">
        <f t="shared" si="4"/>
        <v>2.1099999999999897E-2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11"/>
      <c r="H34" s="10"/>
      <c r="I34" s="10">
        <f t="shared" si="5"/>
        <v>10119</v>
      </c>
      <c r="J34" s="10">
        <f t="shared" ref="J34:J65" si="6">IF(I34="","",I34*C34)</f>
        <v>324369552665.92114</v>
      </c>
      <c r="K34" s="11">
        <f t="shared" ref="K34:K65" si="7">IFERROR(J34/J35-1,"")</f>
        <v>2.120000000000033E-2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11"/>
      <c r="H35" s="10"/>
      <c r="I35" s="10">
        <f t="shared" ref="I35:I66" si="8">IF(H35&lt;&gt;"",H35,I34/(1+IF(G34="",0,G34)))</f>
        <v>10119</v>
      </c>
      <c r="J35" s="10">
        <f t="shared" si="6"/>
        <v>317635676327.77228</v>
      </c>
      <c r="K35" s="11">
        <f t="shared" si="7"/>
        <v>2.179999999999982E-2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11"/>
      <c r="H36" s="10"/>
      <c r="I36" s="10">
        <f t="shared" si="8"/>
        <v>10119</v>
      </c>
      <c r="J36" s="10">
        <f t="shared" si="6"/>
        <v>310858951191.79126</v>
      </c>
      <c r="K36" s="11">
        <f t="shared" si="7"/>
        <v>2.2799999999999931E-2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11"/>
      <c r="H37" s="10"/>
      <c r="I37" s="10">
        <f t="shared" si="8"/>
        <v>10119</v>
      </c>
      <c r="J37" s="10">
        <f t="shared" si="6"/>
        <v>303929361744.02747</v>
      </c>
      <c r="K37" s="11">
        <f t="shared" si="7"/>
        <v>2.3900000000000032E-2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11"/>
      <c r="H38" s="10"/>
      <c r="I38" s="10">
        <f t="shared" si="8"/>
        <v>10119</v>
      </c>
      <c r="J38" s="10">
        <f t="shared" si="6"/>
        <v>296835005121.62073</v>
      </c>
      <c r="K38" s="11">
        <f t="shared" si="7"/>
        <v>2.4999999999999911E-2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11"/>
      <c r="H39" s="10"/>
      <c r="I39" s="10">
        <f t="shared" si="8"/>
        <v>10119</v>
      </c>
      <c r="J39" s="10">
        <f t="shared" si="6"/>
        <v>289595126947.92267</v>
      </c>
      <c r="K39" s="11">
        <f t="shared" si="7"/>
        <v>2.5900000000000034E-2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11"/>
      <c r="H40" s="10"/>
      <c r="I40" s="10">
        <f t="shared" si="8"/>
        <v>10119</v>
      </c>
      <c r="J40" s="10">
        <f t="shared" si="6"/>
        <v>282283972071.27661</v>
      </c>
      <c r="K40" s="11">
        <f t="shared" si="7"/>
        <v>2.6799999999999935E-2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11"/>
      <c r="H41" s="10"/>
      <c r="I41" s="10">
        <f t="shared" si="8"/>
        <v>10119</v>
      </c>
      <c r="J41" s="10">
        <f t="shared" si="6"/>
        <v>274916217443.78326</v>
      </c>
      <c r="K41" s="11">
        <f t="shared" si="7"/>
        <v>2.7800000000000047E-2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11"/>
      <c r="H42" s="10"/>
      <c r="I42" s="10">
        <f t="shared" si="8"/>
        <v>10119</v>
      </c>
      <c r="J42" s="10">
        <f t="shared" si="6"/>
        <v>267480266047.65833</v>
      </c>
      <c r="K42" s="11">
        <f t="shared" si="7"/>
        <v>2.8599999999999959E-2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11"/>
      <c r="H43" s="10"/>
      <c r="I43" s="10">
        <f t="shared" si="8"/>
        <v>10119</v>
      </c>
      <c r="J43" s="10">
        <f t="shared" si="6"/>
        <v>260043035239.80008</v>
      </c>
      <c r="K43" s="11">
        <f t="shared" si="7"/>
        <v>2.9300000000000104E-2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11"/>
      <c r="H44" s="10"/>
      <c r="I44" s="10">
        <f t="shared" si="8"/>
        <v>10119</v>
      </c>
      <c r="J44" s="10">
        <f t="shared" si="6"/>
        <v>252640663790.7316</v>
      </c>
      <c r="K44" s="11">
        <f t="shared" si="7"/>
        <v>2.9900000000000038E-2</v>
      </c>
      <c r="L44" t="inlineStr">
        <is>
          <t xml:space="preserve">Regime collapse - fall of the dictatorship, socialist takeover.</t>
        </is>
      </c>
      <c r="M44" t="inlineStr">
        <is>
          <t xml:space="preserve">Verste regime collapse (1723): fall of the dictatorship and socialist takeover.</t>
        </is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11"/>
      <c r="H45" s="10"/>
      <c r="I45" s="10">
        <f t="shared" si="8"/>
        <v>10119</v>
      </c>
      <c r="J45" s="10">
        <f t="shared" si="6"/>
        <v>245306013972.94067</v>
      </c>
      <c r="K45" s="11">
        <f t="shared" si="7"/>
        <v>3.0299999999999994E-2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11"/>
      <c r="H46" s="10"/>
      <c r="I46" s="10">
        <f t="shared" si="8"/>
        <v>10119</v>
      </c>
      <c r="J46" s="10">
        <f t="shared" si="6"/>
        <v>238091831479.12323</v>
      </c>
      <c r="K46" s="11">
        <f t="shared" si="7"/>
        <v>3.069999999999995E-2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11"/>
      <c r="H47" s="10"/>
      <c r="I47" s="10">
        <f t="shared" si="8"/>
        <v>10119</v>
      </c>
      <c r="J47" s="10">
        <f t="shared" si="6"/>
        <v>231000127562.94095</v>
      </c>
      <c r="K47" s="11">
        <f t="shared" si="7"/>
        <v>3.1099999999999905E-2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11"/>
      <c r="H48" s="10"/>
      <c r="I48" s="10">
        <f t="shared" si="8"/>
        <v>10119</v>
      </c>
      <c r="J48" s="10">
        <f t="shared" si="6"/>
        <v>224032710273.43707</v>
      </c>
      <c r="K48" s="11">
        <f t="shared" si="7"/>
        <v>3.1600000000000072E-2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11"/>
      <c r="H49" s="10"/>
      <c r="I49" s="10">
        <f t="shared" si="8"/>
        <v>10119</v>
      </c>
      <c r="J49" s="10">
        <f t="shared" si="6"/>
        <v>217170134037.84128</v>
      </c>
      <c r="K49" s="11">
        <f t="shared" si="7"/>
        <v>3.2100000000000017E-2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11"/>
      <c r="H50" s="10"/>
      <c r="I50" s="10">
        <f t="shared" si="8"/>
        <v>10119</v>
      </c>
      <c r="J50" s="10">
        <f t="shared" si="6"/>
        <v>210415787266.58392</v>
      </c>
      <c r="K50" s="11">
        <f t="shared" si="7"/>
        <v>3.2499999999999751E-2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11"/>
      <c r="H51" s="10"/>
      <c r="I51" s="10">
        <f t="shared" si="8"/>
        <v>10119</v>
      </c>
      <c r="J51" s="10">
        <f t="shared" si="6"/>
        <v>203792530040.27502</v>
      </c>
      <c r="K51" s="11">
        <f t="shared" si="7"/>
        <v>3.2600000000000184E-2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11"/>
      <c r="H52" s="10"/>
      <c r="I52" s="10">
        <f t="shared" si="8"/>
        <v>10119</v>
      </c>
      <c r="J52" s="10">
        <f t="shared" si="6"/>
        <v>197358638427.53729</v>
      </c>
      <c r="K52" s="11">
        <f t="shared" si="7"/>
        <v>3.2299999999999995E-2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11"/>
      <c r="H53" s="10"/>
      <c r="I53" s="10">
        <f t="shared" si="8"/>
        <v>10119</v>
      </c>
      <c r="J53" s="10">
        <f t="shared" si="6"/>
        <v>191183414150.4769</v>
      </c>
      <c r="K53" s="11">
        <f t="shared" si="7"/>
        <v>3.1600000000000295E-2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11"/>
      <c r="H54" s="10"/>
      <c r="I54" s="10">
        <f t="shared" si="8"/>
        <v>10119</v>
      </c>
      <c r="J54" s="10">
        <f t="shared" si="6"/>
        <v>185327078470.79959</v>
      </c>
      <c r="K54" s="11">
        <f t="shared" si="7"/>
        <v>3.069999999999995E-2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11"/>
      <c r="H55" s="10"/>
      <c r="I55" s="10">
        <f t="shared" si="8"/>
        <v>10119</v>
      </c>
      <c r="J55" s="10">
        <f t="shared" si="6"/>
        <v>179807003464.44125</v>
      </c>
      <c r="K55" s="11">
        <f t="shared" si="7"/>
        <v>2.9799999999999827E-2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11"/>
      <c r="H56" s="10"/>
      <c r="I56" s="10">
        <f t="shared" si="8"/>
        <v>10119</v>
      </c>
      <c r="J56" s="10">
        <f t="shared" si="6"/>
        <v>174603809928.56989</v>
      </c>
      <c r="K56" s="11">
        <f t="shared" si="7"/>
        <v>2.8899999999999926E-2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11"/>
      <c r="H57" s="10"/>
      <c r="I57" s="10">
        <f t="shared" si="8"/>
        <v>10119</v>
      </c>
      <c r="J57" s="10">
        <f t="shared" si="6"/>
        <v>169699494536.46603</v>
      </c>
      <c r="K57" s="11">
        <f t="shared" si="7"/>
        <v>2.8299999999999992E-2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11"/>
      <c r="H58" s="10"/>
      <c r="I58" s="10">
        <f t="shared" si="8"/>
        <v>10119</v>
      </c>
      <c r="J58" s="10">
        <f t="shared" si="6"/>
        <v>165029169052.28632</v>
      </c>
      <c r="K58" s="11">
        <f t="shared" si="7"/>
        <v>2.7900000000000036E-2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11"/>
      <c r="H59" s="10"/>
      <c r="I59" s="10">
        <f t="shared" si="8"/>
        <v>10119</v>
      </c>
      <c r="J59" s="10">
        <f t="shared" si="6"/>
        <v>160549828827.9855</v>
      </c>
      <c r="K59" s="11">
        <f t="shared" si="7"/>
        <v>2.7700000000000058E-2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11"/>
      <c r="H60" s="10"/>
      <c r="I60" s="10">
        <f t="shared" si="8"/>
        <v>10119</v>
      </c>
      <c r="J60" s="10">
        <f t="shared" si="6"/>
        <v>156222466505.77551</v>
      </c>
      <c r="K60" s="11">
        <f t="shared" si="7"/>
        <v>2.750000000000008E-2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11"/>
      <c r="H61" s="10"/>
      <c r="I61" s="10">
        <f t="shared" si="8"/>
        <v>10119</v>
      </c>
      <c r="J61" s="10">
        <f t="shared" si="6"/>
        <v>152041329932.62823</v>
      </c>
      <c r="K61" s="11">
        <f t="shared" si="7"/>
        <v>2.7199999999999891E-2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11"/>
      <c r="H62" s="10"/>
      <c r="I62" s="10">
        <f t="shared" si="8"/>
        <v>10119</v>
      </c>
      <c r="J62" s="10">
        <f t="shared" si="6"/>
        <v>148015313407.9325</v>
      </c>
      <c r="K62" s="11">
        <f t="shared" si="7"/>
        <v>2.6799999999999935E-2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11"/>
      <c r="H63" s="10"/>
      <c r="I63" s="10">
        <f t="shared" si="8"/>
        <v>10119</v>
      </c>
      <c r="J63" s="10">
        <f t="shared" si="6"/>
        <v>144152038768.92529</v>
      </c>
      <c r="K63" s="11">
        <f t="shared" si="7"/>
        <v>2.6399999999999979E-2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11"/>
      <c r="H64" s="10"/>
      <c r="I64" s="10">
        <f t="shared" si="8"/>
        <v>10119</v>
      </c>
      <c r="J64" s="10">
        <f t="shared" si="6"/>
        <v>140444309011.034</v>
      </c>
      <c r="K64" s="11">
        <f t="shared" si="7"/>
        <v>2.5799999999999823E-2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11"/>
      <c r="H65" s="10"/>
      <c r="I65" s="10">
        <f t="shared" si="8"/>
        <v>10119</v>
      </c>
      <c r="J65" s="10">
        <f t="shared" si="6"/>
        <v>136911979928.86919</v>
      </c>
      <c r="K65" s="11">
        <f t="shared" si="7"/>
        <v>2.5199999999999889E-2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6">
        <f>SUM(F2)</f>
        <v>53302916</v>
      </c>
      <c r="G66" s="11"/>
      <c r="H66" s="10"/>
      <c r="I66" s="10">
        <f t="shared" si="8"/>
        <v>10119</v>
      </c>
      <c r="J66" s="10">
        <f t="shared" ref="J66:J97" si="9">IF(I66="","",I66*C66)</f>
        <v>133546605471</v>
      </c>
      <c r="K66" s="11">
        <f t="shared" ref="K66:K97" si="10">IFERROR(J66/J67-1,"")</f>
        <v>2.4499999999999966E-2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11"/>
      <c r="H67" s="10"/>
      <c r="I67" s="10">
        <f t="shared" ref="I67:I98" si="11">IF(H67&lt;&gt;"",H67,I66/(1+IF(G66="",0,G66)))</f>
        <v>10119</v>
      </c>
      <c r="J67" s="10">
        <f t="shared" si="9"/>
        <v>130352958000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69480800.687140256</v>
      </c>
      <c r="D2" s="11">
        <v>4.5999999999999999E-3</v>
      </c>
      <c r="E2" s="10">
        <f t="shared" ref="E2:E66" si="2">SUM(C2-C3)</f>
        <v>318148.20143423975</v>
      </c>
      <c r="F2" s="15">
        <v>69480631</v>
      </c>
      <c r="G2" s="11"/>
      <c r="H2" s="10"/>
      <c r="I2" s="10">
        <f>IF(H2&lt;&gt;"",H2,22302)</f>
        <v>22302</v>
      </c>
      <c r="J2" s="10">
        <f t="shared" ref="J2:J33" si="3">IF(I2="","",I2*C2)</f>
        <v>1549560816924.6021</v>
      </c>
      <c r="K2" s="11">
        <f t="shared" ref="K2:K33" si="4">IFERROR(J2/J3-1,"")</f>
        <v>4.5999999999999375E-3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69162652.485706016</v>
      </c>
      <c r="D3" s="11">
        <v>4.4000000000000003E-3</v>
      </c>
      <c r="E3" s="10">
        <f t="shared" si="2"/>
        <v>302982.547727108</v>
      </c>
      <c r="F3" s="3"/>
      <c r="G3" s="11"/>
      <c r="H3" s="10"/>
      <c r="I3" s="10">
        <f t="shared" ref="I3:I34" si="5">IF(H3&lt;&gt;"",H3,I2/(1+IF(G2="",0,G2)))</f>
        <v>22302</v>
      </c>
      <c r="J3" s="10">
        <f t="shared" si="3"/>
        <v>1542465475736.2156</v>
      </c>
      <c r="K3" s="11">
        <f t="shared" si="4"/>
        <v>4.3999999999999595E-3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68859669.937978908</v>
      </c>
      <c r="D4" s="11">
        <v>3.0999999999999999E-3</v>
      </c>
      <c r="E4" s="10">
        <f t="shared" si="2"/>
        <v>212805.28043837845</v>
      </c>
      <c r="F4" s="3"/>
      <c r="G4" s="11"/>
      <c r="H4" s="10"/>
      <c r="I4" s="10">
        <f t="shared" si="5"/>
        <v>22302</v>
      </c>
      <c r="J4" s="10">
        <f t="shared" si="3"/>
        <v>1535708358956.8057</v>
      </c>
      <c r="K4" s="11">
        <f t="shared" si="4"/>
        <v>3.1000000000001027E-3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68646864.65754053</v>
      </c>
      <c r="D5" s="11">
        <v>3.0999999999999999E-3</v>
      </c>
      <c r="E5" s="10">
        <f t="shared" si="2"/>
        <v>212147.62280768156</v>
      </c>
      <c r="F5" s="3"/>
      <c r="G5" s="11"/>
      <c r="H5" s="10"/>
      <c r="I5" s="10">
        <f t="shared" si="5"/>
        <v>22302</v>
      </c>
      <c r="J5" s="10">
        <f t="shared" si="3"/>
        <v>1530962375592.469</v>
      </c>
      <c r="K5" s="11">
        <f t="shared" si="4"/>
        <v>3.1000000000001027E-3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68434717.034732848</v>
      </c>
      <c r="D6" s="11">
        <v>4.7000000000000002E-3</v>
      </c>
      <c r="E6" s="10">
        <f t="shared" si="2"/>
        <v>320138.51902382076</v>
      </c>
      <c r="F6" s="3"/>
      <c r="G6" s="11"/>
      <c r="H6" s="10"/>
      <c r="I6" s="10">
        <f t="shared" si="5"/>
        <v>22302</v>
      </c>
      <c r="J6" s="10">
        <f t="shared" si="3"/>
        <v>1526231059308.6121</v>
      </c>
      <c r="K6" s="11">
        <f t="shared" si="4"/>
        <v>4.6999999999999265E-3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68114578.515709028</v>
      </c>
      <c r="D7" s="11">
        <v>4.7999999999999996E-3</v>
      </c>
      <c r="E7" s="10">
        <f t="shared" si="2"/>
        <v>325388.11392854154</v>
      </c>
      <c r="F7" s="3"/>
      <c r="G7" s="11"/>
      <c r="H7" s="10"/>
      <c r="I7" s="10">
        <f t="shared" si="5"/>
        <v>22302</v>
      </c>
      <c r="J7" s="10">
        <f t="shared" si="3"/>
        <v>1519091330057.3428</v>
      </c>
      <c r="K7" s="11">
        <f t="shared" si="4"/>
        <v>4.7999999999999154E-3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67789190.401780486</v>
      </c>
      <c r="D8" s="11">
        <v>4.5999999999999999E-3</v>
      </c>
      <c r="E8" s="10">
        <f t="shared" si="2"/>
        <v>310402.42469459772</v>
      </c>
      <c r="F8" s="3"/>
      <c r="G8" s="11"/>
      <c r="H8" s="10"/>
      <c r="I8" s="10">
        <f t="shared" si="5"/>
        <v>22302</v>
      </c>
      <c r="J8" s="10">
        <f t="shared" si="3"/>
        <v>1511834524340.5083</v>
      </c>
      <c r="K8" s="11">
        <f t="shared" si="4"/>
        <v>4.5999999999999375E-3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67478787.977085888</v>
      </c>
      <c r="D9" s="11">
        <v>4.3E-3</v>
      </c>
      <c r="E9" s="10">
        <f t="shared" si="2"/>
        <v>288916.44757688046</v>
      </c>
      <c r="F9" s="3"/>
      <c r="G9" s="11"/>
      <c r="H9" s="10"/>
      <c r="I9" s="10">
        <f t="shared" si="5"/>
        <v>22302</v>
      </c>
      <c r="J9" s="10">
        <f t="shared" si="3"/>
        <v>1504911929464.9695</v>
      </c>
      <c r="K9" s="11">
        <f t="shared" si="4"/>
        <v>4.2999999999999705E-3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67189871.529509008</v>
      </c>
      <c r="D10" s="11">
        <v>1.6000000000000001E-3</v>
      </c>
      <c r="E10" s="10">
        <f t="shared" si="2"/>
        <v>107332.0631461814</v>
      </c>
      <c r="F10" s="3"/>
      <c r="G10" s="11"/>
      <c r="H10" s="10"/>
      <c r="I10" s="10">
        <f t="shared" si="5"/>
        <v>22302</v>
      </c>
      <c r="J10" s="10">
        <f t="shared" si="3"/>
        <v>1498468514851.1099</v>
      </c>
      <c r="K10" s="11">
        <f t="shared" si="4"/>
        <v>1.6000000000000458E-3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67082539.466362827</v>
      </c>
      <c r="D11" s="11">
        <v>2.0999999999999999E-3</v>
      </c>
      <c r="E11" s="10">
        <f t="shared" si="2"/>
        <v>140578.11882981658</v>
      </c>
      <c r="F11" s="3"/>
      <c r="G11" s="11"/>
      <c r="H11" s="10"/>
      <c r="I11" s="10">
        <f t="shared" si="5"/>
        <v>22302</v>
      </c>
      <c r="J11" s="10">
        <f t="shared" si="3"/>
        <v>1496074795178.8237</v>
      </c>
      <c r="K11" s="11">
        <f t="shared" si="4"/>
        <v>2.0999999999999908E-3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66941961.34753301</v>
      </c>
      <c r="D12" s="11">
        <v>3.0000000000000001E-3</v>
      </c>
      <c r="E12" s="10">
        <f t="shared" si="2"/>
        <v>200225.20841734111</v>
      </c>
      <c r="F12" s="3"/>
      <c r="G12" s="11"/>
      <c r="H12" s="10"/>
      <c r="I12" s="10">
        <f t="shared" si="5"/>
        <v>22302</v>
      </c>
      <c r="J12" s="10">
        <f t="shared" si="3"/>
        <v>1492939621972.6812</v>
      </c>
      <c r="K12" s="11">
        <f t="shared" si="4"/>
        <v>2.9999999999998916E-3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66741736.139115669</v>
      </c>
      <c r="D13" s="11">
        <v>3.8E-3</v>
      </c>
      <c r="E13" s="10">
        <f t="shared" si="2"/>
        <v>252658.49504745752</v>
      </c>
      <c r="F13" s="3"/>
      <c r="G13" s="11"/>
      <c r="H13" s="10"/>
      <c r="I13" s="10">
        <f t="shared" si="5"/>
        <v>22302</v>
      </c>
      <c r="J13" s="10">
        <f t="shared" si="3"/>
        <v>1488474199374.5576</v>
      </c>
      <c r="K13" s="11">
        <f t="shared" si="4"/>
        <v>3.8000000000000256E-3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66489077.644068211</v>
      </c>
      <c r="D14" s="11">
        <v>4.5999999999999999E-3</v>
      </c>
      <c r="E14" s="10">
        <f t="shared" si="2"/>
        <v>304449.29042674601</v>
      </c>
      <c r="F14" s="3"/>
      <c r="G14" s="11"/>
      <c r="H14" s="10"/>
      <c r="I14" s="10">
        <f t="shared" si="5"/>
        <v>22302</v>
      </c>
      <c r="J14" s="10">
        <f t="shared" si="3"/>
        <v>1482839409618.0093</v>
      </c>
      <c r="K14" s="11">
        <f t="shared" si="4"/>
        <v>4.5999999999999375E-3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66184628.353641465</v>
      </c>
      <c r="D15" s="11">
        <v>6.0000000000000001E-3</v>
      </c>
      <c r="E15" s="10">
        <f t="shared" si="2"/>
        <v>394739.33411714435</v>
      </c>
      <c r="F15" s="3"/>
      <c r="G15" s="11"/>
      <c r="H15" s="10"/>
      <c r="I15" s="10">
        <f t="shared" si="5"/>
        <v>22302</v>
      </c>
      <c r="J15" s="10">
        <f t="shared" si="3"/>
        <v>1476049581542.9119</v>
      </c>
      <c r="K15" s="11">
        <f t="shared" si="4"/>
        <v>6.0000000000000053E-3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65789889.019524321</v>
      </c>
      <c r="D16" s="11">
        <v>7.1999999999999998E-3</v>
      </c>
      <c r="E16" s="10">
        <f t="shared" si="2"/>
        <v>470301.03349938244</v>
      </c>
      <c r="F16" s="3"/>
      <c r="G16" s="11"/>
      <c r="H16" s="10"/>
      <c r="I16" s="10">
        <f t="shared" si="5"/>
        <v>22302</v>
      </c>
      <c r="J16" s="10">
        <f t="shared" si="3"/>
        <v>1467246104913.4314</v>
      </c>
      <c r="K16" s="11">
        <f t="shared" si="4"/>
        <v>7.2000000000000952E-3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65319587.986024939</v>
      </c>
      <c r="D17" s="11">
        <v>6.1000000000000004E-3</v>
      </c>
      <c r="E17" s="10">
        <f t="shared" si="2"/>
        <v>396033.68125907332</v>
      </c>
      <c r="F17" s="3"/>
      <c r="G17" s="11"/>
      <c r="H17" s="10"/>
      <c r="I17" s="10">
        <f t="shared" si="5"/>
        <v>22302</v>
      </c>
      <c r="J17" s="10">
        <f t="shared" si="3"/>
        <v>1456757451264.3281</v>
      </c>
      <c r="K17" s="11">
        <f t="shared" si="4"/>
        <v>6.0999999999999943E-3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64923554.304765865</v>
      </c>
      <c r="D18" s="11">
        <v>6.4999999999999997E-3</v>
      </c>
      <c r="E18" s="10">
        <f t="shared" si="2"/>
        <v>419277.7972985357</v>
      </c>
      <c r="F18" s="3"/>
      <c r="G18" s="11"/>
      <c r="H18" s="10"/>
      <c r="I18" s="10">
        <f t="shared" si="5"/>
        <v>22302</v>
      </c>
      <c r="J18" s="10">
        <f t="shared" si="3"/>
        <v>1447925108104.8884</v>
      </c>
      <c r="K18" s="11">
        <f t="shared" si="4"/>
        <v>6.4999999999999503E-3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64504276.50746733</v>
      </c>
      <c r="D19" s="11">
        <v>7.1000000000000004E-3</v>
      </c>
      <c r="E19" s="10">
        <f t="shared" si="2"/>
        <v>454751.62665378302</v>
      </c>
      <c r="F19" s="3"/>
      <c r="G19" s="11"/>
      <c r="H19" s="10"/>
      <c r="I19" s="10">
        <f t="shared" si="5"/>
        <v>22302</v>
      </c>
      <c r="J19" s="10">
        <f t="shared" si="3"/>
        <v>1438574374669.5364</v>
      </c>
      <c r="K19" s="11">
        <f t="shared" si="4"/>
        <v>7.1000000000001062E-3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64049524.880813546</v>
      </c>
      <c r="D20" s="11">
        <v>7.7000000000000002E-3</v>
      </c>
      <c r="E20" s="10">
        <f t="shared" si="2"/>
        <v>489412.86254070699</v>
      </c>
      <c r="F20" s="3"/>
      <c r="G20" s="11"/>
      <c r="H20" s="10"/>
      <c r="I20" s="10">
        <f t="shared" si="5"/>
        <v>22302</v>
      </c>
      <c r="J20" s="10">
        <f t="shared" si="3"/>
        <v>1428432503891.9038</v>
      </c>
      <c r="K20" s="11">
        <f t="shared" si="4"/>
        <v>7.7000000000002622E-3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63560112.018272839</v>
      </c>
      <c r="D21" s="11">
        <v>8.2000000000000007E-3</v>
      </c>
      <c r="E21" s="10">
        <f t="shared" si="2"/>
        <v>516953.89659773558</v>
      </c>
      <c r="F21" s="3"/>
      <c r="G21" s="11"/>
      <c r="H21" s="10"/>
      <c r="I21" s="10">
        <f t="shared" si="5"/>
        <v>22302</v>
      </c>
      <c r="J21" s="10">
        <f t="shared" si="3"/>
        <v>1417517618231.5208</v>
      </c>
      <c r="K21" s="11">
        <f t="shared" si="4"/>
        <v>8.1999999999999851E-3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63043158.121675104</v>
      </c>
      <c r="D22" s="11">
        <v>8.3999999999999995E-3</v>
      </c>
      <c r="E22" s="10">
        <f t="shared" si="2"/>
        <v>525151.25765774399</v>
      </c>
      <c r="F22" s="3"/>
      <c r="G22" s="11"/>
      <c r="H22" s="10"/>
      <c r="I22" s="10">
        <f t="shared" si="5"/>
        <v>22302</v>
      </c>
      <c r="J22" s="10">
        <f t="shared" si="3"/>
        <v>1405988512429.5981</v>
      </c>
      <c r="K22" s="11">
        <f t="shared" si="4"/>
        <v>8.3999999999999631E-3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62518006.86401736</v>
      </c>
      <c r="D23" s="11">
        <v>7.6E-3</v>
      </c>
      <c r="E23" s="10">
        <f t="shared" si="2"/>
        <v>471553.04899417609</v>
      </c>
      <c r="F23" s="3"/>
      <c r="G23" s="11"/>
      <c r="H23" s="10"/>
      <c r="I23" s="10">
        <f t="shared" si="5"/>
        <v>22302</v>
      </c>
      <c r="J23" s="10">
        <f t="shared" si="3"/>
        <v>1394276589081.3152</v>
      </c>
      <c r="K23" s="11">
        <f t="shared" si="4"/>
        <v>7.6000000000000512E-3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62046453.815023184</v>
      </c>
      <c r="D24" s="11">
        <v>7.1000000000000004E-3</v>
      </c>
      <c r="E24" s="10">
        <f t="shared" si="2"/>
        <v>437424.11089928448</v>
      </c>
      <c r="F24" s="3"/>
      <c r="G24" s="11"/>
      <c r="H24" s="10"/>
      <c r="I24" s="10">
        <f t="shared" si="5"/>
        <v>22302</v>
      </c>
      <c r="J24" s="10">
        <f t="shared" si="3"/>
        <v>1383760012982.647</v>
      </c>
      <c r="K24" s="11">
        <f t="shared" si="4"/>
        <v>7.1000000000001062E-3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61609029.704123899</v>
      </c>
      <c r="D25" s="11">
        <v>6.8999999999999999E-3</v>
      </c>
      <c r="E25" s="10">
        <f t="shared" si="2"/>
        <v>422189.19948202372</v>
      </c>
      <c r="F25" s="3"/>
      <c r="G25" s="11"/>
      <c r="H25" s="10"/>
      <c r="I25" s="10">
        <f t="shared" si="5"/>
        <v>22302</v>
      </c>
      <c r="J25" s="10">
        <f t="shared" si="3"/>
        <v>1374004580461.3711</v>
      </c>
      <c r="K25" s="11">
        <f t="shared" si="4"/>
        <v>6.8999999999996842E-3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61186840.504641876</v>
      </c>
      <c r="D26" s="11">
        <v>6.1000000000000004E-3</v>
      </c>
      <c r="E26" s="10">
        <f t="shared" si="2"/>
        <v>370976.76878870279</v>
      </c>
      <c r="F26" s="3"/>
      <c r="G26" s="11"/>
      <c r="H26" s="10"/>
      <c r="I26" s="10">
        <f t="shared" si="5"/>
        <v>22302</v>
      </c>
      <c r="J26" s="10">
        <f t="shared" si="3"/>
        <v>1364588916934.5232</v>
      </c>
      <c r="K26" s="11">
        <f t="shared" si="4"/>
        <v>6.0999999999999943E-3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60815863.735853173</v>
      </c>
      <c r="D27" s="11">
        <v>5.1999999999999998E-3</v>
      </c>
      <c r="E27" s="10">
        <f t="shared" si="2"/>
        <v>314606.53743179888</v>
      </c>
      <c r="F27" s="3"/>
      <c r="G27" s="11"/>
      <c r="H27" s="10"/>
      <c r="I27" s="10">
        <f t="shared" si="5"/>
        <v>22302</v>
      </c>
      <c r="J27" s="10">
        <f t="shared" si="3"/>
        <v>1356315393036.9976</v>
      </c>
      <c r="K27" s="11">
        <f t="shared" si="4"/>
        <v>5.2000000000000934E-3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60501257.198421374</v>
      </c>
      <c r="D28" s="11">
        <v>5.0000000000000001E-3</v>
      </c>
      <c r="E28" s="10">
        <f t="shared" si="2"/>
        <v>301001.27959413081</v>
      </c>
      <c r="F28" s="3"/>
      <c r="G28" s="11"/>
      <c r="H28" s="10"/>
      <c r="I28" s="10">
        <f t="shared" si="5"/>
        <v>22302</v>
      </c>
      <c r="J28" s="10">
        <f t="shared" si="3"/>
        <v>1349299038039.1936</v>
      </c>
      <c r="K28" s="11">
        <f t="shared" si="4"/>
        <v>5.0000000000001155E-3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60200255.918827243</v>
      </c>
      <c r="D29" s="11">
        <v>4.4999999999999997E-3</v>
      </c>
      <c r="E29" s="10">
        <f t="shared" si="2"/>
        <v>269687.55762540549</v>
      </c>
      <c r="F29" s="3"/>
      <c r="G29" s="11"/>
      <c r="H29" s="10"/>
      <c r="I29" s="10">
        <f t="shared" si="5"/>
        <v>22302</v>
      </c>
      <c r="J29" s="10">
        <f t="shared" si="3"/>
        <v>1342586107501.6851</v>
      </c>
      <c r="K29" s="11">
        <f t="shared" si="4"/>
        <v>4.4999999999997264E-3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59930568.361201838</v>
      </c>
      <c r="D30" s="11">
        <v>4.3E-3</v>
      </c>
      <c r="E30" s="10">
        <f t="shared" si="2"/>
        <v>256598.07224252075</v>
      </c>
      <c r="F30" s="3"/>
      <c r="G30" s="11"/>
      <c r="H30" s="10"/>
      <c r="I30" s="10">
        <f t="shared" si="5"/>
        <v>22302</v>
      </c>
      <c r="J30" s="10">
        <f t="shared" si="3"/>
        <v>1336571535591.5234</v>
      </c>
      <c r="K30" s="11">
        <f t="shared" si="4"/>
        <v>4.2999999999999705E-3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59673970.288959317</v>
      </c>
      <c r="D31" s="11">
        <v>4.7999999999999996E-3</v>
      </c>
      <c r="E31" s="10">
        <f t="shared" si="2"/>
        <v>285066.73704916239</v>
      </c>
      <c r="F31" s="3"/>
      <c r="G31" s="11"/>
      <c r="H31" s="10"/>
      <c r="I31" s="10">
        <f t="shared" si="5"/>
        <v>22302</v>
      </c>
      <c r="J31" s="10">
        <f t="shared" si="3"/>
        <v>1330848885384.3706</v>
      </c>
      <c r="K31" s="11">
        <f t="shared" si="4"/>
        <v>4.7999999999999154E-3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59388903.551910155</v>
      </c>
      <c r="D32" s="11">
        <v>5.7000000000000002E-3</v>
      </c>
      <c r="E32" s="10">
        <f t="shared" si="2"/>
        <v>336598.14084308594</v>
      </c>
      <c r="F32" s="3"/>
      <c r="G32" s="11"/>
      <c r="H32" s="10"/>
      <c r="I32" s="10">
        <f t="shared" si="5"/>
        <v>22302</v>
      </c>
      <c r="J32" s="10">
        <f t="shared" si="3"/>
        <v>1324491327014.7002</v>
      </c>
      <c r="K32" s="11">
        <f t="shared" si="4"/>
        <v>5.7000000000000384E-3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59052305.411067069</v>
      </c>
      <c r="D33" s="11">
        <v>6.4999999999999997E-3</v>
      </c>
      <c r="E33" s="10">
        <f t="shared" si="2"/>
        <v>381361.13777638972</v>
      </c>
      <c r="F33" s="3"/>
      <c r="G33" s="11"/>
      <c r="H33" s="10"/>
      <c r="I33" s="10">
        <f t="shared" si="5"/>
        <v>22302</v>
      </c>
      <c r="J33" s="10">
        <f t="shared" si="3"/>
        <v>1316984515277.6177</v>
      </c>
      <c r="K33" s="11">
        <f t="shared" si="4"/>
        <v>6.4999999999999503E-3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58670944.273290679</v>
      </c>
      <c r="D34" s="11">
        <v>7.4000000000000003E-3</v>
      </c>
      <c r="E34" s="10">
        <f t="shared" si="2"/>
        <v>430975.76694694906</v>
      </c>
      <c r="F34" s="3"/>
      <c r="G34" s="11"/>
      <c r="H34" s="10"/>
      <c r="I34" s="10">
        <f t="shared" si="5"/>
        <v>22302</v>
      </c>
      <c r="J34" s="10">
        <f t="shared" ref="J34:J65" si="6">IF(I34="","",I34*C34)</f>
        <v>1308479399182.9287</v>
      </c>
      <c r="K34" s="11">
        <f t="shared" ref="K34:K65" si="7">IFERROR(J34/J35-1,"")</f>
        <v>7.4000000000000732E-3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58239968.50634373</v>
      </c>
      <c r="D35" s="11">
        <v>8.3000000000000001E-3</v>
      </c>
      <c r="E35" s="10">
        <f t="shared" si="2"/>
        <v>479412.61390721798</v>
      </c>
      <c r="F35" s="3"/>
      <c r="G35" s="11"/>
      <c r="H35" s="10"/>
      <c r="I35" s="10">
        <f t="shared" ref="I35:I66" si="8">IF(H35&lt;&gt;"",H35,I34/(1+IF(G34="",0,G34)))</f>
        <v>22302</v>
      </c>
      <c r="J35" s="10">
        <f t="shared" si="6"/>
        <v>1298867777628.4778</v>
      </c>
      <c r="K35" s="11">
        <f t="shared" si="7"/>
        <v>8.299999999999752E-3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57760555.892436512</v>
      </c>
      <c r="D36" s="11">
        <v>8.9999999999999993E-3</v>
      </c>
      <c r="E36" s="10">
        <f t="shared" si="2"/>
        <v>515208.12986315787</v>
      </c>
      <c r="F36" s="3"/>
      <c r="G36" s="11"/>
      <c r="H36" s="10"/>
      <c r="I36" s="10">
        <f t="shared" si="8"/>
        <v>22302</v>
      </c>
      <c r="J36" s="10">
        <f t="shared" si="6"/>
        <v>1288175917513.1191</v>
      </c>
      <c r="K36" s="11">
        <f t="shared" si="7"/>
        <v>9.000000000000119E-3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57245347.762573354</v>
      </c>
      <c r="D37" s="11">
        <v>9.4000000000000004E-3</v>
      </c>
      <c r="E37" s="10">
        <f t="shared" si="2"/>
        <v>533095.17432949692</v>
      </c>
      <c r="F37" s="3"/>
      <c r="G37" s="11"/>
      <c r="H37" s="10"/>
      <c r="I37" s="10">
        <f t="shared" si="8"/>
        <v>22302</v>
      </c>
      <c r="J37" s="10">
        <f t="shared" si="6"/>
        <v>1276685745800.9109</v>
      </c>
      <c r="K37" s="11">
        <f t="shared" si="7"/>
        <v>9.400000000000075E-3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56712252.588243857</v>
      </c>
      <c r="D38" s="11">
        <v>1.0200000000000001E-2</v>
      </c>
      <c r="E38" s="10">
        <f t="shared" si="2"/>
        <v>572624.20946355909</v>
      </c>
      <c r="F38" s="3"/>
      <c r="G38" s="11"/>
      <c r="H38" s="10"/>
      <c r="I38" s="10">
        <f t="shared" si="8"/>
        <v>22302</v>
      </c>
      <c r="J38" s="10">
        <f t="shared" si="6"/>
        <v>1264796657223.0144</v>
      </c>
      <c r="K38" s="11">
        <f t="shared" si="7"/>
        <v>1.0199999999999987E-2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56139628.378780298</v>
      </c>
      <c r="D39" s="11">
        <v>1.11E-2</v>
      </c>
      <c r="E39" s="10">
        <f t="shared" si="2"/>
        <v>616308.84680493176</v>
      </c>
      <c r="F39" s="3"/>
      <c r="G39" s="11"/>
      <c r="H39" s="10"/>
      <c r="I39" s="10">
        <f t="shared" si="8"/>
        <v>22302</v>
      </c>
      <c r="J39" s="10">
        <f t="shared" si="6"/>
        <v>1252025992103.5581</v>
      </c>
      <c r="K39" s="11">
        <f t="shared" si="7"/>
        <v>1.110000000000011E-2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55523319.531975366</v>
      </c>
      <c r="D40" s="11">
        <v>1.17E-2</v>
      </c>
      <c r="E40" s="10">
        <f t="shared" si="2"/>
        <v>642110.14977178723</v>
      </c>
      <c r="F40" s="3"/>
      <c r="G40" s="11"/>
      <c r="H40" s="10"/>
      <c r="I40" s="10">
        <f t="shared" si="8"/>
        <v>22302</v>
      </c>
      <c r="J40" s="10">
        <f t="shared" si="6"/>
        <v>1238281072202.1145</v>
      </c>
      <c r="K40" s="11">
        <f t="shared" si="7"/>
        <v>1.1700000000000044E-2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54881209.382203579</v>
      </c>
      <c r="D41" s="11">
        <v>1.17E-2</v>
      </c>
      <c r="E41" s="10">
        <f t="shared" si="2"/>
        <v>634684.34295916557</v>
      </c>
      <c r="F41" s="3"/>
      <c r="G41" s="11"/>
      <c r="H41" s="10"/>
      <c r="I41" s="10">
        <f t="shared" si="8"/>
        <v>22302</v>
      </c>
      <c r="J41" s="10">
        <f t="shared" si="6"/>
        <v>1223960731641.9043</v>
      </c>
      <c r="K41" s="11">
        <f t="shared" si="7"/>
        <v>1.1700000000000044E-2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54246525.039244413</v>
      </c>
      <c r="D42" s="11">
        <v>1.1299999999999999E-2</v>
      </c>
      <c r="E42" s="10">
        <f t="shared" si="2"/>
        <v>606136.3917170614</v>
      </c>
      <c r="F42" s="3"/>
      <c r="G42" s="11"/>
      <c r="H42" s="10"/>
      <c r="I42" s="10">
        <f t="shared" si="8"/>
        <v>22302</v>
      </c>
      <c r="J42" s="10">
        <f t="shared" si="6"/>
        <v>1209806001425.229</v>
      </c>
      <c r="K42" s="11">
        <f t="shared" si="7"/>
        <v>1.1300000000000088E-2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53640388.647527352</v>
      </c>
      <c r="D43" s="11">
        <v>1.23E-2</v>
      </c>
      <c r="E43" s="10">
        <f t="shared" si="2"/>
        <v>651760.13075628132</v>
      </c>
      <c r="F43" s="3"/>
      <c r="G43" s="11"/>
      <c r="H43" s="10"/>
      <c r="I43" s="10">
        <f t="shared" si="8"/>
        <v>22302</v>
      </c>
      <c r="J43" s="10">
        <f t="shared" si="6"/>
        <v>1196287947617.155</v>
      </c>
      <c r="K43" s="11">
        <f t="shared" si="7"/>
        <v>1.2299999999999978E-2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52988628.516771071</v>
      </c>
      <c r="D44" s="11">
        <v>1.34E-2</v>
      </c>
      <c r="E44" s="10">
        <f t="shared" si="2"/>
        <v>700658.79428136349</v>
      </c>
      <c r="F44" s="3"/>
      <c r="G44" s="11"/>
      <c r="H44" s="10"/>
      <c r="I44" s="10">
        <f t="shared" si="8"/>
        <v>22302</v>
      </c>
      <c r="J44" s="10">
        <f t="shared" si="6"/>
        <v>1181752393181.0283</v>
      </c>
      <c r="K44" s="11">
        <f t="shared" si="7"/>
        <v>1.3400000000000079E-2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52287969.722489707</v>
      </c>
      <c r="D45" s="11">
        <v>1.47E-2</v>
      </c>
      <c r="E45" s="10">
        <f t="shared" si="2"/>
        <v>757497.93527209759</v>
      </c>
      <c r="F45" s="3"/>
      <c r="G45" s="11"/>
      <c r="H45" s="10"/>
      <c r="I45" s="10">
        <f t="shared" si="8"/>
        <v>22302</v>
      </c>
      <c r="J45" s="10">
        <f t="shared" si="6"/>
        <v>1166126300750.9653</v>
      </c>
      <c r="K45" s="11">
        <f t="shared" si="7"/>
        <v>1.4699999999999935E-2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51530471.78721761</v>
      </c>
      <c r="D46" s="11">
        <v>1.46E-2</v>
      </c>
      <c r="E46" s="10">
        <f t="shared" si="2"/>
        <v>741518.71485646814</v>
      </c>
      <c r="F46" s="3"/>
      <c r="G46" s="11"/>
      <c r="H46" s="10"/>
      <c r="I46" s="10">
        <f t="shared" si="8"/>
        <v>22302</v>
      </c>
      <c r="J46" s="10">
        <f t="shared" si="6"/>
        <v>1149232581798.5271</v>
      </c>
      <c r="K46" s="11">
        <f t="shared" si="7"/>
        <v>1.4599999999999946E-2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50788953.072361141</v>
      </c>
      <c r="D47" s="11">
        <v>1.3299999999999999E-2</v>
      </c>
      <c r="E47" s="10">
        <f t="shared" si="2"/>
        <v>666626.9375924319</v>
      </c>
      <c r="F47" s="3"/>
      <c r="G47" s="11"/>
      <c r="H47" s="10"/>
      <c r="I47" s="10">
        <f t="shared" si="8"/>
        <v>22302</v>
      </c>
      <c r="J47" s="10">
        <f t="shared" si="6"/>
        <v>1132695231419.7981</v>
      </c>
      <c r="K47" s="11">
        <f t="shared" si="7"/>
        <v>1.330000000000009E-2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50122326.13476871</v>
      </c>
      <c r="D48" s="11">
        <v>1.26E-2</v>
      </c>
      <c r="E48" s="10">
        <f t="shared" si="2"/>
        <v>623682.90469887853</v>
      </c>
      <c r="F48" s="3"/>
      <c r="G48" s="11"/>
      <c r="H48" s="10"/>
      <c r="I48" s="10">
        <f t="shared" si="8"/>
        <v>22302</v>
      </c>
      <c r="J48" s="10">
        <f t="shared" si="6"/>
        <v>1117828117457.6118</v>
      </c>
      <c r="K48" s="11">
        <f t="shared" si="7"/>
        <v>1.2600000000000167E-2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49498643.230069831</v>
      </c>
      <c r="D49" s="11">
        <v>1.2800000000000001E-2</v>
      </c>
      <c r="E49" s="10">
        <f t="shared" si="2"/>
        <v>625575.26989029348</v>
      </c>
      <c r="F49" s="3"/>
      <c r="G49" s="11"/>
      <c r="H49" s="10"/>
      <c r="I49" s="10">
        <f t="shared" si="8"/>
        <v>22302</v>
      </c>
      <c r="J49" s="10">
        <f t="shared" si="6"/>
        <v>1103918741317.0173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48873067.960179538</v>
      </c>
      <c r="D50" s="11">
        <v>1.32E-2</v>
      </c>
      <c r="E50" s="10">
        <f t="shared" si="2"/>
        <v>636719.79577020556</v>
      </c>
      <c r="F50" s="3"/>
      <c r="G50" s="11"/>
      <c r="H50" s="10"/>
      <c r="I50" s="10">
        <f t="shared" si="8"/>
        <v>22302</v>
      </c>
      <c r="J50" s="10">
        <f t="shared" si="6"/>
        <v>1089967161647.9241</v>
      </c>
      <c r="K50" s="11">
        <f t="shared" si="7"/>
        <v>1.3200000000000101E-2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48236348.164409332</v>
      </c>
      <c r="D51" s="11">
        <v>1.2800000000000001E-2</v>
      </c>
      <c r="E51" s="10">
        <f t="shared" si="2"/>
        <v>609622.09370501339</v>
      </c>
      <c r="F51" s="3"/>
      <c r="G51" s="11"/>
      <c r="H51" s="10"/>
      <c r="I51" s="10">
        <f t="shared" si="8"/>
        <v>22302</v>
      </c>
      <c r="J51" s="10">
        <f t="shared" si="6"/>
        <v>1075767036762.657</v>
      </c>
      <c r="K51" s="11">
        <f t="shared" si="7"/>
        <v>1.2800000000000145E-2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47626726.070704319</v>
      </c>
      <c r="D52" s="11">
        <v>1.15E-2</v>
      </c>
      <c r="E52" s="10">
        <f t="shared" si="2"/>
        <v>541480.32606337219</v>
      </c>
      <c r="F52" s="3"/>
      <c r="G52" s="11"/>
      <c r="H52" s="10"/>
      <c r="I52" s="10">
        <f t="shared" si="8"/>
        <v>22302</v>
      </c>
      <c r="J52" s="10">
        <f t="shared" si="6"/>
        <v>1062171244828.8477</v>
      </c>
      <c r="K52" s="11">
        <f t="shared" si="7"/>
        <v>1.1499999999999844E-2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47085245.744640946</v>
      </c>
      <c r="D53" s="11">
        <v>1.3100000000000001E-2</v>
      </c>
      <c r="E53" s="10">
        <f t="shared" si="2"/>
        <v>608840.90342000127</v>
      </c>
      <c r="F53" s="3"/>
      <c r="G53" s="11"/>
      <c r="H53" s="10"/>
      <c r="I53" s="10">
        <f t="shared" si="8"/>
        <v>22302</v>
      </c>
      <c r="J53" s="10">
        <f t="shared" si="6"/>
        <v>1050095150596.9824</v>
      </c>
      <c r="K53" s="11">
        <f t="shared" si="7"/>
        <v>1.3100000000000112E-2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46476404.841220945</v>
      </c>
      <c r="D54" s="11">
        <v>1.37E-2</v>
      </c>
      <c r="E54" s="10">
        <f t="shared" si="2"/>
        <v>628121.48202104121</v>
      </c>
      <c r="F54" s="3"/>
      <c r="G54" s="11"/>
      <c r="H54" s="10"/>
      <c r="I54" s="10">
        <f t="shared" si="8"/>
        <v>22302</v>
      </c>
      <c r="J54" s="10">
        <f t="shared" si="6"/>
        <v>1036516780768.9095</v>
      </c>
      <c r="K54" s="11">
        <f t="shared" si="7"/>
        <v>1.3700000000000045E-2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45848283.359199904</v>
      </c>
      <c r="D55" s="11">
        <v>1.44E-2</v>
      </c>
      <c r="E55" s="10">
        <f t="shared" si="2"/>
        <v>650843.13916844875</v>
      </c>
      <c r="F55" s="3"/>
      <c r="G55" s="11"/>
      <c r="H55" s="10"/>
      <c r="I55" s="10">
        <f t="shared" si="8"/>
        <v>22302</v>
      </c>
      <c r="J55" s="10">
        <f t="shared" si="6"/>
        <v>1022508415476.8762</v>
      </c>
      <c r="K55" s="11">
        <f t="shared" si="7"/>
        <v>1.4399999999999968E-2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45197440.220031455</v>
      </c>
      <c r="D56" s="11">
        <v>1.52E-2</v>
      </c>
      <c r="E56" s="10">
        <f t="shared" si="2"/>
        <v>676715.02299495786</v>
      </c>
      <c r="F56" s="3"/>
      <c r="G56" s="11"/>
      <c r="H56" s="10"/>
      <c r="I56" s="10">
        <f t="shared" si="8"/>
        <v>22302</v>
      </c>
      <c r="J56" s="10">
        <f t="shared" si="6"/>
        <v>1007993311787.1415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44520725.197036497</v>
      </c>
      <c r="D57" s="11">
        <v>1.4800000000000001E-2</v>
      </c>
      <c r="E57" s="10">
        <f t="shared" si="2"/>
        <v>649297.13531349599</v>
      </c>
      <c r="F57" s="3"/>
      <c r="G57" s="11"/>
      <c r="H57" s="10"/>
      <c r="I57" s="10">
        <f t="shared" si="8"/>
        <v>22302</v>
      </c>
      <c r="J57" s="10">
        <f t="shared" si="6"/>
        <v>992901213344.30798</v>
      </c>
      <c r="K57" s="11">
        <f t="shared" si="7"/>
        <v>1.4799999999999924E-2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43871428.061723001</v>
      </c>
      <c r="D58" s="11">
        <v>1.3299999999999999E-2</v>
      </c>
      <c r="E58" s="10">
        <f t="shared" si="2"/>
        <v>575831.43513364345</v>
      </c>
      <c r="F58" s="3"/>
      <c r="G58" s="11"/>
      <c r="H58" s="10"/>
      <c r="I58" s="10">
        <f t="shared" si="8"/>
        <v>22302</v>
      </c>
      <c r="J58" s="10">
        <f t="shared" si="6"/>
        <v>978420588632.54639</v>
      </c>
      <c r="K58" s="11">
        <f t="shared" si="7"/>
        <v>1.330000000000009E-2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43295596.626589358</v>
      </c>
      <c r="D59" s="11">
        <v>1.2699999999999999E-2</v>
      </c>
      <c r="E59" s="10">
        <f t="shared" si="2"/>
        <v>542958.50415491313</v>
      </c>
      <c r="F59" s="3"/>
      <c r="G59" s="11"/>
      <c r="H59" s="10"/>
      <c r="I59" s="10">
        <f t="shared" si="8"/>
        <v>22302</v>
      </c>
      <c r="J59" s="10">
        <f t="shared" si="6"/>
        <v>965578395966.1958</v>
      </c>
      <c r="K59" s="11">
        <f t="shared" si="7"/>
        <v>1.2699999999999934E-2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42752638.122434445</v>
      </c>
      <c r="D60" s="11">
        <v>1.26E-2</v>
      </c>
      <c r="E60" s="10">
        <f t="shared" si="2"/>
        <v>531980.28870499134</v>
      </c>
      <c r="F60" s="3"/>
      <c r="G60" s="11"/>
      <c r="H60" s="10"/>
      <c r="I60" s="10">
        <f t="shared" si="8"/>
        <v>22302</v>
      </c>
      <c r="J60" s="10">
        <f t="shared" si="6"/>
        <v>953469335406.53296</v>
      </c>
      <c r="K60" s="11">
        <f t="shared" si="7"/>
        <v>1.2599999999999945E-2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42220657.833729453</v>
      </c>
      <c r="D61" s="11">
        <v>1.26E-2</v>
      </c>
      <c r="E61" s="10">
        <f t="shared" si="2"/>
        <v>525360.74333892018</v>
      </c>
      <c r="F61" s="3"/>
      <c r="G61" s="11"/>
      <c r="H61" s="10"/>
      <c r="I61" s="10">
        <f t="shared" si="8"/>
        <v>22302</v>
      </c>
      <c r="J61" s="10">
        <f t="shared" si="6"/>
        <v>941605111007.83423</v>
      </c>
      <c r="K61" s="11">
        <f t="shared" si="7"/>
        <v>1.2599999999999945E-2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41695297.090390533</v>
      </c>
      <c r="D62" s="11">
        <v>1.2500000000000001E-2</v>
      </c>
      <c r="E62" s="10">
        <f t="shared" si="2"/>
        <v>514756.75420235097</v>
      </c>
      <c r="F62" s="3"/>
      <c r="G62" s="11"/>
      <c r="H62" s="10"/>
      <c r="I62" s="10">
        <f t="shared" si="8"/>
        <v>22302</v>
      </c>
      <c r="J62" s="10">
        <f t="shared" si="6"/>
        <v>929888515709.88965</v>
      </c>
      <c r="K62" s="11">
        <f t="shared" si="7"/>
        <v>1.2499999999999956E-2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41180540.336188182</v>
      </c>
      <c r="D63" s="11">
        <v>1.32E-2</v>
      </c>
      <c r="E63" s="10">
        <f t="shared" si="2"/>
        <v>536501.3150786534</v>
      </c>
      <c r="F63" s="3"/>
      <c r="G63" s="11"/>
      <c r="H63" s="10"/>
      <c r="I63" s="10">
        <f t="shared" si="8"/>
        <v>22302</v>
      </c>
      <c r="J63" s="10">
        <f t="shared" si="6"/>
        <v>918408410577.66882</v>
      </c>
      <c r="K63" s="11">
        <f t="shared" si="7"/>
        <v>1.3200000000000323E-2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40644039.021109529</v>
      </c>
      <c r="D64" s="11">
        <v>1.43E-2</v>
      </c>
      <c r="E64" s="10">
        <f t="shared" si="2"/>
        <v>573015.63442952186</v>
      </c>
      <c r="F64" s="3"/>
      <c r="G64" s="11"/>
      <c r="H64" s="10"/>
      <c r="I64" s="10">
        <f t="shared" si="8"/>
        <v>22302</v>
      </c>
      <c r="J64" s="10">
        <f t="shared" si="6"/>
        <v>906443358248.78467</v>
      </c>
      <c r="K64" s="11">
        <f t="shared" si="7"/>
        <v>1.4299999999999757E-2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40071023.386680007</v>
      </c>
      <c r="D65" s="11">
        <v>1.5299999999999999E-2</v>
      </c>
      <c r="E65" s="10">
        <f t="shared" si="2"/>
        <v>603847.78668000549</v>
      </c>
      <c r="F65" s="3"/>
      <c r="G65" s="11"/>
      <c r="H65" s="10"/>
      <c r="I65" s="10">
        <f t="shared" si="8"/>
        <v>22302</v>
      </c>
      <c r="J65" s="10">
        <f t="shared" si="6"/>
        <v>893663963569.73755</v>
      </c>
      <c r="K65" s="11">
        <f t="shared" si="7"/>
        <v>1.5300000000000091E-2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39467175.600000001</v>
      </c>
      <c r="D66" s="11">
        <v>1.6199999999999999E-2</v>
      </c>
      <c r="E66" s="10">
        <f t="shared" si="2"/>
        <v>629175.60000000149</v>
      </c>
      <c r="F66" s="26">
        <f>SUM(F2)</f>
        <v>69480631</v>
      </c>
      <c r="G66" s="11"/>
      <c r="H66" s="10"/>
      <c r="I66" s="10">
        <f t="shared" si="8"/>
        <v>22302</v>
      </c>
      <c r="J66" s="10">
        <f t="shared" ref="J66:J97" si="9">IF(I66="","",I66*C66)</f>
        <v>880196950231.20007</v>
      </c>
      <c r="K66" s="11">
        <f t="shared" ref="K66:K97" si="10">IFERROR(J66/J67-1,"")</f>
        <v>1.6199999999999992E-2</v>
      </c>
    </row>
    <row r="67" spans="1:11" ht="22.5" customHeight="1">
      <c r="A67" s="3">
        <f t="shared" si="0"/>
        <v>1950</v>
      </c>
      <c r="B67" s="3">
        <v>1700</v>
      </c>
      <c r="C67" s="10">
        <v>38838000</v>
      </c>
      <c r="D67" s="11">
        <v>1.72E-2</v>
      </c>
      <c r="E67" s="3" t="s">
        <v>72</v>
      </c>
      <c r="F67" s="10">
        <f>SUM(C2)</f>
        <v>69480800.687140256</v>
      </c>
      <c r="G67" s="11"/>
      <c r="H67" s="10"/>
      <c r="I67" s="10">
        <f t="shared" ref="I67:I98" si="11">IF(H67&lt;&gt;"",H67,I66/(1+IF(G66="",0,G66)))</f>
        <v>22302</v>
      </c>
      <c r="J67" s="10">
        <f t="shared" si="9"/>
        <v>866165076000</v>
      </c>
      <c r="K67" s="11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5">
        <v>121753072</v>
      </c>
      <c r="G2" s="11"/>
      <c r="H2" s="10"/>
      <c r="I2" s="10">
        <f>IF(H2&lt;&gt;"",H2,3099)</f>
        <v>3099</v>
      </c>
      <c r="J2" s="10">
        <f t="shared" ref="J2:J33" si="3">IF(I2="","",I2*C2)</f>
        <v>377315159549.44312</v>
      </c>
      <c r="K2" s="11">
        <f t="shared" ref="K2:K33" si="4">IFERROR(J2/J3-1,"")</f>
        <v>2.9600000000000071E-2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11"/>
      <c r="H3" s="10"/>
      <c r="I3" s="10">
        <f t="shared" ref="I3:I34" si="5">IF(H3&lt;&gt;"",H3,I2/(1+IF(G2="",0,G2)))</f>
        <v>3099</v>
      </c>
      <c r="J3" s="10">
        <f t="shared" si="3"/>
        <v>366467715180.11176</v>
      </c>
      <c r="K3" s="11">
        <f t="shared" si="4"/>
        <v>2.8699999999999948E-2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11"/>
      <c r="H4" s="10"/>
      <c r="I4" s="10">
        <f t="shared" si="5"/>
        <v>3099</v>
      </c>
      <c r="J4" s="10">
        <f t="shared" si="3"/>
        <v>356243525984.36066</v>
      </c>
      <c r="K4" s="11">
        <f t="shared" si="4"/>
        <v>2.8000000000000025E-2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11"/>
      <c r="H5" s="10"/>
      <c r="I5" s="10">
        <f t="shared" si="5"/>
        <v>3099</v>
      </c>
      <c r="J5" s="10">
        <f t="shared" si="3"/>
        <v>346540394926.42084</v>
      </c>
      <c r="K5" s="11">
        <f t="shared" si="4"/>
        <v>2.7199999999999891E-2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11"/>
      <c r="H6" s="10"/>
      <c r="I6" s="10">
        <f t="shared" si="5"/>
        <v>3099</v>
      </c>
      <c r="J6" s="10">
        <f t="shared" si="3"/>
        <v>337364091633.97668</v>
      </c>
      <c r="K6" s="11">
        <f t="shared" si="4"/>
        <v>2.6299999999999768E-2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11"/>
      <c r="H7" s="10"/>
      <c r="I7" s="10">
        <f t="shared" si="5"/>
        <v>3099</v>
      </c>
      <c r="J7" s="10">
        <f t="shared" si="3"/>
        <v>328718787522.14435</v>
      </c>
      <c r="K7" s="11">
        <f t="shared" si="4"/>
        <v>2.5400000000000089E-2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11"/>
      <c r="H8" s="10"/>
      <c r="I8" s="10">
        <f t="shared" si="5"/>
        <v>3099</v>
      </c>
      <c r="J8" s="10">
        <f t="shared" si="3"/>
        <v>320576153230.09979</v>
      </c>
      <c r="K8" s="11">
        <f t="shared" si="4"/>
        <v>2.4699999999999944E-2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11"/>
      <c r="H9" s="10"/>
      <c r="I9" s="10">
        <f t="shared" si="5"/>
        <v>3099</v>
      </c>
      <c r="J9" s="10">
        <f t="shared" si="3"/>
        <v>312848788162.48639</v>
      </c>
      <c r="K9" s="11">
        <f t="shared" si="4"/>
        <v>2.3900000000000032E-2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11"/>
      <c r="H10" s="10"/>
      <c r="I10" s="10">
        <f t="shared" si="5"/>
        <v>3099</v>
      </c>
      <c r="J10" s="10">
        <f t="shared" si="3"/>
        <v>305546233189.263</v>
      </c>
      <c r="K10" s="11">
        <f t="shared" si="4"/>
        <v>2.3500000000000076E-2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11"/>
      <c r="H11" s="10"/>
      <c r="I11" s="10">
        <f t="shared" si="5"/>
        <v>3099</v>
      </c>
      <c r="J11" s="10">
        <f t="shared" si="3"/>
        <v>298530760321.70294</v>
      </c>
      <c r="K11" s="11">
        <f t="shared" si="4"/>
        <v>2.3500000000000298E-2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11"/>
      <c r="H12" s="10"/>
      <c r="I12" s="10">
        <f t="shared" si="5"/>
        <v>3099</v>
      </c>
      <c r="J12" s="10">
        <f t="shared" si="3"/>
        <v>291676365727.11566</v>
      </c>
      <c r="K12" s="11">
        <f t="shared" si="4"/>
        <v>2.3500000000000076E-2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11"/>
      <c r="H13" s="10"/>
      <c r="I13" s="10">
        <f t="shared" si="5"/>
        <v>3099</v>
      </c>
      <c r="J13" s="10">
        <f t="shared" si="3"/>
        <v>284979350979.10663</v>
      </c>
      <c r="K13" s="11">
        <f t="shared" si="4"/>
        <v>2.3800000000000043E-2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11"/>
      <c r="H14" s="10"/>
      <c r="I14" s="10">
        <f t="shared" si="5"/>
        <v>3099</v>
      </c>
      <c r="J14" s="10">
        <f t="shared" si="3"/>
        <v>278354513556.46283</v>
      </c>
      <c r="K14" s="11">
        <f t="shared" si="4"/>
        <v>2.4200000000000221E-2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11"/>
      <c r="H15" s="10"/>
      <c r="I15" s="10">
        <f t="shared" si="5"/>
        <v>3099</v>
      </c>
      <c r="J15" s="10">
        <f t="shared" si="3"/>
        <v>271777498102.38507</v>
      </c>
      <c r="K15" s="11">
        <f t="shared" si="4"/>
        <v>2.4999999999999911E-2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11"/>
      <c r="H16" s="10"/>
      <c r="I16" s="10">
        <f t="shared" si="5"/>
        <v>3099</v>
      </c>
      <c r="J16" s="10">
        <f t="shared" si="3"/>
        <v>265148778636.47324</v>
      </c>
      <c r="K16" s="11">
        <f t="shared" si="4"/>
        <v>2.5400000000000089E-2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11"/>
      <c r="H17" s="10"/>
      <c r="I17" s="10">
        <f t="shared" si="5"/>
        <v>3099</v>
      </c>
      <c r="J17" s="10">
        <f t="shared" si="3"/>
        <v>258580825664.59256</v>
      </c>
      <c r="K17" s="11">
        <f t="shared" si="4"/>
        <v>2.5800000000000045E-2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11"/>
      <c r="H18" s="10"/>
      <c r="I18" s="10">
        <f t="shared" si="5"/>
        <v>3099</v>
      </c>
      <c r="J18" s="10">
        <f t="shared" si="3"/>
        <v>252077233051.85471</v>
      </c>
      <c r="K18" s="11">
        <f t="shared" si="4"/>
        <v>2.6200000000000001E-2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11"/>
      <c r="H19" s="10"/>
      <c r="I19" s="10">
        <f t="shared" si="5"/>
        <v>3099</v>
      </c>
      <c r="J19" s="10">
        <f t="shared" si="3"/>
        <v>245641427647.49045</v>
      </c>
      <c r="K19" s="11">
        <f t="shared" si="4"/>
        <v>2.6499999999999968E-2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11"/>
      <c r="H20" s="10"/>
      <c r="I20" s="10">
        <f t="shared" si="5"/>
        <v>3099</v>
      </c>
      <c r="J20" s="10">
        <f t="shared" si="3"/>
        <v>239299978224.54013</v>
      </c>
      <c r="K20" s="11">
        <f t="shared" si="4"/>
        <v>2.6699999999999946E-2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11"/>
      <c r="H21" s="10"/>
      <c r="I21" s="10">
        <f t="shared" si="5"/>
        <v>3099</v>
      </c>
      <c r="J21" s="10">
        <f t="shared" si="3"/>
        <v>233076826945.1058</v>
      </c>
      <c r="K21" s="11">
        <f t="shared" si="4"/>
        <v>2.6699999999999946E-2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11"/>
      <c r="H22" s="10"/>
      <c r="I22" s="10">
        <f t="shared" si="5"/>
        <v>3099</v>
      </c>
      <c r="J22" s="10">
        <f t="shared" si="3"/>
        <v>227015512754.55911</v>
      </c>
      <c r="K22" s="11">
        <f t="shared" si="4"/>
        <v>2.7199999999999891E-2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11"/>
      <c r="H23" s="10"/>
      <c r="I23" s="10">
        <f t="shared" si="5"/>
        <v>3099</v>
      </c>
      <c r="J23" s="10">
        <f t="shared" si="3"/>
        <v>221004198553.89322</v>
      </c>
      <c r="K23" s="11">
        <f t="shared" si="4"/>
        <v>2.8399999999999981E-2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11"/>
      <c r="H24" s="10"/>
      <c r="I24" s="10">
        <f t="shared" si="5"/>
        <v>3099</v>
      </c>
      <c r="J24" s="10">
        <f t="shared" si="3"/>
        <v>214901009873.48621</v>
      </c>
      <c r="K24" s="11">
        <f t="shared" si="4"/>
        <v>2.970000000000006E-2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11"/>
      <c r="H25" s="10"/>
      <c r="I25" s="10">
        <f t="shared" si="5"/>
        <v>3099</v>
      </c>
      <c r="J25" s="10">
        <f t="shared" si="3"/>
        <v>208702544307.55188</v>
      </c>
      <c r="K25" s="11">
        <f t="shared" si="4"/>
        <v>3.0299999999999994E-2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11"/>
      <c r="H26" s="10"/>
      <c r="I26" s="10">
        <f t="shared" si="5"/>
        <v>3099</v>
      </c>
      <c r="J26" s="10">
        <f t="shared" si="3"/>
        <v>202564829959.77081</v>
      </c>
      <c r="K26" s="11">
        <f t="shared" si="4"/>
        <v>3.0099999999999794E-2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11"/>
      <c r="H27" s="10"/>
      <c r="I27" s="10">
        <f t="shared" si="5"/>
        <v>3099</v>
      </c>
      <c r="J27" s="10">
        <f t="shared" si="3"/>
        <v>196645791631.65793</v>
      </c>
      <c r="K27" s="11">
        <f t="shared" si="4"/>
        <v>2.9400000000000093E-2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11"/>
      <c r="H28" s="10"/>
      <c r="I28" s="10">
        <f t="shared" si="5"/>
        <v>3099</v>
      </c>
      <c r="J28" s="10">
        <f t="shared" si="3"/>
        <v>191029523636.73782</v>
      </c>
      <c r="K28" s="11">
        <f t="shared" si="4"/>
        <v>2.9099999999999904E-2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11"/>
      <c r="H29" s="10"/>
      <c r="I29" s="10">
        <f t="shared" si="5"/>
        <v>3099</v>
      </c>
      <c r="J29" s="10">
        <f t="shared" si="3"/>
        <v>185627755938.91541</v>
      </c>
      <c r="K29" s="11">
        <f t="shared" si="4"/>
        <v>2.9400000000000093E-2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11"/>
      <c r="H30" s="10"/>
      <c r="I30" s="10">
        <f t="shared" si="5"/>
        <v>3099</v>
      </c>
      <c r="J30" s="10">
        <f t="shared" si="3"/>
        <v>180326166639.70798</v>
      </c>
      <c r="K30" s="11">
        <f t="shared" si="4"/>
        <v>3.0300000000000216E-2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11"/>
      <c r="H31" s="10"/>
      <c r="I31" s="10">
        <f t="shared" si="5"/>
        <v>3099</v>
      </c>
      <c r="J31" s="10">
        <f t="shared" si="3"/>
        <v>175022970629.63016</v>
      </c>
      <c r="K31" s="11">
        <f t="shared" si="4"/>
        <v>3.1300000000000106E-2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11"/>
      <c r="H32" s="10"/>
      <c r="I32" s="10">
        <f t="shared" si="5"/>
        <v>3099</v>
      </c>
      <c r="J32" s="10">
        <f t="shared" si="3"/>
        <v>169711015834.02515</v>
      </c>
      <c r="K32" s="11">
        <f t="shared" si="4"/>
        <v>3.1699999999999839E-2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11"/>
      <c r="H33" s="10"/>
      <c r="I33" s="10">
        <f t="shared" si="5"/>
        <v>3099</v>
      </c>
      <c r="J33" s="10">
        <f t="shared" si="3"/>
        <v>164496477497.35889</v>
      </c>
      <c r="K33" s="11">
        <f t="shared" si="4"/>
        <v>3.1500000000000083E-2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11"/>
      <c r="H34" s="10"/>
      <c r="I34" s="10">
        <f t="shared" si="5"/>
        <v>3099</v>
      </c>
      <c r="J34" s="10">
        <f t="shared" ref="J34:J65" si="6">IF(I34="","",I34*C34)</f>
        <v>159473075615.47153</v>
      </c>
      <c r="K34" s="11">
        <f t="shared" ref="K34:K65" si="7">IFERROR(J34/J35-1,"")</f>
        <v>3.1200000000000117E-2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11"/>
      <c r="H35" s="10"/>
      <c r="I35" s="10">
        <f t="shared" ref="I35:I66" si="8">IF(H35&lt;&gt;"",H35,I34/(1+IF(G34="",0,G34)))</f>
        <v>3099</v>
      </c>
      <c r="J35" s="10">
        <f t="shared" si="6"/>
        <v>154648056260.15469</v>
      </c>
      <c r="K35" s="11">
        <f t="shared" si="7"/>
        <v>3.1099999999999905E-2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11"/>
      <c r="H36" s="10"/>
      <c r="I36" s="10">
        <f t="shared" si="8"/>
        <v>3099</v>
      </c>
      <c r="J36" s="10">
        <f t="shared" si="6"/>
        <v>149983567316.60818</v>
      </c>
      <c r="K36" s="11">
        <f t="shared" si="7"/>
        <v>3.1300000000000106E-2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11"/>
      <c r="H37" s="10"/>
      <c r="I37" s="10">
        <f t="shared" si="8"/>
        <v>3099</v>
      </c>
      <c r="J37" s="10">
        <f t="shared" si="6"/>
        <v>145431559504.12894</v>
      </c>
      <c r="K37" s="11">
        <f t="shared" si="7"/>
        <v>3.1300000000000106E-2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11"/>
      <c r="H38" s="10"/>
      <c r="I38" s="10">
        <f t="shared" si="8"/>
        <v>3099</v>
      </c>
      <c r="J38" s="10">
        <f t="shared" si="6"/>
        <v>141017705327.38187</v>
      </c>
      <c r="K38" s="11">
        <f t="shared" si="7"/>
        <v>3.1199999999999894E-2</v>
      </c>
      <c r="L38" t="inlineStr">
        <is>
          <t xml:space="preserve">Massiran Credit Crisis - cargo ships seized by Dahe; trade &amp; relations collapsed.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11"/>
      <c r="H39" s="10"/>
      <c r="I39" s="10">
        <f t="shared" si="8"/>
        <v>3099</v>
      </c>
      <c r="J39" s="10">
        <f t="shared" si="6"/>
        <v>136751071884.5829</v>
      </c>
      <c r="K39" s="11">
        <f t="shared" si="7"/>
        <v>3.0899999999999928E-2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11"/>
      <c r="H40" s="10"/>
      <c r="I40" s="10">
        <f t="shared" si="8"/>
        <v>3099</v>
      </c>
      <c r="J40" s="10">
        <f t="shared" si="6"/>
        <v>132652121335.32147</v>
      </c>
      <c r="K40" s="11">
        <f t="shared" si="7"/>
        <v>3.0299999999999994E-2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11"/>
      <c r="H41" s="10"/>
      <c r="I41" s="10">
        <f t="shared" si="8"/>
        <v>3099</v>
      </c>
      <c r="J41" s="10">
        <f t="shared" si="6"/>
        <v>128750967034.18565</v>
      </c>
      <c r="K41" s="11">
        <f t="shared" si="7"/>
        <v>2.9700000000000282E-2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11"/>
      <c r="H42" s="10"/>
      <c r="I42" s="10">
        <f t="shared" si="8"/>
        <v>3099</v>
      </c>
      <c r="J42" s="10">
        <f t="shared" si="6"/>
        <v>125037357515.96156</v>
      </c>
      <c r="K42" s="11">
        <f t="shared" si="7"/>
        <v>2.949999999999986E-2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11"/>
      <c r="H43" s="10"/>
      <c r="I43" s="10">
        <f t="shared" si="8"/>
        <v>3099</v>
      </c>
      <c r="J43" s="10">
        <f t="shared" si="6"/>
        <v>121454451205.40221</v>
      </c>
      <c r="K43" s="11">
        <f t="shared" si="7"/>
        <v>2.9800000000000049E-2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11"/>
      <c r="H44" s="10"/>
      <c r="I44" s="10">
        <f t="shared" si="8"/>
        <v>3099</v>
      </c>
      <c r="J44" s="10">
        <f t="shared" si="6"/>
        <v>117939843858.42125</v>
      </c>
      <c r="K44" s="11">
        <f t="shared" si="7"/>
        <v>2.9800000000000049E-2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11"/>
      <c r="H45" s="10"/>
      <c r="I45" s="10">
        <f t="shared" si="8"/>
        <v>3099</v>
      </c>
      <c r="J45" s="10">
        <f t="shared" si="6"/>
        <v>114526941016.14027</v>
      </c>
      <c r="K45" s="11">
        <f t="shared" si="7"/>
        <v>2.970000000000006E-2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11"/>
      <c r="H46" s="10"/>
      <c r="I46" s="10">
        <f t="shared" si="8"/>
        <v>3099</v>
      </c>
      <c r="J46" s="10">
        <f t="shared" si="6"/>
        <v>111223600093.36725</v>
      </c>
      <c r="K46" s="11">
        <f t="shared" si="7"/>
        <v>2.9300000000000104E-2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11"/>
      <c r="H47" s="10"/>
      <c r="I47" s="10">
        <f t="shared" si="8"/>
        <v>3099</v>
      </c>
      <c r="J47" s="10">
        <f t="shared" si="6"/>
        <v>108057514906.60374</v>
      </c>
      <c r="K47" s="11">
        <f t="shared" si="7"/>
        <v>2.8799999999999715E-2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11"/>
      <c r="H48" s="10"/>
      <c r="I48" s="10">
        <f t="shared" si="8"/>
        <v>3099</v>
      </c>
      <c r="J48" s="10">
        <f t="shared" si="6"/>
        <v>105032576697.70973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11"/>
      <c r="H49" s="10"/>
      <c r="I49" s="10">
        <f t="shared" si="8"/>
        <v>3099</v>
      </c>
      <c r="J49" s="10">
        <f t="shared" si="6"/>
        <v>102112168673.64352</v>
      </c>
      <c r="K49" s="11">
        <f t="shared" si="7"/>
        <v>2.8599999999999959E-2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11"/>
      <c r="H50" s="10"/>
      <c r="I50" s="10">
        <f t="shared" si="8"/>
        <v>3099</v>
      </c>
      <c r="J50" s="10">
        <f t="shared" si="6"/>
        <v>99272961961.543381</v>
      </c>
      <c r="K50" s="11">
        <f t="shared" si="7"/>
        <v>2.8599999999999959E-2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11"/>
      <c r="H51" s="10"/>
      <c r="I51" s="10">
        <f t="shared" si="8"/>
        <v>3099</v>
      </c>
      <c r="J51" s="10">
        <f t="shared" si="6"/>
        <v>96512698776.5345</v>
      </c>
      <c r="K51" s="11">
        <f t="shared" si="7"/>
        <v>2.849999999999997E-2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11"/>
      <c r="H52" s="10"/>
      <c r="I52" s="10">
        <f t="shared" si="8"/>
        <v>3099</v>
      </c>
      <c r="J52" s="10">
        <f t="shared" si="6"/>
        <v>93838307026.28537</v>
      </c>
      <c r="K52" s="11">
        <f t="shared" si="7"/>
        <v>2.8399999999999981E-2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11"/>
      <c r="H53" s="10"/>
      <c r="I53" s="10">
        <f t="shared" si="8"/>
        <v>3099</v>
      </c>
      <c r="J53" s="10">
        <f t="shared" si="6"/>
        <v>91246895202.533417</v>
      </c>
      <c r="K53" s="11">
        <f t="shared" si="7"/>
        <v>2.8100000000000014E-2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11"/>
      <c r="H54" s="10"/>
      <c r="I54" s="10">
        <f t="shared" si="8"/>
        <v>3099</v>
      </c>
      <c r="J54" s="10">
        <f t="shared" si="6"/>
        <v>88752937654.443558</v>
      </c>
      <c r="K54" s="11">
        <f t="shared" si="7"/>
        <v>2.7900000000000036E-2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11"/>
      <c r="H55" s="10"/>
      <c r="I55" s="10">
        <f t="shared" si="8"/>
        <v>3099</v>
      </c>
      <c r="J55" s="10">
        <f t="shared" si="6"/>
        <v>86343941681.5289</v>
      </c>
      <c r="K55" s="11">
        <f t="shared" si="7"/>
        <v>2.770000000000028E-2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11"/>
      <c r="H56" s="10"/>
      <c r="I56" s="10">
        <f t="shared" si="8"/>
        <v>3099</v>
      </c>
      <c r="J56" s="10">
        <f t="shared" si="6"/>
        <v>84016679655.083084</v>
      </c>
      <c r="K56" s="11">
        <f t="shared" si="7"/>
        <v>2.7199999999999669E-2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11"/>
      <c r="H57" s="10"/>
      <c r="I57" s="10">
        <f t="shared" si="8"/>
        <v>3099</v>
      </c>
      <c r="J57" s="10">
        <f t="shared" si="6"/>
        <v>81791938916.552872</v>
      </c>
      <c r="K57" s="11">
        <f t="shared" si="7"/>
        <v>2.6799999999999935E-2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11"/>
      <c r="H58" s="10"/>
      <c r="I58" s="10">
        <f t="shared" si="8"/>
        <v>3099</v>
      </c>
      <c r="J58" s="10">
        <f t="shared" si="6"/>
        <v>79657127889.124344</v>
      </c>
      <c r="K58" s="11">
        <f t="shared" si="7"/>
        <v>2.629999999999999E-2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11"/>
      <c r="H59" s="10"/>
      <c r="I59" s="10">
        <f t="shared" si="8"/>
        <v>3099</v>
      </c>
      <c r="J59" s="10">
        <f t="shared" si="6"/>
        <v>77615831520.144547</v>
      </c>
      <c r="K59" s="11">
        <f t="shared" si="7"/>
        <v>2.5700000000000056E-2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11"/>
      <c r="H60" s="10"/>
      <c r="I60" s="10">
        <f t="shared" si="8"/>
        <v>3099</v>
      </c>
      <c r="J60" s="10">
        <f t="shared" si="6"/>
        <v>75671084644.773849</v>
      </c>
      <c r="K60" s="11">
        <f t="shared" si="7"/>
        <v>2.5200000000000111E-2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11"/>
      <c r="H61" s="10"/>
      <c r="I61" s="10">
        <f t="shared" si="8"/>
        <v>3099</v>
      </c>
      <c r="J61" s="10">
        <f t="shared" si="6"/>
        <v>73811046278.554276</v>
      </c>
      <c r="K61" s="11">
        <f t="shared" si="7"/>
        <v>2.48999999999997E-2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11"/>
      <c r="H62" s="10"/>
      <c r="I62" s="10">
        <f t="shared" si="8"/>
        <v>3099</v>
      </c>
      <c r="J62" s="10">
        <f t="shared" si="6"/>
        <v>72017802984.246552</v>
      </c>
      <c r="K62" s="11">
        <f t="shared" si="7"/>
        <v>2.4599999999999955E-2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11"/>
      <c r="H63" s="10"/>
      <c r="I63" s="10">
        <f t="shared" si="8"/>
        <v>3099</v>
      </c>
      <c r="J63" s="10">
        <f t="shared" si="6"/>
        <v>70288700941.095596</v>
      </c>
      <c r="K63" s="11">
        <f t="shared" si="7"/>
        <v>2.4399999999999977E-2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11"/>
      <c r="H64" s="10"/>
      <c r="I64" s="10">
        <f t="shared" si="8"/>
        <v>3099</v>
      </c>
      <c r="J64" s="10">
        <f t="shared" si="6"/>
        <v>68614506971.00312</v>
      </c>
      <c r="K64" s="11">
        <f t="shared" si="7"/>
        <v>2.4299999999999988E-2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11"/>
      <c r="H65" s="10"/>
      <c r="I65" s="10">
        <f t="shared" si="8"/>
        <v>3099</v>
      </c>
      <c r="J65" s="10">
        <f t="shared" si="6"/>
        <v>66986729445.478004</v>
      </c>
      <c r="K65" s="11">
        <f t="shared" si="7"/>
        <v>2.4199999999999999E-2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6">
        <f>SUM(F2)</f>
        <v>121753072</v>
      </c>
      <c r="G66" s="11"/>
      <c r="H66" s="10"/>
      <c r="I66" s="10">
        <f t="shared" si="8"/>
        <v>3099</v>
      </c>
      <c r="J66" s="10">
        <f t="shared" ref="J66:J97" si="9">IF(I66="","",I66*C66)</f>
        <v>65403953764.380005</v>
      </c>
      <c r="K66" s="11">
        <f t="shared" ref="K66:K97" si="10">IFERROR(J66/J67-1,"")</f>
        <v>2.410000000000001E-2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11"/>
      <c r="H67" s="10"/>
      <c r="I67" s="10">
        <f t="shared" ref="I67:I98" si="11">IF(H67&lt;&gt;"",H67,I66/(1+IF(G66="",0,G66)))</f>
        <v>3099</v>
      </c>
      <c r="J67" s="10">
        <f t="shared" si="9"/>
        <v>63864811800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5">
        <v>17339111</v>
      </c>
      <c r="G2" s="11"/>
      <c r="H2" s="10"/>
      <c r="I2" s="10">
        <f>IF(H2&lt;&gt;"",H2,1337)</f>
        <v>1337</v>
      </c>
      <c r="J2" s="10">
        <f t="shared" ref="J2:J33" si="3">IF(I2="","",I2*C2)</f>
        <v>23183181618.727604</v>
      </c>
      <c r="K2" s="11">
        <f t="shared" ref="K2:K33" si="4">IFERROR(J2/J3-1,"")</f>
        <v>2.2799999999999931E-2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11"/>
      <c r="H3" s="10"/>
      <c r="I3" s="10">
        <f t="shared" ref="I3:I34" si="5">IF(H3&lt;&gt;"",H3,I2/(1+IF(G2="",0,G2)))</f>
        <v>1337</v>
      </c>
      <c r="J3" s="10">
        <f t="shared" si="3"/>
        <v>22666387972.944473</v>
      </c>
      <c r="K3" s="11">
        <f t="shared" si="4"/>
        <v>2.3800000000000043E-2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11"/>
      <c r="H4" s="10"/>
      <c r="I4" s="10">
        <f t="shared" si="5"/>
        <v>1337</v>
      </c>
      <c r="J4" s="10">
        <f t="shared" si="3"/>
        <v>22139468619.793388</v>
      </c>
      <c r="K4" s="11">
        <f t="shared" si="4"/>
        <v>2.4499999999999966E-2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11"/>
      <c r="H5" s="10"/>
      <c r="I5" s="10">
        <f t="shared" si="5"/>
        <v>1337</v>
      </c>
      <c r="J5" s="10">
        <f t="shared" si="3"/>
        <v>21610023054.947182</v>
      </c>
      <c r="K5" s="11">
        <f t="shared" si="4"/>
        <v>2.50999999999999E-2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11"/>
      <c r="H6" s="10"/>
      <c r="I6" s="10">
        <f t="shared" si="5"/>
        <v>1337</v>
      </c>
      <c r="J6" s="10">
        <f t="shared" si="3"/>
        <v>21080892649.446087</v>
      </c>
      <c r="K6" s="11">
        <f t="shared" si="4"/>
        <v>2.6000000000000023E-2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11"/>
      <c r="H7" s="10"/>
      <c r="I7" s="10">
        <f t="shared" si="5"/>
        <v>1337</v>
      </c>
      <c r="J7" s="10">
        <f t="shared" si="3"/>
        <v>20546678995.561489</v>
      </c>
      <c r="K7" s="11">
        <f t="shared" si="4"/>
        <v>2.7200000000000113E-2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11"/>
      <c r="H8" s="10"/>
      <c r="I8" s="10">
        <f t="shared" si="5"/>
        <v>1337</v>
      </c>
      <c r="J8" s="10">
        <f t="shared" si="3"/>
        <v>20002608056.426682</v>
      </c>
      <c r="K8" s="11">
        <f t="shared" si="4"/>
        <v>2.8100000000000014E-2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11"/>
      <c r="H9" s="10"/>
      <c r="I9" s="10">
        <f t="shared" si="5"/>
        <v>1337</v>
      </c>
      <c r="J9" s="10">
        <f t="shared" si="3"/>
        <v>19455897341.140629</v>
      </c>
      <c r="K9" s="11">
        <f t="shared" si="4"/>
        <v>2.7999999999999803E-2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11"/>
      <c r="H10" s="10"/>
      <c r="I10" s="10">
        <f t="shared" si="5"/>
        <v>1337</v>
      </c>
      <c r="J10" s="10">
        <f t="shared" si="3"/>
        <v>18925970176.206841</v>
      </c>
      <c r="K10" s="11">
        <f t="shared" si="4"/>
        <v>2.7400000000000313E-2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11"/>
      <c r="H11" s="10"/>
      <c r="I11" s="10">
        <f t="shared" si="5"/>
        <v>1337</v>
      </c>
      <c r="J11" s="10">
        <f t="shared" si="3"/>
        <v>18421228514.898613</v>
      </c>
      <c r="K11" s="11">
        <f t="shared" si="4"/>
        <v>2.6799999999999935E-2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11"/>
      <c r="H12" s="10"/>
      <c r="I12" s="10">
        <f t="shared" si="5"/>
        <v>1337</v>
      </c>
      <c r="J12" s="10">
        <f t="shared" si="3"/>
        <v>17940425121.638699</v>
      </c>
      <c r="K12" s="11">
        <f t="shared" si="4"/>
        <v>2.6399999999999979E-2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11"/>
      <c r="H13" s="10"/>
      <c r="I13" s="10">
        <f t="shared" si="5"/>
        <v>1337</v>
      </c>
      <c r="J13" s="10">
        <f t="shared" si="3"/>
        <v>17478980048.361942</v>
      </c>
      <c r="K13" s="11">
        <f t="shared" si="4"/>
        <v>2.6599999999999957E-2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11"/>
      <c r="H14" s="10"/>
      <c r="I14" s="10">
        <f t="shared" si="5"/>
        <v>1337</v>
      </c>
      <c r="J14" s="10">
        <f t="shared" si="3"/>
        <v>17026086156.596478</v>
      </c>
      <c r="K14" s="11">
        <f t="shared" si="4"/>
        <v>2.7600000000000069E-2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11"/>
      <c r="H15" s="10"/>
      <c r="I15" s="10">
        <f t="shared" si="5"/>
        <v>1337</v>
      </c>
      <c r="J15" s="10">
        <f t="shared" si="3"/>
        <v>16568787618.330553</v>
      </c>
      <c r="K15" s="11">
        <f t="shared" si="4"/>
        <v>2.8999999999999915E-2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11"/>
      <c r="H16" s="10"/>
      <c r="I16" s="10">
        <f t="shared" si="5"/>
        <v>1337</v>
      </c>
      <c r="J16" s="10">
        <f t="shared" si="3"/>
        <v>16101834420.146311</v>
      </c>
      <c r="K16" s="11">
        <f t="shared" si="4"/>
        <v>3.0299999999999994E-2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11"/>
      <c r="H17" s="10"/>
      <c r="I17" s="10">
        <f t="shared" si="5"/>
        <v>1337</v>
      </c>
      <c r="J17" s="10">
        <f t="shared" si="3"/>
        <v>15628297020.427362</v>
      </c>
      <c r="K17" s="11">
        <f t="shared" si="4"/>
        <v>3.1300000000000106E-2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11"/>
      <c r="H18" s="10"/>
      <c r="I18" s="10">
        <f t="shared" si="5"/>
        <v>1337</v>
      </c>
      <c r="J18" s="10">
        <f t="shared" si="3"/>
        <v>15153977523.928402</v>
      </c>
      <c r="K18" s="11">
        <f t="shared" si="4"/>
        <v>3.2100000000000017E-2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11"/>
      <c r="H19" s="10"/>
      <c r="I19" s="10">
        <f t="shared" si="5"/>
        <v>1337</v>
      </c>
      <c r="J19" s="10">
        <f t="shared" si="3"/>
        <v>14682664009.232052</v>
      </c>
      <c r="K19" s="11">
        <f t="shared" si="4"/>
        <v>3.2899999999999929E-2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11"/>
      <c r="H20" s="10"/>
      <c r="I20" s="10">
        <f t="shared" si="5"/>
        <v>1337</v>
      </c>
      <c r="J20" s="10">
        <f t="shared" si="3"/>
        <v>14214990811.532629</v>
      </c>
      <c r="K20" s="11">
        <f t="shared" si="4"/>
        <v>3.3099999999999907E-2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11"/>
      <c r="H21" s="10"/>
      <c r="I21" s="10">
        <f t="shared" si="5"/>
        <v>1337</v>
      </c>
      <c r="J21" s="10">
        <f t="shared" si="3"/>
        <v>13759549715.935175</v>
      </c>
      <c r="K21" s="11">
        <f t="shared" si="4"/>
        <v>3.2100000000000017E-2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11"/>
      <c r="H22" s="10"/>
      <c r="I22" s="10">
        <f t="shared" si="5"/>
        <v>1337</v>
      </c>
      <c r="J22" s="10">
        <f t="shared" si="3"/>
        <v>13331605189.356821</v>
      </c>
      <c r="K22" s="11">
        <f t="shared" si="4"/>
        <v>3.0299999999999994E-2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11"/>
      <c r="H23" s="10"/>
      <c r="I23" s="10">
        <f t="shared" si="5"/>
        <v>1337</v>
      </c>
      <c r="J23" s="10">
        <f t="shared" si="3"/>
        <v>12939537211.838125</v>
      </c>
      <c r="K23" s="11">
        <f t="shared" si="4"/>
        <v>2.7800000000000047E-2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11"/>
      <c r="H24" s="10"/>
      <c r="I24" s="10">
        <f t="shared" si="5"/>
        <v>1337</v>
      </c>
      <c r="J24" s="10">
        <f t="shared" si="3"/>
        <v>12589547783.457993</v>
      </c>
      <c r="K24" s="11">
        <f t="shared" si="4"/>
        <v>2.5500000000000078E-2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11"/>
      <c r="H25" s="10"/>
      <c r="I25" s="10">
        <f t="shared" si="5"/>
        <v>1337</v>
      </c>
      <c r="J25" s="10">
        <f t="shared" si="3"/>
        <v>12276497107.223785</v>
      </c>
      <c r="K25" s="11">
        <f t="shared" si="4"/>
        <v>2.3600000000000065E-2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11"/>
      <c r="H26" s="10"/>
      <c r="I26" s="10">
        <f t="shared" si="5"/>
        <v>1337</v>
      </c>
      <c r="J26" s="10">
        <f t="shared" si="3"/>
        <v>11993451648.323353</v>
      </c>
      <c r="K26" s="11">
        <f t="shared" si="4"/>
        <v>2.2399999999999975E-2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11"/>
      <c r="H27" s="10"/>
      <c r="I27" s="10">
        <f t="shared" si="5"/>
        <v>1337</v>
      </c>
      <c r="J27" s="10">
        <f t="shared" si="3"/>
        <v>11730684319.565096</v>
      </c>
      <c r="K27" s="11">
        <f t="shared" si="4"/>
        <v>2.2199999999999998E-2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11"/>
      <c r="H28" s="10"/>
      <c r="I28" s="10">
        <f t="shared" si="5"/>
        <v>1337</v>
      </c>
      <c r="J28" s="10">
        <f t="shared" si="3"/>
        <v>11475918919.551064</v>
      </c>
      <c r="K28" s="11">
        <f t="shared" si="4"/>
        <v>2.2999999999999909E-2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11"/>
      <c r="H29" s="10"/>
      <c r="I29" s="10">
        <f t="shared" si="5"/>
        <v>1337</v>
      </c>
      <c r="J29" s="10">
        <f t="shared" si="3"/>
        <v>11217907057.234667</v>
      </c>
      <c r="K29" s="11">
        <f t="shared" si="4"/>
        <v>2.4599999999999955E-2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11"/>
      <c r="H30" s="10"/>
      <c r="I30" s="10">
        <f t="shared" si="5"/>
        <v>1337</v>
      </c>
      <c r="J30" s="10">
        <f t="shared" si="3"/>
        <v>10948572181.568092</v>
      </c>
      <c r="K30" s="11">
        <f t="shared" si="4"/>
        <v>2.6699999999999946E-2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11"/>
      <c r="H31" s="10"/>
      <c r="I31" s="10">
        <f t="shared" si="5"/>
        <v>1337</v>
      </c>
      <c r="J31" s="10">
        <f t="shared" si="3"/>
        <v>10663847454.532085</v>
      </c>
      <c r="K31" s="11">
        <f t="shared" si="4"/>
        <v>2.8999999999999915E-2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11"/>
      <c r="H32" s="10"/>
      <c r="I32" s="10">
        <f t="shared" si="5"/>
        <v>1337</v>
      </c>
      <c r="J32" s="10">
        <f t="shared" si="3"/>
        <v>10363311423.257616</v>
      </c>
      <c r="K32" s="11">
        <f t="shared" si="4"/>
        <v>3.0899999999999928E-2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11"/>
      <c r="H33" s="10"/>
      <c r="I33" s="10">
        <f t="shared" si="5"/>
        <v>1337</v>
      </c>
      <c r="J33" s="10">
        <f t="shared" si="3"/>
        <v>10052683503.014469</v>
      </c>
      <c r="K33" s="11">
        <f t="shared" si="4"/>
        <v>3.2299999999999995E-2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11"/>
      <c r="H34" s="10"/>
      <c r="I34" s="10">
        <f t="shared" si="5"/>
        <v>1337</v>
      </c>
      <c r="J34" s="10">
        <f t="shared" ref="J34:J65" si="6">IF(I34="","",I34*C34)</f>
        <v>9738141531.5455475</v>
      </c>
      <c r="K34" s="11">
        <f t="shared" ref="K34:K65" si="7">IFERROR(J34/J35-1,"")</f>
        <v>3.3399999999999874E-2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11"/>
      <c r="H35" s="10"/>
      <c r="I35" s="10">
        <f t="shared" ref="I35:I66" si="8">IF(H35&lt;&gt;"",H35,I34/(1+IF(G34="",0,G34)))</f>
        <v>1337</v>
      </c>
      <c r="J35" s="10">
        <f t="shared" si="6"/>
        <v>9423399972.46521</v>
      </c>
      <c r="K35" s="11">
        <f t="shared" si="7"/>
        <v>3.4000000000000252E-2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11"/>
      <c r="H36" s="10"/>
      <c r="I36" s="10">
        <f t="shared" si="8"/>
        <v>1337</v>
      </c>
      <c r="J36" s="10">
        <f t="shared" si="6"/>
        <v>9113539625.2081318</v>
      </c>
      <c r="K36" s="11">
        <f t="shared" si="7"/>
        <v>3.4299999999999775E-2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11"/>
      <c r="H37" s="10"/>
      <c r="I37" s="10">
        <f t="shared" si="8"/>
        <v>1337</v>
      </c>
      <c r="J37" s="10">
        <f t="shared" si="6"/>
        <v>8811311636.0902386</v>
      </c>
      <c r="K37" s="11">
        <f t="shared" si="7"/>
        <v>3.3900000000000263E-2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11"/>
      <c r="H38" s="10"/>
      <c r="I38" s="10">
        <f t="shared" si="8"/>
        <v>1337</v>
      </c>
      <c r="J38" s="10">
        <f t="shared" si="6"/>
        <v>8522402201.4607182</v>
      </c>
      <c r="K38" s="11">
        <f t="shared" si="7"/>
        <v>3.3099999999999907E-2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11"/>
      <c r="H39" s="10"/>
      <c r="I39" s="10">
        <f t="shared" si="8"/>
        <v>1337</v>
      </c>
      <c r="J39" s="10">
        <f t="shared" si="6"/>
        <v>8249348757.5846663</v>
      </c>
      <c r="K39" s="11">
        <f t="shared" si="7"/>
        <v>3.2399999999999984E-2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11"/>
      <c r="H40" s="10"/>
      <c r="I40" s="10">
        <f t="shared" si="8"/>
        <v>1337</v>
      </c>
      <c r="J40" s="10">
        <f t="shared" si="6"/>
        <v>7990457920.9460154</v>
      </c>
      <c r="K40" s="11">
        <f t="shared" si="7"/>
        <v>3.2200000000000006E-2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11"/>
      <c r="H41" s="10"/>
      <c r="I41" s="10">
        <f t="shared" si="8"/>
        <v>1337</v>
      </c>
      <c r="J41" s="10">
        <f t="shared" si="6"/>
        <v>7741191552.9413052</v>
      </c>
      <c r="K41" s="11">
        <f t="shared" si="7"/>
        <v>3.2499999999999973E-2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11"/>
      <c r="H42" s="10"/>
      <c r="I42" s="10">
        <f t="shared" si="8"/>
        <v>1337</v>
      </c>
      <c r="J42" s="10">
        <f t="shared" si="6"/>
        <v>7497522085.1731768</v>
      </c>
      <c r="K42" s="11">
        <f t="shared" si="7"/>
        <v>3.2599999999999962E-2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11"/>
      <c r="H43" s="10"/>
      <c r="I43" s="10">
        <f t="shared" si="8"/>
        <v>1337</v>
      </c>
      <c r="J43" s="10">
        <f t="shared" si="6"/>
        <v>7260819373.5940123</v>
      </c>
      <c r="K43" s="11">
        <f t="shared" si="7"/>
        <v>3.1999999999999806E-2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11"/>
      <c r="H44" s="10"/>
      <c r="I44" s="10">
        <f t="shared" si="8"/>
        <v>1337</v>
      </c>
      <c r="J44" s="10">
        <f t="shared" si="6"/>
        <v>7035677687.5910978</v>
      </c>
      <c r="K44" s="11">
        <f t="shared" si="7"/>
        <v>3.0799999999999939E-2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11"/>
      <c r="H45" s="10"/>
      <c r="I45" s="10">
        <f t="shared" si="8"/>
        <v>1337</v>
      </c>
      <c r="J45" s="10">
        <f t="shared" si="6"/>
        <v>6825453713.2238054</v>
      </c>
      <c r="K45" s="11">
        <f t="shared" si="7"/>
        <v>2.9400000000000093E-2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11"/>
      <c r="H46" s="10"/>
      <c r="I46" s="10">
        <f t="shared" si="8"/>
        <v>1337</v>
      </c>
      <c r="J46" s="10">
        <f t="shared" si="6"/>
        <v>6630516527.3205795</v>
      </c>
      <c r="K46" s="11">
        <f t="shared" si="7"/>
        <v>2.8399999999999981E-2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11"/>
      <c r="H47" s="10"/>
      <c r="I47" s="10">
        <f t="shared" si="8"/>
        <v>1337</v>
      </c>
      <c r="J47" s="10">
        <f t="shared" si="6"/>
        <v>6447410081.0196228</v>
      </c>
      <c r="K47" s="11">
        <f t="shared" si="7"/>
        <v>2.8000000000000025E-2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11"/>
      <c r="H48" s="10"/>
      <c r="I48" s="10">
        <f t="shared" si="8"/>
        <v>1337</v>
      </c>
      <c r="J48" s="10">
        <f t="shared" si="6"/>
        <v>6271799689.7078037</v>
      </c>
      <c r="K48" s="11">
        <f t="shared" si="7"/>
        <v>2.8200000000000225E-2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11"/>
      <c r="H49" s="10"/>
      <c r="I49" s="10">
        <f t="shared" si="8"/>
        <v>1337</v>
      </c>
      <c r="J49" s="10">
        <f t="shared" si="6"/>
        <v>6099785732.0636091</v>
      </c>
      <c r="K49" s="11">
        <f t="shared" si="7"/>
        <v>2.8699999999999726E-2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11"/>
      <c r="H50" s="10"/>
      <c r="I50" s="10">
        <f t="shared" si="8"/>
        <v>1337</v>
      </c>
      <c r="J50" s="10">
        <f t="shared" si="6"/>
        <v>5929606038.7514439</v>
      </c>
      <c r="K50" s="11">
        <f t="shared" si="7"/>
        <v>2.9300000000000104E-2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11"/>
      <c r="H51" s="10"/>
      <c r="I51" s="10">
        <f t="shared" si="8"/>
        <v>1337</v>
      </c>
      <c r="J51" s="10">
        <f t="shared" si="6"/>
        <v>5760814183.1841478</v>
      </c>
      <c r="K51" s="11">
        <f t="shared" si="7"/>
        <v>2.9800000000000049E-2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11"/>
      <c r="H52" s="10"/>
      <c r="I52" s="10">
        <f t="shared" si="8"/>
        <v>1337</v>
      </c>
      <c r="J52" s="10">
        <f t="shared" si="6"/>
        <v>5594109713.7154274</v>
      </c>
      <c r="K52" s="11">
        <f t="shared" si="7"/>
        <v>3.0099999999999794E-2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11"/>
      <c r="H53" s="10"/>
      <c r="I53" s="10">
        <f t="shared" si="8"/>
        <v>1337</v>
      </c>
      <c r="J53" s="10">
        <f t="shared" si="6"/>
        <v>5430647232.0312862</v>
      </c>
      <c r="K53" s="11">
        <f t="shared" si="7"/>
        <v>3.0299999999999994E-2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11"/>
      <c r="H54" s="10"/>
      <c r="I54" s="10">
        <f t="shared" si="8"/>
        <v>1337</v>
      </c>
      <c r="J54" s="10">
        <f t="shared" si="6"/>
        <v>5270937816.2004137</v>
      </c>
      <c r="K54" s="11">
        <f t="shared" si="7"/>
        <v>3.0399999999999983E-2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11"/>
      <c r="H55" s="10"/>
      <c r="I55" s="10">
        <f t="shared" si="8"/>
        <v>1337</v>
      </c>
      <c r="J55" s="10">
        <f t="shared" si="6"/>
        <v>5115428781.2504015</v>
      </c>
      <c r="K55" s="11">
        <f t="shared" si="7"/>
        <v>3.0499999999999972E-2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11"/>
      <c r="H56" s="10"/>
      <c r="I56" s="10">
        <f t="shared" si="8"/>
        <v>1337</v>
      </c>
      <c r="J56" s="10">
        <f t="shared" si="6"/>
        <v>4964025988.5981579</v>
      </c>
      <c r="K56" s="11">
        <f t="shared" si="7"/>
        <v>3.0499999999999972E-2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11"/>
      <c r="H57" s="10"/>
      <c r="I57" s="10">
        <f t="shared" si="8"/>
        <v>1337</v>
      </c>
      <c r="J57" s="10">
        <f t="shared" si="6"/>
        <v>4817104307.2277126</v>
      </c>
      <c r="K57" s="11">
        <f t="shared" si="7"/>
        <v>3.0499999999999972E-2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11"/>
      <c r="H58" s="10"/>
      <c r="I58" s="10">
        <f t="shared" si="8"/>
        <v>1337</v>
      </c>
      <c r="J58" s="10">
        <f t="shared" si="6"/>
        <v>4674531108.4208755</v>
      </c>
      <c r="K58" s="11">
        <f t="shared" si="7"/>
        <v>3.0299999999999994E-2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11"/>
      <c r="H59" s="10"/>
      <c r="I59" s="10">
        <f t="shared" si="8"/>
        <v>1337</v>
      </c>
      <c r="J59" s="10">
        <f t="shared" si="6"/>
        <v>4537058243.6386251</v>
      </c>
      <c r="K59" s="11">
        <f t="shared" si="7"/>
        <v>2.9899999999999816E-2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11"/>
      <c r="H60" s="10"/>
      <c r="I60" s="10">
        <f t="shared" si="8"/>
        <v>1337</v>
      </c>
      <c r="J60" s="10">
        <f t="shared" si="6"/>
        <v>4405338618.9325428</v>
      </c>
      <c r="K60" s="11">
        <f t="shared" si="7"/>
        <v>2.9400000000000093E-2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11"/>
      <c r="H61" s="10"/>
      <c r="I61" s="10">
        <f t="shared" si="8"/>
        <v>1337</v>
      </c>
      <c r="J61" s="10">
        <f t="shared" si="6"/>
        <v>4279520710.0568705</v>
      </c>
      <c r="K61" s="11">
        <f t="shared" si="7"/>
        <v>2.8799999999999937E-2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11"/>
      <c r="H62" s="10"/>
      <c r="I62" s="10">
        <f t="shared" si="8"/>
        <v>1337</v>
      </c>
      <c r="J62" s="10">
        <f t="shared" si="6"/>
        <v>4159720752.3880935</v>
      </c>
      <c r="K62" s="11">
        <f t="shared" si="7"/>
        <v>2.8299999999999992E-2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11"/>
      <c r="H63" s="10"/>
      <c r="I63" s="10">
        <f t="shared" si="8"/>
        <v>1337</v>
      </c>
      <c r="J63" s="10">
        <f t="shared" si="6"/>
        <v>4045240447.7176833</v>
      </c>
      <c r="K63" s="11">
        <f t="shared" si="7"/>
        <v>2.7700000000000058E-2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11"/>
      <c r="H64" s="10"/>
      <c r="I64" s="10">
        <f t="shared" si="8"/>
        <v>1337</v>
      </c>
      <c r="J64" s="10">
        <f t="shared" si="6"/>
        <v>3936207499.968554</v>
      </c>
      <c r="K64" s="11">
        <f t="shared" si="7"/>
        <v>2.7200000000000113E-2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11"/>
      <c r="H65" s="10"/>
      <c r="I65" s="10">
        <f t="shared" si="8"/>
        <v>1337</v>
      </c>
      <c r="J65" s="10">
        <f t="shared" si="6"/>
        <v>3831977706.3556795</v>
      </c>
      <c r="K65" s="11">
        <f t="shared" si="7"/>
        <v>2.6799999999999935E-2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6">
        <f>SUM(F2)</f>
        <v>17339111</v>
      </c>
      <c r="G66" s="11"/>
      <c r="H66" s="10"/>
      <c r="I66" s="10">
        <f t="shared" si="8"/>
        <v>1337</v>
      </c>
      <c r="J66" s="10">
        <f t="shared" ref="J66:J97" si="9">IF(I66="","",I66*C66)</f>
        <v>3731961147.5999999</v>
      </c>
      <c r="K66" s="11">
        <f t="shared" ref="K66:K97" si="10">IFERROR(J66/J67-1,"")</f>
        <v>2.6399999999999979E-2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11"/>
      <c r="H67" s="10"/>
      <c r="I67" s="10">
        <f t="shared" ref="I67:I98" si="11">IF(H67&lt;&gt;"",H67,I66/(1+IF(G66="",0,G66)))</f>
        <v>1337</v>
      </c>
      <c r="J67" s="10">
        <f t="shared" si="9"/>
        <v>3635971500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5">
        <v>17219177</v>
      </c>
      <c r="G2" s="11"/>
      <c r="H2" s="10"/>
      <c r="I2" s="10">
        <f>IF(H2&lt;&gt;"",H2,7381)</f>
        <v>7381</v>
      </c>
      <c r="J2" s="10">
        <f t="shared" ref="J2:J33" si="3">IF(I2="","",I2*C2)</f>
        <v>127099350801.3222</v>
      </c>
      <c r="K2" s="11">
        <f t="shared" ref="K2:K33" si="4">IFERROR(J2/J3-1,"")</f>
        <v>1.4899999999999913E-2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11"/>
      <c r="H3" s="10"/>
      <c r="I3" s="10">
        <f t="shared" ref="I3:I34" si="5">IF(H3&lt;&gt;"",H3,I2/(1+IF(G2="",0,G2)))</f>
        <v>7381</v>
      </c>
      <c r="J3" s="10">
        <f t="shared" si="3"/>
        <v>125233373535.64116</v>
      </c>
      <c r="K3" s="11">
        <f t="shared" si="4"/>
        <v>1.5099999999999891E-2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11"/>
      <c r="H4" s="10"/>
      <c r="I4" s="10">
        <f t="shared" si="5"/>
        <v>7381</v>
      </c>
      <c r="J4" s="10">
        <f t="shared" si="3"/>
        <v>123370479298.23779</v>
      </c>
      <c r="K4" s="11">
        <f t="shared" si="4"/>
        <v>1.5300000000000091E-2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11"/>
      <c r="H5" s="10"/>
      <c r="I5" s="10">
        <f t="shared" si="5"/>
        <v>7381</v>
      </c>
      <c r="J5" s="10">
        <f t="shared" si="3"/>
        <v>121511355558.19736</v>
      </c>
      <c r="K5" s="11">
        <f t="shared" si="4"/>
        <v>1.5500000000000069E-2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11"/>
      <c r="H6" s="10"/>
      <c r="I6" s="10">
        <f t="shared" si="5"/>
        <v>7381</v>
      </c>
      <c r="J6" s="10">
        <f t="shared" si="3"/>
        <v>119656677063.70985</v>
      </c>
      <c r="K6" s="11">
        <f t="shared" si="4"/>
        <v>1.5600000000000058E-2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11"/>
      <c r="H7" s="10"/>
      <c r="I7" s="10">
        <f t="shared" si="5"/>
        <v>7381</v>
      </c>
      <c r="J7" s="10">
        <f t="shared" si="3"/>
        <v>117818705261.62845</v>
      </c>
      <c r="K7" s="11">
        <f t="shared" si="4"/>
        <v>1.5800000000000036E-2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11"/>
      <c r="H8" s="10"/>
      <c r="I8" s="10">
        <f t="shared" si="5"/>
        <v>7381</v>
      </c>
      <c r="J8" s="10">
        <f t="shared" si="3"/>
        <v>115986124494.61356</v>
      </c>
      <c r="K8" s="11">
        <f t="shared" si="4"/>
        <v>1.6100000000000003E-2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11"/>
      <c r="H9" s="10"/>
      <c r="I9" s="10">
        <f t="shared" si="5"/>
        <v>7381</v>
      </c>
      <c r="J9" s="10">
        <f t="shared" si="3"/>
        <v>114148336280.49754</v>
      </c>
      <c r="K9" s="11">
        <f t="shared" si="4"/>
        <v>1.6400000000000192E-2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11"/>
      <c r="H10" s="10"/>
      <c r="I10" s="10">
        <f t="shared" si="5"/>
        <v>7381</v>
      </c>
      <c r="J10" s="10">
        <f t="shared" si="3"/>
        <v>112306509524.29903</v>
      </c>
      <c r="K10" s="11">
        <f t="shared" si="4"/>
        <v>1.6699999999999937E-2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11"/>
      <c r="H11" s="10"/>
      <c r="I11" s="10">
        <f t="shared" si="5"/>
        <v>7381</v>
      </c>
      <c r="J11" s="10">
        <f t="shared" si="3"/>
        <v>110461797505.94968</v>
      </c>
      <c r="K11" s="11">
        <f t="shared" si="4"/>
        <v>1.7099999999999893E-2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11"/>
      <c r="H12" s="10"/>
      <c r="I12" s="10">
        <f t="shared" si="5"/>
        <v>7381</v>
      </c>
      <c r="J12" s="10">
        <f t="shared" si="3"/>
        <v>108604657856.60179</v>
      </c>
      <c r="K12" s="11">
        <f t="shared" si="4"/>
        <v>1.7599999999999838E-2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11"/>
      <c r="H13" s="10"/>
      <c r="I13" s="10">
        <f t="shared" si="5"/>
        <v>7381</v>
      </c>
      <c r="J13" s="10">
        <f t="shared" si="3"/>
        <v>106726275409.39642</v>
      </c>
      <c r="K13" s="11">
        <f t="shared" si="4"/>
        <v>1.8199999999999994E-2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11"/>
      <c r="H14" s="10"/>
      <c r="I14" s="10">
        <f t="shared" si="5"/>
        <v>7381</v>
      </c>
      <c r="J14" s="10">
        <f t="shared" si="3"/>
        <v>104818577302.49109</v>
      </c>
      <c r="K14" s="11">
        <f t="shared" si="4"/>
        <v>1.8899999999999917E-2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11"/>
      <c r="H15" s="10"/>
      <c r="I15" s="10">
        <f t="shared" si="5"/>
        <v>7381</v>
      </c>
      <c r="J15" s="10">
        <f t="shared" si="3"/>
        <v>102874253903.71095</v>
      </c>
      <c r="K15" s="11">
        <f t="shared" si="4"/>
        <v>1.9500000000000073E-2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11"/>
      <c r="H16" s="10"/>
      <c r="I16" s="10">
        <f t="shared" si="5"/>
        <v>7381</v>
      </c>
      <c r="J16" s="10">
        <f t="shared" si="3"/>
        <v>100906575677.99014</v>
      </c>
      <c r="K16" s="11">
        <f t="shared" si="4"/>
        <v>2.0099999999999785E-2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11"/>
      <c r="H17" s="10"/>
      <c r="I17" s="10">
        <f t="shared" si="5"/>
        <v>7381</v>
      </c>
      <c r="J17" s="10">
        <f t="shared" si="3"/>
        <v>98918317496.31424</v>
      </c>
      <c r="K17" s="11">
        <f t="shared" si="4"/>
        <v>2.0599999999999952E-2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11"/>
      <c r="H18" s="10"/>
      <c r="I18" s="10">
        <f t="shared" si="5"/>
        <v>7381</v>
      </c>
      <c r="J18" s="10">
        <f t="shared" si="3"/>
        <v>96921729861.174057</v>
      </c>
      <c r="K18" s="11">
        <f t="shared" si="4"/>
        <v>2.1099999999999897E-2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11"/>
      <c r="H19" s="10"/>
      <c r="I19" s="10">
        <f t="shared" si="5"/>
        <v>7381</v>
      </c>
      <c r="J19" s="10">
        <f t="shared" si="3"/>
        <v>94918940222.479736</v>
      </c>
      <c r="K19" s="11">
        <f t="shared" si="4"/>
        <v>2.1600000000000064E-2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11"/>
      <c r="H20" s="10"/>
      <c r="I20" s="10">
        <f t="shared" si="5"/>
        <v>7381</v>
      </c>
      <c r="J20" s="10">
        <f t="shared" si="3"/>
        <v>92912040155.128952</v>
      </c>
      <c r="K20" s="11">
        <f t="shared" si="4"/>
        <v>2.2100000000000009E-2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11"/>
      <c r="H21" s="10"/>
      <c r="I21" s="10">
        <f t="shared" si="5"/>
        <v>7381</v>
      </c>
      <c r="J21" s="10">
        <f t="shared" si="3"/>
        <v>90903082042.000732</v>
      </c>
      <c r="K21" s="11">
        <f t="shared" si="4"/>
        <v>2.2599999999999953E-2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11"/>
      <c r="H22" s="10"/>
      <c r="I22" s="10">
        <f t="shared" si="5"/>
        <v>7381</v>
      </c>
      <c r="J22" s="10">
        <f t="shared" si="3"/>
        <v>88894075926.071518</v>
      </c>
      <c r="K22" s="11">
        <f t="shared" si="4"/>
        <v>2.2999999999999909E-2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11"/>
      <c r="H23" s="10"/>
      <c r="I23" s="10">
        <f t="shared" si="5"/>
        <v>7381</v>
      </c>
      <c r="J23" s="10">
        <f t="shared" si="3"/>
        <v>86895479888.632965</v>
      </c>
      <c r="K23" s="11">
        <f t="shared" si="4"/>
        <v>2.3399999999999865E-2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11"/>
      <c r="H24" s="10"/>
      <c r="I24" s="10">
        <f t="shared" si="5"/>
        <v>7381</v>
      </c>
      <c r="J24" s="10">
        <f t="shared" si="3"/>
        <v>84908618222.232727</v>
      </c>
      <c r="K24" s="11">
        <f t="shared" si="4"/>
        <v>2.3700000000000054E-2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11"/>
      <c r="H25" s="10"/>
      <c r="I25" s="10">
        <f t="shared" si="5"/>
        <v>7381</v>
      </c>
      <c r="J25" s="10">
        <f t="shared" si="3"/>
        <v>82942872152.224991</v>
      </c>
      <c r="K25" s="11">
        <f t="shared" si="4"/>
        <v>2.3900000000000032E-2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11"/>
      <c r="H26" s="10"/>
      <c r="I26" s="10">
        <f t="shared" si="5"/>
        <v>7381</v>
      </c>
      <c r="J26" s="10">
        <f t="shared" si="3"/>
        <v>81006809407.388397</v>
      </c>
      <c r="K26" s="11">
        <f t="shared" si="4"/>
        <v>2.410000000000001E-2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11"/>
      <c r="H27" s="10"/>
      <c r="I27" s="10">
        <f t="shared" si="5"/>
        <v>7381</v>
      </c>
      <c r="J27" s="10">
        <f t="shared" si="3"/>
        <v>79100487654.905182</v>
      </c>
      <c r="K27" s="11">
        <f t="shared" si="4"/>
        <v>2.4199999999999999E-2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11"/>
      <c r="H28" s="10"/>
      <c r="I28" s="10">
        <f t="shared" si="5"/>
        <v>7381</v>
      </c>
      <c r="J28" s="10">
        <f t="shared" si="3"/>
        <v>77231485700.942383</v>
      </c>
      <c r="K28" s="11">
        <f t="shared" si="4"/>
        <v>2.4199999999999999E-2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11"/>
      <c r="H29" s="10"/>
      <c r="I29" s="10">
        <f t="shared" si="5"/>
        <v>7381</v>
      </c>
      <c r="J29" s="10">
        <f t="shared" si="3"/>
        <v>75406644894.49559</v>
      </c>
      <c r="K29" s="11">
        <f t="shared" si="4"/>
        <v>2.4200000000000221E-2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11"/>
      <c r="H30" s="10"/>
      <c r="I30" s="10">
        <f t="shared" si="5"/>
        <v>7381</v>
      </c>
      <c r="J30" s="10">
        <f t="shared" si="3"/>
        <v>73624921787.244263</v>
      </c>
      <c r="K30" s="11">
        <f t="shared" si="4"/>
        <v>2.4199999999999777E-2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11"/>
      <c r="H31" s="10"/>
      <c r="I31" s="10">
        <f t="shared" si="5"/>
        <v>7381</v>
      </c>
      <c r="J31" s="10">
        <f t="shared" si="3"/>
        <v>71885297585.671036</v>
      </c>
      <c r="K31" s="11">
        <f t="shared" si="4"/>
        <v>2.4199999999999999E-2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11"/>
      <c r="H32" s="10"/>
      <c r="I32" s="10">
        <f t="shared" si="5"/>
        <v>7381</v>
      </c>
      <c r="J32" s="10">
        <f t="shared" si="3"/>
        <v>70186777568.513016</v>
      </c>
      <c r="K32" s="11">
        <f t="shared" si="4"/>
        <v>2.410000000000001E-2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11"/>
      <c r="H33" s="10"/>
      <c r="I33" s="10">
        <f t="shared" si="5"/>
        <v>7381</v>
      </c>
      <c r="J33" s="10">
        <f t="shared" si="3"/>
        <v>68535082090.140633</v>
      </c>
      <c r="K33" s="11">
        <f t="shared" si="4"/>
        <v>2.4000000000000021E-2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11"/>
      <c r="H34" s="10"/>
      <c r="I34" s="10">
        <f t="shared" si="5"/>
        <v>7381</v>
      </c>
      <c r="J34" s="10">
        <f t="shared" ref="J34:J65" si="6">IF(I34="","",I34*C34)</f>
        <v>66928791103.652954</v>
      </c>
      <c r="K34" s="11">
        <f t="shared" ref="K34:K65" si="7">IFERROR(J34/J35-1,"")</f>
        <v>2.3800000000000043E-2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11"/>
      <c r="H35" s="10"/>
      <c r="I35" s="10">
        <f t="shared" ref="I35:I66" si="8">IF(H35&lt;&gt;"",H35,I34/(1+IF(G34="",0,G34)))</f>
        <v>7381</v>
      </c>
      <c r="J35" s="10">
        <f t="shared" si="6"/>
        <v>65372915709.760643</v>
      </c>
      <c r="K35" s="11">
        <f t="shared" si="7"/>
        <v>2.3500000000000076E-2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11"/>
      <c r="H36" s="10"/>
      <c r="I36" s="10">
        <f t="shared" si="8"/>
        <v>7381</v>
      </c>
      <c r="J36" s="10">
        <f t="shared" si="6"/>
        <v>63871925461.417328</v>
      </c>
      <c r="K36" s="11">
        <f t="shared" si="7"/>
        <v>2.2999999999999909E-2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11"/>
      <c r="H37" s="10"/>
      <c r="I37" s="10">
        <f t="shared" si="8"/>
        <v>7381</v>
      </c>
      <c r="J37" s="10">
        <f t="shared" si="6"/>
        <v>62435899766.781364</v>
      </c>
      <c r="K37" s="11">
        <f t="shared" si="7"/>
        <v>2.2499999999999964E-2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11"/>
      <c r="H38" s="10"/>
      <c r="I38" s="10">
        <f t="shared" si="8"/>
        <v>7381</v>
      </c>
      <c r="J38" s="10">
        <f t="shared" si="6"/>
        <v>61062004661.88887</v>
      </c>
      <c r="K38" s="11">
        <f t="shared" si="7"/>
        <v>2.1900000000000031E-2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11"/>
      <c r="H39" s="10"/>
      <c r="I39" s="10">
        <f t="shared" si="8"/>
        <v>7381</v>
      </c>
      <c r="J39" s="10">
        <f t="shared" si="6"/>
        <v>59753405090.408913</v>
      </c>
      <c r="K39" s="11">
        <f t="shared" si="7"/>
        <v>2.1500000000000075E-2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11"/>
      <c r="H40" s="10"/>
      <c r="I40" s="10">
        <f t="shared" si="8"/>
        <v>7381</v>
      </c>
      <c r="J40" s="10">
        <f t="shared" si="6"/>
        <v>58495746539.803146</v>
      </c>
      <c r="K40" s="11">
        <f t="shared" si="7"/>
        <v>2.1400000000000086E-2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11"/>
      <c r="H41" s="10"/>
      <c r="I41" s="10">
        <f t="shared" si="8"/>
        <v>7381</v>
      </c>
      <c r="J41" s="10">
        <f t="shared" si="6"/>
        <v>57270165008.618698</v>
      </c>
      <c r="K41" s="11">
        <f t="shared" si="7"/>
        <v>2.1600000000000064E-2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11"/>
      <c r="H42" s="10"/>
      <c r="I42" s="10">
        <f t="shared" si="8"/>
        <v>7381</v>
      </c>
      <c r="J42" s="10">
        <f t="shared" si="6"/>
        <v>56059284464.192146</v>
      </c>
      <c r="K42" s="11">
        <f t="shared" si="7"/>
        <v>2.2100000000000009E-2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11"/>
      <c r="H43" s="10"/>
      <c r="I43" s="10">
        <f t="shared" si="8"/>
        <v>7381</v>
      </c>
      <c r="J43" s="10">
        <f t="shared" si="6"/>
        <v>54847162180.01384</v>
      </c>
      <c r="K43" s="11">
        <f t="shared" si="7"/>
        <v>2.269999999999972E-2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11"/>
      <c r="H44" s="10"/>
      <c r="I44" s="10">
        <f t="shared" si="8"/>
        <v>7381</v>
      </c>
      <c r="J44" s="10">
        <f t="shared" si="6"/>
        <v>53629766480.897476</v>
      </c>
      <c r="K44" s="11">
        <f t="shared" si="7"/>
        <v>2.3400000000000087E-2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11"/>
      <c r="H45" s="10"/>
      <c r="I45" s="10">
        <f t="shared" si="8"/>
        <v>7381</v>
      </c>
      <c r="J45" s="10">
        <f t="shared" si="6"/>
        <v>52403524018.856232</v>
      </c>
      <c r="K45" s="11">
        <f t="shared" si="7"/>
        <v>2.4000000000000021E-2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11"/>
      <c r="H46" s="10"/>
      <c r="I46" s="10">
        <f t="shared" si="8"/>
        <v>7381</v>
      </c>
      <c r="J46" s="10">
        <f t="shared" si="6"/>
        <v>51175316424.664291</v>
      </c>
      <c r="K46" s="11">
        <f t="shared" si="7"/>
        <v>2.4399999999999977E-2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11"/>
      <c r="H47" s="10"/>
      <c r="I47" s="10">
        <f t="shared" si="8"/>
        <v>7381</v>
      </c>
      <c r="J47" s="10">
        <f t="shared" si="6"/>
        <v>49956380734.736717</v>
      </c>
      <c r="K47" s="11">
        <f t="shared" si="7"/>
        <v>2.4699999999999944E-2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11"/>
      <c r="H48" s="10"/>
      <c r="I48" s="10">
        <f t="shared" si="8"/>
        <v>7381</v>
      </c>
      <c r="J48" s="10">
        <f t="shared" si="6"/>
        <v>48752201361.117126</v>
      </c>
      <c r="K48" s="11">
        <f t="shared" si="7"/>
        <v>2.4699999999999944E-2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11"/>
      <c r="H49" s="10"/>
      <c r="I49" s="10">
        <f t="shared" si="8"/>
        <v>7381</v>
      </c>
      <c r="J49" s="10">
        <f t="shared" si="6"/>
        <v>47577048268.875893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11"/>
      <c r="H50" s="10"/>
      <c r="I50" s="10">
        <f t="shared" si="8"/>
        <v>7381</v>
      </c>
      <c r="J50" s="10">
        <f t="shared" si="6"/>
        <v>46439285767.570419</v>
      </c>
      <c r="K50" s="11">
        <f t="shared" si="7"/>
        <v>2.4199999999999999E-2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11"/>
      <c r="H51" s="10"/>
      <c r="I51" s="10">
        <f t="shared" si="8"/>
        <v>7381</v>
      </c>
      <c r="J51" s="10">
        <f t="shared" si="6"/>
        <v>45342009146.231613</v>
      </c>
      <c r="K51" s="11">
        <f t="shared" si="7"/>
        <v>2.3800000000000043E-2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11"/>
      <c r="H52" s="10"/>
      <c r="I52" s="10">
        <f t="shared" si="8"/>
        <v>7381</v>
      </c>
      <c r="J52" s="10">
        <f t="shared" si="6"/>
        <v>44287955798.23365</v>
      </c>
      <c r="K52" s="11">
        <f t="shared" si="7"/>
        <v>2.3300000000000098E-2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11"/>
      <c r="H53" s="10"/>
      <c r="I53" s="10">
        <f t="shared" si="8"/>
        <v>7381</v>
      </c>
      <c r="J53" s="10">
        <f t="shared" si="6"/>
        <v>43279542458.940338</v>
      </c>
      <c r="K53" s="11">
        <f t="shared" si="7"/>
        <v>2.2799999999999931E-2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11"/>
      <c r="H54" s="10"/>
      <c r="I54" s="10">
        <f t="shared" si="8"/>
        <v>7381</v>
      </c>
      <c r="J54" s="10">
        <f t="shared" si="6"/>
        <v>42314765798.729309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11"/>
      <c r="H55" s="10"/>
      <c r="I55" s="10">
        <f t="shared" si="8"/>
        <v>7381</v>
      </c>
      <c r="J55" s="10">
        <f t="shared" si="6"/>
        <v>41387681728.021622</v>
      </c>
      <c r="K55" s="11">
        <f t="shared" si="7"/>
        <v>2.1900000000000031E-2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11"/>
      <c r="H56" s="10"/>
      <c r="I56" s="10">
        <f t="shared" si="8"/>
        <v>7381</v>
      </c>
      <c r="J56" s="10">
        <f t="shared" si="6"/>
        <v>40500716046.601059</v>
      </c>
      <c r="K56" s="11">
        <f t="shared" si="7"/>
        <v>2.1500000000000075E-2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11"/>
      <c r="H57" s="10"/>
      <c r="I57" s="10">
        <f t="shared" si="8"/>
        <v>7381</v>
      </c>
      <c r="J57" s="10">
        <f t="shared" si="6"/>
        <v>39648278068.136131</v>
      </c>
      <c r="K57" s="11">
        <f t="shared" si="7"/>
        <v>2.100000000000013E-2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11"/>
      <c r="H58" s="10"/>
      <c r="I58" s="10">
        <f t="shared" si="8"/>
        <v>7381</v>
      </c>
      <c r="J58" s="10">
        <f t="shared" si="6"/>
        <v>38832789488.869858</v>
      </c>
      <c r="K58" s="11">
        <f t="shared" si="7"/>
        <v>2.0499999999999963E-2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11"/>
      <c r="H59" s="10"/>
      <c r="I59" s="10">
        <f t="shared" si="8"/>
        <v>7381</v>
      </c>
      <c r="J59" s="10">
        <f t="shared" si="6"/>
        <v>38052708955.286484</v>
      </c>
      <c r="K59" s="11">
        <f t="shared" si="7"/>
        <v>2.0100000000000007E-2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11"/>
      <c r="H60" s="10"/>
      <c r="I60" s="10">
        <f t="shared" si="8"/>
        <v>7381</v>
      </c>
      <c r="J60" s="10">
        <f t="shared" si="6"/>
        <v>37302920258.098701</v>
      </c>
      <c r="K60" s="11">
        <f t="shared" si="7"/>
        <v>1.9600000000000062E-2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11"/>
      <c r="H61" s="10"/>
      <c r="I61" s="10">
        <f t="shared" si="8"/>
        <v>7381</v>
      </c>
      <c r="J61" s="10">
        <f t="shared" si="6"/>
        <v>36585837836.503235</v>
      </c>
      <c r="K61" s="11">
        <f t="shared" si="7"/>
        <v>1.9200000000000106E-2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11"/>
      <c r="H62" s="10"/>
      <c r="I62" s="10">
        <f t="shared" si="8"/>
        <v>7381</v>
      </c>
      <c r="J62" s="10">
        <f t="shared" si="6"/>
        <v>35896622681.027504</v>
      </c>
      <c r="K62" s="11">
        <f t="shared" si="7"/>
        <v>1.8799999999999928E-2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11"/>
      <c r="H63" s="10"/>
      <c r="I63" s="10">
        <f t="shared" si="8"/>
        <v>7381</v>
      </c>
      <c r="J63" s="10">
        <f t="shared" si="6"/>
        <v>35234219357.11377</v>
      </c>
      <c r="K63" s="11">
        <f t="shared" si="7"/>
        <v>1.8399999999999972E-2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11"/>
      <c r="H64" s="10"/>
      <c r="I64" s="10">
        <f t="shared" si="8"/>
        <v>7381</v>
      </c>
      <c r="J64" s="10">
        <f t="shared" si="6"/>
        <v>34597623092.21698</v>
      </c>
      <c r="K64" s="11">
        <f t="shared" si="7"/>
        <v>1.8100000000000005E-2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11"/>
      <c r="H65" s="10"/>
      <c r="I65" s="10">
        <f t="shared" si="8"/>
        <v>7381</v>
      </c>
      <c r="J65" s="10">
        <f t="shared" si="6"/>
        <v>33982539133.893509</v>
      </c>
      <c r="K65" s="11">
        <f t="shared" si="7"/>
        <v>1.7800000000000038E-2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6">
        <f>SUM(F2)</f>
        <v>17219177</v>
      </c>
      <c r="G66" s="11"/>
      <c r="H66" s="10"/>
      <c r="I66" s="10">
        <f t="shared" si="8"/>
        <v>7381</v>
      </c>
      <c r="J66" s="10">
        <f t="shared" ref="J66:J97" si="9">IF(I66="","",I66*C66)</f>
        <v>33388228663.68</v>
      </c>
      <c r="K66" s="11">
        <f t="shared" ref="K66:K97" si="10">IFERROR(J66/J67-1,"")</f>
        <v>1.760000000000006E-2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11"/>
      <c r="H67" s="10"/>
      <c r="I67" s="10">
        <f t="shared" ref="I67:I98" si="11">IF(H67&lt;&gt;"",H67,I66/(1+IF(G66="",0,G66)))</f>
        <v>7381</v>
      </c>
      <c r="J67" s="10">
        <f t="shared" si="9"/>
        <v>32810759300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5">
        <v>730203</v>
      </c>
      <c r="G2" s="11"/>
      <c r="H2" s="10"/>
      <c r="I2" s="10">
        <f>IF(H2&lt;&gt;"",H2,24603)</f>
        <v>24603</v>
      </c>
      <c r="J2" s="10">
        <f t="shared" ref="J2:J33" si="3">IF(I2="","",I2*C2)</f>
        <v>17968814178.730434</v>
      </c>
      <c r="K2" s="11">
        <f t="shared" ref="K2:K33" si="4">IFERROR(J2/J3-1,"")</f>
        <v>4.3600000000000083E-2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11"/>
      <c r="H3" s="10"/>
      <c r="I3" s="10">
        <f t="shared" ref="I3:I34" si="5">IF(H3&lt;&gt;"",H3,I2/(1+IF(G2="",0,G2)))</f>
        <v>24603</v>
      </c>
      <c r="J3" s="10">
        <f t="shared" si="3"/>
        <v>17218104809.055607</v>
      </c>
      <c r="K3" s="11">
        <f t="shared" si="4"/>
        <v>6.2200000000000033E-2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11"/>
      <c r="H4" s="10"/>
      <c r="I4" s="10">
        <f t="shared" si="5"/>
        <v>24603</v>
      </c>
      <c r="J4" s="10">
        <f t="shared" si="3"/>
        <v>16209852013.797409</v>
      </c>
      <c r="K4" s="11">
        <f t="shared" si="4"/>
        <v>8.680000000000021E-2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11"/>
      <c r="H5" s="10"/>
      <c r="I5" s="10">
        <f t="shared" si="5"/>
        <v>24603</v>
      </c>
      <c r="J5" s="10">
        <f t="shared" si="3"/>
        <v>14915211643.170231</v>
      </c>
      <c r="K5" s="11">
        <f t="shared" si="4"/>
        <v>0.11660000000000004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11"/>
      <c r="H6" s="10"/>
      <c r="I6" s="10">
        <f t="shared" si="5"/>
        <v>24603</v>
      </c>
      <c r="J6" s="10">
        <f t="shared" si="3"/>
        <v>13357703423.93895</v>
      </c>
      <c r="K6" s="11">
        <f t="shared" si="4"/>
        <v>0.13430000000000031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11"/>
      <c r="H7" s="10"/>
      <c r="I7" s="10">
        <f t="shared" si="5"/>
        <v>24603</v>
      </c>
      <c r="J7" s="10">
        <f t="shared" si="3"/>
        <v>11776164527.848846</v>
      </c>
      <c r="K7" s="11">
        <f t="shared" si="4"/>
        <v>0.14480000000000004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11"/>
      <c r="H8" s="10"/>
      <c r="I8" s="10">
        <f t="shared" si="5"/>
        <v>24603</v>
      </c>
      <c r="J8" s="10">
        <f t="shared" si="3"/>
        <v>10286656645.570271</v>
      </c>
      <c r="K8" s="11">
        <f t="shared" si="4"/>
        <v>0.13840000000000008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11"/>
      <c r="H9" s="10"/>
      <c r="I9" s="10">
        <f t="shared" si="5"/>
        <v>24603</v>
      </c>
      <c r="J9" s="10">
        <f t="shared" si="3"/>
        <v>9036065219.2289791</v>
      </c>
      <c r="K9" s="11">
        <f t="shared" si="4"/>
        <v>0.10959999999999992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11"/>
      <c r="H10" s="10"/>
      <c r="I10" s="10">
        <f t="shared" si="5"/>
        <v>24603</v>
      </c>
      <c r="J10" s="10">
        <f t="shared" si="3"/>
        <v>8143533903.4147263</v>
      </c>
      <c r="K10" s="11">
        <f t="shared" si="4"/>
        <v>7.7399999999999913E-2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11"/>
      <c r="H11" s="10"/>
      <c r="I11" s="10">
        <f t="shared" si="5"/>
        <v>24603</v>
      </c>
      <c r="J11" s="10">
        <f t="shared" si="3"/>
        <v>7558505572.131731</v>
      </c>
      <c r="K11" s="11">
        <f t="shared" si="4"/>
        <v>5.5800000000000072E-2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11"/>
      <c r="H12" s="10"/>
      <c r="I12" s="10">
        <f t="shared" si="5"/>
        <v>24603</v>
      </c>
      <c r="J12" s="10">
        <f t="shared" si="3"/>
        <v>7159031608.3839083</v>
      </c>
      <c r="K12" s="11">
        <f t="shared" si="4"/>
        <v>4.2899999999999938E-2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11"/>
      <c r="H13" s="10"/>
      <c r="I13" s="10">
        <f t="shared" si="5"/>
        <v>24603</v>
      </c>
      <c r="J13" s="10">
        <f t="shared" si="3"/>
        <v>6864542725.461606</v>
      </c>
      <c r="K13" s="11">
        <f t="shared" si="4"/>
        <v>3.5800000000000054E-2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11"/>
      <c r="H14" s="10"/>
      <c r="I14" s="10">
        <f t="shared" si="5"/>
        <v>24603</v>
      </c>
      <c r="J14" s="10">
        <f t="shared" si="3"/>
        <v>6627285890.5788822</v>
      </c>
      <c r="K14" s="11">
        <f t="shared" si="4"/>
        <v>3.1700000000000061E-2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11"/>
      <c r="H15" s="10"/>
      <c r="I15" s="10">
        <f t="shared" si="5"/>
        <v>24603</v>
      </c>
      <c r="J15" s="10">
        <f t="shared" si="3"/>
        <v>6423655995.5208702</v>
      </c>
      <c r="K15" s="11">
        <f t="shared" si="4"/>
        <v>2.9900000000000038E-2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11"/>
      <c r="H16" s="10"/>
      <c r="I16" s="10">
        <f t="shared" si="5"/>
        <v>24603</v>
      </c>
      <c r="J16" s="10">
        <f t="shared" si="3"/>
        <v>6237164768.9298668</v>
      </c>
      <c r="K16" s="11">
        <f t="shared" si="4"/>
        <v>2.970000000000006E-2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11"/>
      <c r="H17" s="10"/>
      <c r="I17" s="10">
        <f t="shared" si="5"/>
        <v>24603</v>
      </c>
      <c r="J17" s="10">
        <f t="shared" si="3"/>
        <v>6057264027.3185072</v>
      </c>
      <c r="K17" s="11">
        <f t="shared" si="4"/>
        <v>3.0300000000000216E-2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11"/>
      <c r="H18" s="10"/>
      <c r="I18" s="10">
        <f t="shared" si="5"/>
        <v>24603</v>
      </c>
      <c r="J18" s="10">
        <f t="shared" si="3"/>
        <v>5879126494.5341225</v>
      </c>
      <c r="K18" s="11">
        <f t="shared" si="4"/>
        <v>3.0899999999999928E-2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11"/>
      <c r="H19" s="10"/>
      <c r="I19" s="10">
        <f t="shared" si="5"/>
        <v>24603</v>
      </c>
      <c r="J19" s="10">
        <f t="shared" si="3"/>
        <v>5702906678.1784096</v>
      </c>
      <c r="K19" s="11">
        <f t="shared" si="4"/>
        <v>3.1199999999999894E-2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11"/>
      <c r="H20" s="10"/>
      <c r="I20" s="10">
        <f t="shared" si="5"/>
        <v>24603</v>
      </c>
      <c r="J20" s="10">
        <f t="shared" si="3"/>
        <v>5530359462.9348431</v>
      </c>
      <c r="K20" s="11">
        <f t="shared" si="4"/>
        <v>3.1099999999999905E-2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11"/>
      <c r="H21" s="10"/>
      <c r="I21" s="10">
        <f t="shared" si="5"/>
        <v>24603</v>
      </c>
      <c r="J21" s="10">
        <f t="shared" si="3"/>
        <v>5363552965.7015266</v>
      </c>
      <c r="K21" s="11">
        <f t="shared" si="4"/>
        <v>3.0899999999999928E-2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11"/>
      <c r="H22" s="10"/>
      <c r="I22" s="10">
        <f t="shared" si="5"/>
        <v>24603</v>
      </c>
      <c r="J22" s="10">
        <f t="shared" si="3"/>
        <v>5202786851.9754848</v>
      </c>
      <c r="K22" s="11">
        <f t="shared" si="4"/>
        <v>3.1199999999999894E-2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11"/>
      <c r="H23" s="10"/>
      <c r="I23" s="10">
        <f t="shared" si="5"/>
        <v>24603</v>
      </c>
      <c r="J23" s="10">
        <f t="shared" si="3"/>
        <v>5045371268.4013624</v>
      </c>
      <c r="K23" s="11">
        <f t="shared" si="4"/>
        <v>3.3999999999999808E-2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11"/>
      <c r="H24" s="10"/>
      <c r="I24" s="10">
        <f t="shared" si="5"/>
        <v>24603</v>
      </c>
      <c r="J24" s="10">
        <f t="shared" si="3"/>
        <v>4879469311.8001575</v>
      </c>
      <c r="K24" s="11">
        <f t="shared" si="4"/>
        <v>4.0000000000000258E-2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11"/>
      <c r="H25" s="10"/>
      <c r="I25" s="10">
        <f t="shared" si="5"/>
        <v>24603</v>
      </c>
      <c r="J25" s="10">
        <f t="shared" si="3"/>
        <v>4691797415.1924582</v>
      </c>
      <c r="K25" s="11">
        <f t="shared" si="4"/>
        <v>4.7199999999999909E-2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11"/>
      <c r="H26" s="10"/>
      <c r="I26" s="10">
        <f t="shared" si="5"/>
        <v>24603</v>
      </c>
      <c r="J26" s="10">
        <f t="shared" si="3"/>
        <v>4480326026.7307663</v>
      </c>
      <c r="K26" s="11">
        <f t="shared" si="4"/>
        <v>5.3199999999999914E-2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11"/>
      <c r="H27" s="10"/>
      <c r="I27" s="10">
        <f t="shared" si="5"/>
        <v>24603</v>
      </c>
      <c r="J27" s="10">
        <f t="shared" si="3"/>
        <v>4254012558.6125774</v>
      </c>
      <c r="K27" s="11">
        <f t="shared" si="4"/>
        <v>5.8100000000000041E-2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11"/>
      <c r="H28" s="10"/>
      <c r="I28" s="10">
        <f t="shared" si="5"/>
        <v>24603</v>
      </c>
      <c r="J28" s="10">
        <f t="shared" si="3"/>
        <v>4020425818.5545573</v>
      </c>
      <c r="K28" s="11">
        <f t="shared" si="4"/>
        <v>6.2899999999999956E-2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11"/>
      <c r="H29" s="10"/>
      <c r="I29" s="10">
        <f t="shared" si="5"/>
        <v>24603</v>
      </c>
      <c r="J29" s="10">
        <f t="shared" si="3"/>
        <v>3782506179.8424664</v>
      </c>
      <c r="K29" s="11">
        <f t="shared" si="4"/>
        <v>6.7399999999999904E-2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11"/>
      <c r="H30" s="10"/>
      <c r="I30" s="10">
        <f t="shared" si="5"/>
        <v>24603</v>
      </c>
      <c r="J30" s="10">
        <f t="shared" si="3"/>
        <v>3543663275.1006808</v>
      </c>
      <c r="K30" s="11">
        <f t="shared" si="4"/>
        <v>7.0999999999999952E-2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11"/>
      <c r="H31" s="10"/>
      <c r="I31" s="10">
        <f t="shared" si="5"/>
        <v>24603</v>
      </c>
      <c r="J31" s="10">
        <f t="shared" si="3"/>
        <v>3308742553.7821484</v>
      </c>
      <c r="K31" s="11">
        <f t="shared" si="4"/>
        <v>7.380000000000031E-2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11"/>
      <c r="H32" s="10"/>
      <c r="I32" s="10">
        <f t="shared" si="5"/>
        <v>24603</v>
      </c>
      <c r="J32" s="10">
        <f t="shared" si="3"/>
        <v>3081339685.0271444</v>
      </c>
      <c r="K32" s="11">
        <f t="shared" si="4"/>
        <v>7.5399999999999912E-2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11"/>
      <c r="H33" s="10"/>
      <c r="I33" s="10">
        <f t="shared" si="5"/>
        <v>24603</v>
      </c>
      <c r="J33" s="10">
        <f t="shared" si="3"/>
        <v>2865296340.9216518</v>
      </c>
      <c r="K33" s="11">
        <f t="shared" si="4"/>
        <v>7.580000000000009E-2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11"/>
      <c r="H34" s="10"/>
      <c r="I34" s="10">
        <f t="shared" si="5"/>
        <v>24603</v>
      </c>
      <c r="J34" s="10">
        <f t="shared" ref="J34:J65" si="6">IF(I34="","",I34*C34)</f>
        <v>2663409872.5800815</v>
      </c>
      <c r="K34" s="11">
        <f t="shared" ref="K34:K65" si="7">IFERROR(J34/J35-1,"")</f>
        <v>7.5499999999999901E-2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11"/>
      <c r="H35" s="10"/>
      <c r="I35" s="10">
        <f t="shared" ref="I35:I66" si="8">IF(H35&lt;&gt;"",H35,I34/(1+IF(G34="",0,G34)))</f>
        <v>24603</v>
      </c>
      <c r="J35" s="10">
        <f t="shared" si="6"/>
        <v>2476438747.1688347</v>
      </c>
      <c r="K35" s="11">
        <f t="shared" si="7"/>
        <v>7.4100000000000055E-2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11"/>
      <c r="H36" s="10"/>
      <c r="I36" s="10">
        <f t="shared" si="8"/>
        <v>24603</v>
      </c>
      <c r="J36" s="10">
        <f t="shared" si="6"/>
        <v>2305594215.7795687</v>
      </c>
      <c r="K36" s="11">
        <f t="shared" si="7"/>
        <v>7.1100000000000163E-2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11"/>
      <c r="H37" s="10"/>
      <c r="I37" s="10">
        <f t="shared" si="8"/>
        <v>24603</v>
      </c>
      <c r="J37" s="10">
        <f t="shared" si="6"/>
        <v>2152548049.4627657</v>
      </c>
      <c r="K37" s="11">
        <f t="shared" si="7"/>
        <v>6.6699999999999982E-2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11"/>
      <c r="H38" s="10"/>
      <c r="I38" s="10">
        <f t="shared" si="8"/>
        <v>24603</v>
      </c>
      <c r="J38" s="10">
        <f t="shared" si="6"/>
        <v>2017950735.4108613</v>
      </c>
      <c r="K38" s="11">
        <f t="shared" si="7"/>
        <v>6.0699999999999976E-2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11"/>
      <c r="H39" s="10"/>
      <c r="I39" s="10">
        <f t="shared" si="8"/>
        <v>24603</v>
      </c>
      <c r="J39" s="10">
        <f t="shared" si="6"/>
        <v>1902470760.2629032</v>
      </c>
      <c r="K39" s="11">
        <f t="shared" si="7"/>
        <v>5.3900000000000281E-2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11"/>
      <c r="H40" s="10"/>
      <c r="I40" s="10">
        <f t="shared" si="8"/>
        <v>24603</v>
      </c>
      <c r="J40" s="10">
        <f t="shared" si="6"/>
        <v>1805171990.0018055</v>
      </c>
      <c r="K40" s="11">
        <f t="shared" si="7"/>
        <v>4.7800000000000065E-2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11"/>
      <c r="H41" s="10"/>
      <c r="I41" s="10">
        <f t="shared" si="8"/>
        <v>24603</v>
      </c>
      <c r="J41" s="10">
        <f t="shared" si="6"/>
        <v>1722821139.5321679</v>
      </c>
      <c r="K41" s="11">
        <f t="shared" si="7"/>
        <v>4.269999999999996E-2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11"/>
      <c r="H42" s="10"/>
      <c r="I42" s="10">
        <f t="shared" si="8"/>
        <v>24603</v>
      </c>
      <c r="J42" s="10">
        <f t="shared" si="6"/>
        <v>1652269242.8619623</v>
      </c>
      <c r="K42" s="11">
        <f t="shared" si="7"/>
        <v>3.9099999999999691E-2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11"/>
      <c r="H43" s="10"/>
      <c r="I43" s="10">
        <f t="shared" si="8"/>
        <v>24603</v>
      </c>
      <c r="J43" s="10">
        <f t="shared" si="6"/>
        <v>1590096470.8516626</v>
      </c>
      <c r="K43" s="11">
        <f t="shared" si="7"/>
        <v>3.8300000000000001E-2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11"/>
      <c r="H44" s="10"/>
      <c r="I44" s="10">
        <f t="shared" si="8"/>
        <v>24603</v>
      </c>
      <c r="J44" s="10">
        <f t="shared" si="6"/>
        <v>1531442233.3156724</v>
      </c>
      <c r="K44" s="11">
        <f t="shared" si="7"/>
        <v>4.0400000000000214E-2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11"/>
      <c r="H45" s="10"/>
      <c r="I45" s="10">
        <f t="shared" si="8"/>
        <v>24603</v>
      </c>
      <c r="J45" s="10">
        <f t="shared" si="6"/>
        <v>1471974464.9324031</v>
      </c>
      <c r="K45" s="11">
        <f t="shared" si="7"/>
        <v>4.6200000000000019E-2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11"/>
      <c r="H46" s="10"/>
      <c r="I46" s="10">
        <f t="shared" si="8"/>
        <v>24603</v>
      </c>
      <c r="J46" s="10">
        <f t="shared" si="6"/>
        <v>1406972342.6996779</v>
      </c>
      <c r="K46" s="11">
        <f t="shared" si="7"/>
        <v>5.5299999999999683E-2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11"/>
      <c r="H47" s="10"/>
      <c r="I47" s="10">
        <f t="shared" si="8"/>
        <v>24603</v>
      </c>
      <c r="J47" s="10">
        <f t="shared" si="6"/>
        <v>1333243952.1460042</v>
      </c>
      <c r="K47" s="11">
        <f t="shared" si="7"/>
        <v>6.6300000000000026E-2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11"/>
      <c r="H48" s="10"/>
      <c r="I48" s="10">
        <f t="shared" si="8"/>
        <v>24603</v>
      </c>
      <c r="J48" s="10">
        <f t="shared" si="6"/>
        <v>1250346011.5783589</v>
      </c>
      <c r="K48" s="11">
        <f t="shared" si="7"/>
        <v>7.7700000000000102E-2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11"/>
      <c r="H49" s="10"/>
      <c r="I49" s="10">
        <f t="shared" si="8"/>
        <v>24603</v>
      </c>
      <c r="J49" s="10">
        <f t="shared" si="6"/>
        <v>1160198581.7744815</v>
      </c>
      <c r="K49" s="11">
        <f t="shared" si="7"/>
        <v>8.9099999999999957E-2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11"/>
      <c r="H50" s="10"/>
      <c r="I50" s="10">
        <f t="shared" si="8"/>
        <v>24603</v>
      </c>
      <c r="J50" s="10">
        <f t="shared" si="6"/>
        <v>1065281959.208963</v>
      </c>
      <c r="K50" s="11">
        <f t="shared" si="7"/>
        <v>0.10050000000000003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11"/>
      <c r="H51" s="10"/>
      <c r="I51" s="10">
        <f t="shared" si="8"/>
        <v>24603</v>
      </c>
      <c r="J51" s="10">
        <f t="shared" si="6"/>
        <v>967998145.57833982</v>
      </c>
      <c r="K51" s="11">
        <f t="shared" si="7"/>
        <v>0.1089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11"/>
      <c r="H52" s="10"/>
      <c r="I52" s="10">
        <f t="shared" si="8"/>
        <v>24603</v>
      </c>
      <c r="J52" s="10">
        <f t="shared" si="6"/>
        <v>872935472.61100173</v>
      </c>
      <c r="K52" s="11">
        <f t="shared" si="7"/>
        <v>0.10630000000000028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11"/>
      <c r="H53" s="10"/>
      <c r="I53" s="10">
        <f t="shared" si="8"/>
        <v>24603</v>
      </c>
      <c r="J53" s="10">
        <f t="shared" si="6"/>
        <v>789058548.86649334</v>
      </c>
      <c r="K53" s="11">
        <f t="shared" si="7"/>
        <v>9.2699999999999783E-2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11"/>
      <c r="H54" s="10"/>
      <c r="I54" s="10">
        <f t="shared" si="8"/>
        <v>24603</v>
      </c>
      <c r="J54" s="10">
        <f t="shared" si="6"/>
        <v>722118192.4283824</v>
      </c>
      <c r="K54" s="11">
        <f t="shared" si="7"/>
        <v>7.9600000000000115E-2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11"/>
      <c r="H55" s="10"/>
      <c r="I55" s="10">
        <f t="shared" si="8"/>
        <v>24603</v>
      </c>
      <c r="J55" s="10">
        <f t="shared" si="6"/>
        <v>668875687.68838668</v>
      </c>
      <c r="K55" s="11">
        <f t="shared" si="7"/>
        <v>6.9900000000000073E-2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11"/>
      <c r="H56" s="10"/>
      <c r="I56" s="10">
        <f t="shared" si="8"/>
        <v>24603</v>
      </c>
      <c r="J56" s="10">
        <f t="shared" si="6"/>
        <v>625175892.78286445</v>
      </c>
      <c r="K56" s="11">
        <f t="shared" si="7"/>
        <v>6.3800000000000079E-2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11"/>
      <c r="H57" s="10"/>
      <c r="I57" s="10">
        <f t="shared" si="8"/>
        <v>24603</v>
      </c>
      <c r="J57" s="10">
        <f t="shared" si="6"/>
        <v>587681794.30613315</v>
      </c>
      <c r="K57" s="11">
        <f t="shared" si="7"/>
        <v>6.0699999999999976E-2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11"/>
      <c r="H58" s="10"/>
      <c r="I58" s="10">
        <f t="shared" si="8"/>
        <v>24603</v>
      </c>
      <c r="J58" s="10">
        <f t="shared" si="6"/>
        <v>554050904.40853512</v>
      </c>
      <c r="K58" s="11">
        <f t="shared" si="7"/>
        <v>5.9900000000000064E-2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11"/>
      <c r="H59" s="10"/>
      <c r="I59" s="10">
        <f t="shared" si="8"/>
        <v>24603</v>
      </c>
      <c r="J59" s="10">
        <f t="shared" si="6"/>
        <v>522738847.44649029</v>
      </c>
      <c r="K59" s="11">
        <f t="shared" si="7"/>
        <v>6.0400000000000009E-2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11"/>
      <c r="H60" s="10"/>
      <c r="I60" s="10">
        <f t="shared" si="8"/>
        <v>24603</v>
      </c>
      <c r="J60" s="10">
        <f t="shared" si="6"/>
        <v>492963831.99404967</v>
      </c>
      <c r="K60" s="11">
        <f t="shared" si="7"/>
        <v>6.129999999999991E-2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11"/>
      <c r="H61" s="10"/>
      <c r="I61" s="10">
        <f t="shared" si="8"/>
        <v>24603</v>
      </c>
      <c r="J61" s="10">
        <f t="shared" si="6"/>
        <v>464490560.62757909</v>
      </c>
      <c r="K61" s="11">
        <f t="shared" si="7"/>
        <v>6.129999999999991E-2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11"/>
      <c r="H62" s="10"/>
      <c r="I62" s="10">
        <f t="shared" si="8"/>
        <v>24603</v>
      </c>
      <c r="J62" s="10">
        <f t="shared" si="6"/>
        <v>437661886.95710838</v>
      </c>
      <c r="K62" s="11">
        <f t="shared" si="7"/>
        <v>5.9600000000000097E-2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11"/>
      <c r="H63" s="10"/>
      <c r="I63" s="10">
        <f t="shared" si="8"/>
        <v>24603</v>
      </c>
      <c r="J63" s="10">
        <f t="shared" si="6"/>
        <v>413044438.42686707</v>
      </c>
      <c r="K63" s="11">
        <f t="shared" si="7"/>
        <v>5.6799999999999962E-2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11"/>
      <c r="H64" s="10"/>
      <c r="I64" s="10">
        <f t="shared" si="8"/>
        <v>24603</v>
      </c>
      <c r="J64" s="10">
        <f t="shared" si="6"/>
        <v>390844472.39484012</v>
      </c>
      <c r="K64" s="11">
        <f t="shared" si="7"/>
        <v>5.3199999999999914E-2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11"/>
      <c r="H65" s="10"/>
      <c r="I65" s="10">
        <f t="shared" si="8"/>
        <v>24603</v>
      </c>
      <c r="J65" s="10">
        <f t="shared" si="6"/>
        <v>371101853.77406013</v>
      </c>
      <c r="K65" s="11">
        <f t="shared" si="7"/>
        <v>5.0100000000000033E-2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6">
        <f>SUM(F2)</f>
        <v>730203</v>
      </c>
      <c r="G66" s="11"/>
      <c r="H66" s="10"/>
      <c r="I66" s="10">
        <f t="shared" si="8"/>
        <v>24603</v>
      </c>
      <c r="J66" s="10">
        <f t="shared" ref="J66:J97" si="9">IF(I66="","",I66*C66)</f>
        <v>353396680.10100001</v>
      </c>
      <c r="K66" s="11">
        <f t="shared" ref="K66:K97" si="10">IFERROR(J66/J67-1,"")</f>
        <v>4.7700000000000076E-2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11"/>
      <c r="H67" s="10"/>
      <c r="I67" s="10">
        <f t="shared" ref="I67:I98" si="11">IF(H67&lt;&gt;"",H67,I66/(1+IF(G66="",0,G66)))</f>
        <v>24603</v>
      </c>
      <c r="J67" s="10">
        <f t="shared" si="9"/>
        <v>337307130</v>
      </c>
      <c r="K67" s="11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5">
        <v>19674606</v>
      </c>
      <c r="G2" s="11"/>
      <c r="H2" s="10"/>
      <c r="I2" s="10">
        <f>IF(H2&lt;&gt;"",H2,195)</f>
        <v>195</v>
      </c>
      <c r="J2" s="10">
        <f t="shared" ref="J2:J33" si="3">IF(I2="","",I2*C2)</f>
        <v>3836173280.2872052</v>
      </c>
      <c r="K2" s="11">
        <f t="shared" ref="K2:K33" si="4">IFERROR(J2/J3-1,"")</f>
        <v>1.0600000000000165E-2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11"/>
      <c r="H3" s="10"/>
      <c r="I3" s="10">
        <f t="shared" ref="I3:I34" si="5">IF(H3&lt;&gt;"",H3,I2/(1+IF(G2="",0,G2)))</f>
        <v>195</v>
      </c>
      <c r="J3" s="10">
        <f t="shared" si="3"/>
        <v>3795936354.9249997</v>
      </c>
      <c r="K3" s="11">
        <f t="shared" si="4"/>
        <v>1.0799999999999921E-2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11"/>
      <c r="H4" s="10"/>
      <c r="I4" s="10">
        <f t="shared" si="5"/>
        <v>195</v>
      </c>
      <c r="J4" s="10">
        <f t="shared" si="3"/>
        <v>3755378269.6131778</v>
      </c>
      <c r="K4" s="11">
        <f t="shared" si="4"/>
        <v>1.0499999999999954E-2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11"/>
      <c r="H5" s="10"/>
      <c r="I5" s="10">
        <f t="shared" si="5"/>
        <v>195</v>
      </c>
      <c r="J5" s="10">
        <f t="shared" si="3"/>
        <v>3716356526.089241</v>
      </c>
      <c r="K5" s="11">
        <f t="shared" si="4"/>
        <v>9.9000000000000199E-3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11"/>
      <c r="H6" s="10"/>
      <c r="I6" s="10">
        <f t="shared" si="5"/>
        <v>195</v>
      </c>
      <c r="J6" s="10">
        <f t="shared" si="3"/>
        <v>3679925265.956274</v>
      </c>
      <c r="K6" s="11">
        <f t="shared" si="4"/>
        <v>9.400000000000075E-3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11"/>
      <c r="H7" s="10"/>
      <c r="I7" s="10">
        <f t="shared" si="5"/>
        <v>195</v>
      </c>
      <c r="J7" s="10">
        <f t="shared" si="3"/>
        <v>3645656098.6291595</v>
      </c>
      <c r="K7" s="11">
        <f t="shared" si="4"/>
        <v>9.400000000000075E-3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11"/>
      <c r="H8" s="10"/>
      <c r="I8" s="10">
        <f t="shared" si="5"/>
        <v>195</v>
      </c>
      <c r="J8" s="10">
        <f t="shared" si="3"/>
        <v>3611706061.6496525</v>
      </c>
      <c r="K8" s="11">
        <f t="shared" si="4"/>
        <v>9.6000000000000529E-3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11"/>
      <c r="H9" s="10"/>
      <c r="I9" s="10">
        <f t="shared" si="5"/>
        <v>195</v>
      </c>
      <c r="J9" s="10">
        <f t="shared" si="3"/>
        <v>3577363373.2662959</v>
      </c>
      <c r="K9" s="11">
        <f t="shared" si="4"/>
        <v>9.8000000000000309E-3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11"/>
      <c r="H10" s="10"/>
      <c r="I10" s="10">
        <f t="shared" si="5"/>
        <v>195</v>
      </c>
      <c r="J10" s="10">
        <f t="shared" si="3"/>
        <v>3542645447.8771</v>
      </c>
      <c r="K10" s="11">
        <f t="shared" si="4"/>
        <v>1.0099999999999776E-2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11"/>
      <c r="H11" s="10"/>
      <c r="I11" s="10">
        <f t="shared" si="5"/>
        <v>195</v>
      </c>
      <c r="J11" s="10">
        <f t="shared" si="3"/>
        <v>3507222500.6208301</v>
      </c>
      <c r="K11" s="11">
        <f t="shared" si="4"/>
        <v>1.0500000000000176E-2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11"/>
      <c r="H12" s="10"/>
      <c r="I12" s="10">
        <f t="shared" si="5"/>
        <v>195</v>
      </c>
      <c r="J12" s="10">
        <f t="shared" si="3"/>
        <v>3470779317.7840967</v>
      </c>
      <c r="K12" s="11">
        <f t="shared" si="4"/>
        <v>1.0999999999999899E-2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11"/>
      <c r="H13" s="10"/>
      <c r="I13" s="10">
        <f t="shared" si="5"/>
        <v>195</v>
      </c>
      <c r="J13" s="10">
        <f t="shared" si="3"/>
        <v>3433016140.2414412</v>
      </c>
      <c r="K13" s="11">
        <f t="shared" si="4"/>
        <v>1.1600000000000055E-2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11"/>
      <c r="H14" s="10"/>
      <c r="I14" s="10">
        <f t="shared" si="5"/>
        <v>195</v>
      </c>
      <c r="J14" s="10">
        <f t="shared" si="3"/>
        <v>3393649802.5320687</v>
      </c>
      <c r="K14" s="11">
        <f t="shared" si="4"/>
        <v>1.2299999999999978E-2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11"/>
      <c r="H15" s="10"/>
      <c r="I15" s="10">
        <f t="shared" si="5"/>
        <v>195</v>
      </c>
      <c r="J15" s="10">
        <f t="shared" si="3"/>
        <v>3352415096.8409257</v>
      </c>
      <c r="K15" s="11">
        <f t="shared" si="4"/>
        <v>1.2999999999999901E-2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11"/>
      <c r="H16" s="10"/>
      <c r="I16" s="10">
        <f t="shared" si="5"/>
        <v>195</v>
      </c>
      <c r="J16" s="10">
        <f t="shared" si="3"/>
        <v>3309392987.9969654</v>
      </c>
      <c r="K16" s="11">
        <f t="shared" si="4"/>
        <v>1.3800000000000034E-2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11"/>
      <c r="H17" s="10"/>
      <c r="I17" s="10">
        <f t="shared" si="5"/>
        <v>195</v>
      </c>
      <c r="J17" s="10">
        <f t="shared" si="3"/>
        <v>3264345026.6294785</v>
      </c>
      <c r="K17" s="11">
        <f t="shared" si="4"/>
        <v>1.4699999999999935E-2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11"/>
      <c r="H18" s="10"/>
      <c r="I18" s="10">
        <f t="shared" si="5"/>
        <v>195</v>
      </c>
      <c r="J18" s="10">
        <f t="shared" si="3"/>
        <v>3217054328.0077643</v>
      </c>
      <c r="K18" s="11">
        <f t="shared" si="4"/>
        <v>1.5500000000000069E-2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11"/>
      <c r="H19" s="10"/>
      <c r="I19" s="10">
        <f t="shared" si="5"/>
        <v>195</v>
      </c>
      <c r="J19" s="10">
        <f t="shared" si="3"/>
        <v>3167951086.1720967</v>
      </c>
      <c r="K19" s="11">
        <f t="shared" si="4"/>
        <v>1.6199999999999992E-2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11"/>
      <c r="H20" s="10"/>
      <c r="I20" s="10">
        <f t="shared" si="5"/>
        <v>195</v>
      </c>
      <c r="J20" s="10">
        <f t="shared" si="3"/>
        <v>3117448421.7399101</v>
      </c>
      <c r="K20" s="11">
        <f t="shared" si="4"/>
        <v>1.6800000000000148E-2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11"/>
      <c r="H21" s="10"/>
      <c r="I21" s="10">
        <f t="shared" si="5"/>
        <v>195</v>
      </c>
      <c r="J21" s="10">
        <f t="shared" si="3"/>
        <v>3065940619.3350806</v>
      </c>
      <c r="K21" s="11">
        <f t="shared" si="4"/>
        <v>1.7199999999999882E-2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11"/>
      <c r="H22" s="10"/>
      <c r="I22" s="10">
        <f t="shared" si="5"/>
        <v>195</v>
      </c>
      <c r="J22" s="10">
        <f t="shared" si="3"/>
        <v>3014098131.4737325</v>
      </c>
      <c r="K22" s="11">
        <f t="shared" si="4"/>
        <v>1.7500000000000071E-2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11"/>
      <c r="H23" s="10"/>
      <c r="I23" s="10">
        <f t="shared" si="5"/>
        <v>195</v>
      </c>
      <c r="J23" s="10">
        <f t="shared" si="3"/>
        <v>2962258605.8709898</v>
      </c>
      <c r="K23" s="11">
        <f t="shared" si="4"/>
        <v>1.7700000000000049E-2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11"/>
      <c r="H24" s="10"/>
      <c r="I24" s="10">
        <f t="shared" si="5"/>
        <v>195</v>
      </c>
      <c r="J24" s="10">
        <f t="shared" si="3"/>
        <v>2910738533.8223343</v>
      </c>
      <c r="K24" s="11">
        <f t="shared" si="4"/>
        <v>1.8199999999999994E-2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11"/>
      <c r="H25" s="10"/>
      <c r="I25" s="10">
        <f t="shared" si="5"/>
        <v>195</v>
      </c>
      <c r="J25" s="10">
        <f t="shared" si="3"/>
        <v>2858710011.6110139</v>
      </c>
      <c r="K25" s="11">
        <f t="shared" si="4"/>
        <v>1.8799999999999928E-2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11"/>
      <c r="H26" s="10"/>
      <c r="I26" s="10">
        <f t="shared" si="5"/>
        <v>195</v>
      </c>
      <c r="J26" s="10">
        <f t="shared" si="3"/>
        <v>2805958001.1886673</v>
      </c>
      <c r="K26" s="11">
        <f t="shared" si="4"/>
        <v>1.9600000000000062E-2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11"/>
      <c r="H27" s="10"/>
      <c r="I27" s="10">
        <f t="shared" si="5"/>
        <v>195</v>
      </c>
      <c r="J27" s="10">
        <f t="shared" si="3"/>
        <v>2752018439.7691913</v>
      </c>
      <c r="K27" s="11">
        <f t="shared" si="4"/>
        <v>2.0500000000000185E-2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11"/>
      <c r="H28" s="10"/>
      <c r="I28" s="10">
        <f t="shared" si="5"/>
        <v>195</v>
      </c>
      <c r="J28" s="10">
        <f t="shared" si="3"/>
        <v>2696735364.790976</v>
      </c>
      <c r="K28" s="11">
        <f t="shared" si="4"/>
        <v>2.1500000000000075E-2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11"/>
      <c r="H29" s="10"/>
      <c r="I29" s="10">
        <f t="shared" si="5"/>
        <v>195</v>
      </c>
      <c r="J29" s="10">
        <f t="shared" si="3"/>
        <v>2639975883.3000255</v>
      </c>
      <c r="K29" s="11">
        <f t="shared" si="4"/>
        <v>2.2599999999999953E-2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11"/>
      <c r="H30" s="10"/>
      <c r="I30" s="10">
        <f t="shared" si="5"/>
        <v>195</v>
      </c>
      <c r="J30" s="10">
        <f t="shared" si="3"/>
        <v>2581631022.1983428</v>
      </c>
      <c r="K30" s="11">
        <f t="shared" si="4"/>
        <v>2.3700000000000054E-2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11"/>
      <c r="H31" s="10"/>
      <c r="I31" s="10">
        <f t="shared" si="5"/>
        <v>195</v>
      </c>
      <c r="J31" s="10">
        <f t="shared" si="3"/>
        <v>2521862872.1288881</v>
      </c>
      <c r="K31" s="11">
        <f t="shared" si="4"/>
        <v>2.4499999999999744E-2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11"/>
      <c r="H32" s="10"/>
      <c r="I32" s="10">
        <f t="shared" si="5"/>
        <v>195</v>
      </c>
      <c r="J32" s="10">
        <f t="shared" si="3"/>
        <v>2461554780.0184369</v>
      </c>
      <c r="K32" s="11">
        <f t="shared" si="4"/>
        <v>2.4799999999999933E-2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11"/>
      <c r="H33" s="10"/>
      <c r="I33" s="10">
        <f t="shared" si="5"/>
        <v>195</v>
      </c>
      <c r="J33" s="10">
        <f t="shared" si="3"/>
        <v>2401985538.659677</v>
      </c>
      <c r="K33" s="11">
        <f t="shared" si="4"/>
        <v>2.3700000000000054E-2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11"/>
      <c r="H34" s="10"/>
      <c r="I34" s="10">
        <f t="shared" si="5"/>
        <v>195</v>
      </c>
      <c r="J34" s="10">
        <f t="shared" ref="J34:J65" si="6">IF(I34="","",I34*C34)</f>
        <v>2346376417.5634236</v>
      </c>
      <c r="K34" s="11">
        <f t="shared" ref="K34:K65" si="7">IFERROR(J34/J35-1,"")</f>
        <v>2.200000000000002E-2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11"/>
      <c r="H35" s="10"/>
      <c r="I35" s="10">
        <f t="shared" ref="I35:I66" si="8">IF(H35&lt;&gt;"",H35,I34/(1+IF(G34="",0,G34)))</f>
        <v>195</v>
      </c>
      <c r="J35" s="10">
        <f t="shared" si="6"/>
        <v>2295867336.1677337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11"/>
      <c r="H36" s="10"/>
      <c r="I36" s="10">
        <f t="shared" si="8"/>
        <v>195</v>
      </c>
      <c r="J36" s="10">
        <f t="shared" si="6"/>
        <v>2247545116.1700768</v>
      </c>
      <c r="K36" s="11">
        <f t="shared" si="7"/>
        <v>2.1700000000000275E-2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11"/>
      <c r="H37" s="10"/>
      <c r="I37" s="10">
        <f t="shared" si="8"/>
        <v>195</v>
      </c>
      <c r="J37" s="10">
        <f t="shared" si="6"/>
        <v>2199809255.3294277</v>
      </c>
      <c r="K37" s="11">
        <f t="shared" si="7"/>
        <v>2.2399999999999975E-2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11"/>
      <c r="H38" s="10"/>
      <c r="I38" s="10">
        <f t="shared" si="8"/>
        <v>195</v>
      </c>
      <c r="J38" s="10">
        <f t="shared" si="6"/>
        <v>2151613121.4098473</v>
      </c>
      <c r="K38" s="11">
        <f t="shared" si="7"/>
        <v>2.3600000000000065E-2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11"/>
      <c r="H39" s="10"/>
      <c r="I39" s="10">
        <f t="shared" si="8"/>
        <v>195</v>
      </c>
      <c r="J39" s="10">
        <f t="shared" si="6"/>
        <v>2102005784.8865252</v>
      </c>
      <c r="K39" s="11">
        <f t="shared" si="7"/>
        <v>2.4999999999999911E-2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11"/>
      <c r="H40" s="10"/>
      <c r="I40" s="10">
        <f t="shared" si="8"/>
        <v>195</v>
      </c>
      <c r="J40" s="10">
        <f t="shared" si="6"/>
        <v>2050737351.1088052</v>
      </c>
      <c r="K40" s="11">
        <f t="shared" si="7"/>
        <v>2.6699999999999946E-2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11"/>
      <c r="H41" s="10"/>
      <c r="I41" s="10">
        <f t="shared" si="8"/>
        <v>195</v>
      </c>
      <c r="J41" s="10">
        <f t="shared" si="6"/>
        <v>1997406595.0217252</v>
      </c>
      <c r="K41" s="11">
        <f t="shared" si="7"/>
        <v>2.8100000000000014E-2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11"/>
      <c r="H42" s="10"/>
      <c r="I42" s="10">
        <f t="shared" si="8"/>
        <v>195</v>
      </c>
      <c r="J42" s="10">
        <f t="shared" si="6"/>
        <v>1942813534.6967466</v>
      </c>
      <c r="K42" s="11">
        <f t="shared" si="7"/>
        <v>2.8999999999999915E-2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11"/>
      <c r="H43" s="10"/>
      <c r="I43" s="10">
        <f t="shared" si="8"/>
        <v>195</v>
      </c>
      <c r="J43" s="10">
        <f t="shared" si="6"/>
        <v>1888059800.4827471</v>
      </c>
      <c r="K43" s="11">
        <f t="shared" si="7"/>
        <v>3.0299999999999994E-2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11"/>
      <c r="H44" s="10"/>
      <c r="I44" s="10">
        <f t="shared" si="8"/>
        <v>195</v>
      </c>
      <c r="J44" s="10">
        <f t="shared" si="6"/>
        <v>1832534019.6862535</v>
      </c>
      <c r="K44" s="11">
        <f t="shared" si="7"/>
        <v>3.0200000000000005E-2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11"/>
      <c r="H45" s="10"/>
      <c r="I45" s="10">
        <f t="shared" si="8"/>
        <v>195</v>
      </c>
      <c r="J45" s="10">
        <f t="shared" si="6"/>
        <v>1778813841.6678836</v>
      </c>
      <c r="K45" s="11">
        <f t="shared" si="7"/>
        <v>3.0399999999999983E-2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11"/>
      <c r="H46" s="10"/>
      <c r="I46" s="10">
        <f t="shared" si="8"/>
        <v>195</v>
      </c>
      <c r="J46" s="10">
        <f t="shared" si="6"/>
        <v>1726333309.0720921</v>
      </c>
      <c r="K46" s="11">
        <f t="shared" si="7"/>
        <v>2.8799999999999937E-2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11"/>
      <c r="H47" s="10"/>
      <c r="I47" s="10">
        <f t="shared" si="8"/>
        <v>195</v>
      </c>
      <c r="J47" s="10">
        <f t="shared" si="6"/>
        <v>1678006715.6610537</v>
      </c>
      <c r="K47" s="11">
        <f t="shared" si="7"/>
        <v>2.6799999999999935E-2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11"/>
      <c r="H48" s="10"/>
      <c r="I48" s="10">
        <f t="shared" si="8"/>
        <v>195</v>
      </c>
      <c r="J48" s="10">
        <f t="shared" si="6"/>
        <v>1634209890.5931573</v>
      </c>
      <c r="K48" s="11">
        <f t="shared" si="7"/>
        <v>2.6899999999999924E-2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11"/>
      <c r="H49" s="10"/>
      <c r="I49" s="10">
        <f t="shared" si="8"/>
        <v>195</v>
      </c>
      <c r="J49" s="10">
        <f t="shared" si="6"/>
        <v>1591401198.3573449</v>
      </c>
      <c r="K49" s="11">
        <f t="shared" si="7"/>
        <v>2.4999999999999911E-2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11"/>
      <c r="H50" s="10"/>
      <c r="I50" s="10">
        <f t="shared" si="8"/>
        <v>195</v>
      </c>
      <c r="J50" s="10">
        <f t="shared" si="6"/>
        <v>1552586534.9827757</v>
      </c>
      <c r="K50" s="11">
        <f t="shared" si="7"/>
        <v>2.3500000000000076E-2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11"/>
      <c r="H51" s="10"/>
      <c r="I51" s="10">
        <f t="shared" si="8"/>
        <v>195</v>
      </c>
      <c r="J51" s="10">
        <f t="shared" si="6"/>
        <v>1516938480.6866395</v>
      </c>
      <c r="K51" s="11">
        <f t="shared" si="7"/>
        <v>2.120000000000033E-2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11"/>
      <c r="H52" s="10"/>
      <c r="I52" s="10">
        <f t="shared" si="8"/>
        <v>195</v>
      </c>
      <c r="J52" s="10">
        <f t="shared" si="6"/>
        <v>1485447004.197649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11"/>
      <c r="H53" s="10"/>
      <c r="I53" s="10">
        <f t="shared" si="8"/>
        <v>195</v>
      </c>
      <c r="J53" s="10">
        <f t="shared" si="6"/>
        <v>1454609287.3067458</v>
      </c>
      <c r="K53" s="11">
        <f t="shared" si="7"/>
        <v>2.1699999999999831E-2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11"/>
      <c r="H54" s="10"/>
      <c r="I54" s="10">
        <f t="shared" si="8"/>
        <v>195</v>
      </c>
      <c r="J54" s="10">
        <f t="shared" si="6"/>
        <v>1423714678.7772789</v>
      </c>
      <c r="K54" s="11">
        <f t="shared" si="7"/>
        <v>2.2399999999999975E-2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11"/>
      <c r="H55" s="10"/>
      <c r="I55" s="10">
        <f t="shared" si="8"/>
        <v>195</v>
      </c>
      <c r="J55" s="10">
        <f t="shared" si="6"/>
        <v>1392522181.9026594</v>
      </c>
      <c r="K55" s="11">
        <f t="shared" si="7"/>
        <v>2.3099999999999898E-2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11"/>
      <c r="H56" s="10"/>
      <c r="I56" s="10">
        <f t="shared" si="8"/>
        <v>195</v>
      </c>
      <c r="J56" s="10">
        <f t="shared" si="6"/>
        <v>1361081206.0430648</v>
      </c>
      <c r="K56" s="11">
        <f t="shared" si="7"/>
        <v>2.3700000000000054E-2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11"/>
      <c r="H57" s="10"/>
      <c r="I57" s="10">
        <f t="shared" si="8"/>
        <v>195</v>
      </c>
      <c r="J57" s="10">
        <f t="shared" si="6"/>
        <v>1329570387.850996</v>
      </c>
      <c r="K57" s="11">
        <f t="shared" si="7"/>
        <v>2.4299999999999988E-2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11"/>
      <c r="H58" s="10"/>
      <c r="I58" s="10">
        <f t="shared" si="8"/>
        <v>195</v>
      </c>
      <c r="J58" s="10">
        <f t="shared" si="6"/>
        <v>1298028300.1571767</v>
      </c>
      <c r="K58" s="11">
        <f t="shared" si="7"/>
        <v>2.4799999999999933E-2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11"/>
      <c r="H59" s="10"/>
      <c r="I59" s="10">
        <f t="shared" si="8"/>
        <v>195</v>
      </c>
      <c r="J59" s="10">
        <f t="shared" si="6"/>
        <v>1266616217.951968</v>
      </c>
      <c r="K59" s="11">
        <f t="shared" si="7"/>
        <v>2.50999999999999E-2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11"/>
      <c r="H60" s="10"/>
      <c r="I60" s="10">
        <f t="shared" si="8"/>
        <v>195</v>
      </c>
      <c r="J60" s="10">
        <f t="shared" si="6"/>
        <v>1235602592.8709083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11"/>
      <c r="H61" s="10"/>
      <c r="I61" s="10">
        <f t="shared" si="8"/>
        <v>195</v>
      </c>
      <c r="J61" s="10">
        <f t="shared" si="6"/>
        <v>1204995702.0391147</v>
      </c>
      <c r="K61" s="11">
        <f t="shared" si="7"/>
        <v>2.5700000000000056E-2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11"/>
      <c r="H62" s="10"/>
      <c r="I62" s="10">
        <f t="shared" si="8"/>
        <v>195</v>
      </c>
      <c r="J62" s="10">
        <f t="shared" si="6"/>
        <v>1174803258.3007846</v>
      </c>
      <c r="K62" s="11">
        <f t="shared" si="7"/>
        <v>2.6300000000000212E-2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11"/>
      <c r="H63" s="10"/>
      <c r="I63" s="10">
        <f t="shared" si="8"/>
        <v>195</v>
      </c>
      <c r="J63" s="10">
        <f t="shared" si="6"/>
        <v>1144697708.5655115</v>
      </c>
      <c r="K63" s="11">
        <f t="shared" si="7"/>
        <v>2.6799999999999935E-2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11"/>
      <c r="H64" s="10"/>
      <c r="I64" s="10">
        <f t="shared" si="8"/>
        <v>195</v>
      </c>
      <c r="J64" s="10">
        <f t="shared" si="6"/>
        <v>1114820518.665282</v>
      </c>
      <c r="K64" s="11">
        <f t="shared" si="7"/>
        <v>2.7399999999999869E-2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11"/>
      <c r="H65" s="10"/>
      <c r="I65" s="10">
        <f t="shared" si="8"/>
        <v>195</v>
      </c>
      <c r="J65" s="10">
        <f t="shared" si="6"/>
        <v>1085089077.9300001</v>
      </c>
      <c r="K65" s="11">
        <f t="shared" si="7"/>
        <v>2.8000000000000025E-2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6">
        <f>SUM(F2)</f>
        <v>19674606</v>
      </c>
      <c r="G66" s="11"/>
      <c r="H66" s="10"/>
      <c r="I66" s="10">
        <f t="shared" si="8"/>
        <v>195</v>
      </c>
      <c r="J66" s="10">
        <f t="shared" ref="J66:J97" si="9">IF(I66="","",I66*C66)</f>
        <v>1055534122.5</v>
      </c>
      <c r="K66" s="11">
        <f t="shared" ref="K66:K97" si="10">IFERROR(J66/J67-1,"")</f>
        <v>2.849999999999997E-2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11"/>
      <c r="H67" s="10"/>
      <c r="I67" s="10">
        <f t="shared" ref="I67:I98" si="11">IF(H67&lt;&gt;"",H67,I66/(1+IF(G66="",0,G66)))</f>
        <v>195</v>
      </c>
      <c r="J67" s="10">
        <f t="shared" si="9"/>
        <v>1026285000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5">
        <v>2950683</v>
      </c>
      <c r="G2" s="11"/>
      <c r="H2" s="10"/>
      <c r="I2" s="10">
        <f>IF(H2&lt;&gt;"",H2,127)</f>
        <v>127</v>
      </c>
      <c r="J2" s="10">
        <f t="shared" ref="J2:J33" si="3">IF(I2="","",I2*C2)</f>
        <v>374743579.74649137</v>
      </c>
      <c r="K2" s="11">
        <f t="shared" ref="K2:K33" si="4">IFERROR(J2/J3-1,"")</f>
        <v>2.1099999999999897E-2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11"/>
      <c r="H3" s="10"/>
      <c r="I3" s="10">
        <f t="shared" ref="I3:I34" si="5">IF(H3&lt;&gt;"",H3,I2/(1+IF(G2="",0,G2)))</f>
        <v>127</v>
      </c>
      <c r="J3" s="10">
        <f t="shared" si="3"/>
        <v>366999882.23140866</v>
      </c>
      <c r="K3" s="11">
        <f t="shared" si="4"/>
        <v>2.8699999999999726E-2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11"/>
      <c r="H4" s="10"/>
      <c r="I4" s="10">
        <f t="shared" si="5"/>
        <v>127</v>
      </c>
      <c r="J4" s="10">
        <f t="shared" si="3"/>
        <v>356760845.95256996</v>
      </c>
      <c r="K4" s="11">
        <f t="shared" si="4"/>
        <v>3.8500000000000201E-2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11"/>
      <c r="H5" s="10"/>
      <c r="I5" s="10">
        <f t="shared" si="5"/>
        <v>127</v>
      </c>
      <c r="J5" s="10">
        <f t="shared" si="3"/>
        <v>343534757.77811259</v>
      </c>
      <c r="K5" s="11">
        <f t="shared" si="4"/>
        <v>4.6200000000000019E-2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11"/>
      <c r="H6" s="10"/>
      <c r="I6" s="10">
        <f t="shared" si="5"/>
        <v>127</v>
      </c>
      <c r="J6" s="10">
        <f t="shared" si="3"/>
        <v>328364325.9205817</v>
      </c>
      <c r="K6" s="11">
        <f t="shared" si="4"/>
        <v>4.4699999999999962E-2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11"/>
      <c r="H7" s="10"/>
      <c r="I7" s="10">
        <f t="shared" si="5"/>
        <v>127</v>
      </c>
      <c r="J7" s="10">
        <f t="shared" si="3"/>
        <v>314314469.14959484</v>
      </c>
      <c r="K7" s="11">
        <f t="shared" si="4"/>
        <v>3.8299999999999779E-2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11"/>
      <c r="H8" s="10"/>
      <c r="I8" s="10">
        <f t="shared" si="5"/>
        <v>127</v>
      </c>
      <c r="J8" s="10">
        <f t="shared" si="3"/>
        <v>302720282.33612144</v>
      </c>
      <c r="K8" s="11">
        <f t="shared" si="4"/>
        <v>3.4699999999999953E-2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11"/>
      <c r="H9" s="10"/>
      <c r="I9" s="10">
        <f t="shared" si="5"/>
        <v>127</v>
      </c>
      <c r="J9" s="10">
        <f t="shared" si="3"/>
        <v>292568166.94319266</v>
      </c>
      <c r="K9" s="11">
        <f t="shared" si="4"/>
        <v>3.8000000000000256E-2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11"/>
      <c r="H10" s="10"/>
      <c r="I10" s="10">
        <f t="shared" si="5"/>
        <v>127</v>
      </c>
      <c r="J10" s="10">
        <f t="shared" si="3"/>
        <v>281857578.94334549</v>
      </c>
      <c r="K10" s="11">
        <f t="shared" si="4"/>
        <v>4.589999999999983E-2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11"/>
      <c r="H11" s="10"/>
      <c r="I11" s="10">
        <f t="shared" si="5"/>
        <v>127</v>
      </c>
      <c r="J11" s="10">
        <f t="shared" si="3"/>
        <v>269488076.24375707</v>
      </c>
      <c r="K11" s="11">
        <f t="shared" si="4"/>
        <v>5.0499999999999989E-2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11"/>
      <c r="H12" s="10"/>
      <c r="I12" s="10">
        <f t="shared" si="5"/>
        <v>127</v>
      </c>
      <c r="J12" s="10">
        <f t="shared" si="3"/>
        <v>256533152.06449983</v>
      </c>
      <c r="K12" s="11">
        <f t="shared" si="4"/>
        <v>4.3399999999999883E-2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11"/>
      <c r="H13" s="10"/>
      <c r="I13" s="10">
        <f t="shared" si="5"/>
        <v>127</v>
      </c>
      <c r="J13" s="10">
        <f t="shared" si="3"/>
        <v>245862710.43176138</v>
      </c>
      <c r="K13" s="11">
        <f t="shared" si="4"/>
        <v>3.1600000000000072E-2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11"/>
      <c r="H14" s="10"/>
      <c r="I14" s="10">
        <f t="shared" si="5"/>
        <v>127</v>
      </c>
      <c r="J14" s="10">
        <f t="shared" si="3"/>
        <v>238331437.02187026</v>
      </c>
      <c r="K14" s="11">
        <f t="shared" si="4"/>
        <v>2.1500000000000075E-2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11"/>
      <c r="H15" s="10"/>
      <c r="I15" s="10">
        <f t="shared" si="5"/>
        <v>127</v>
      </c>
      <c r="J15" s="10">
        <f t="shared" si="3"/>
        <v>233315161.05909958</v>
      </c>
      <c r="K15" s="11">
        <f t="shared" si="4"/>
        <v>1.4899999999999913E-2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11"/>
      <c r="H16" s="10"/>
      <c r="I16" s="10">
        <f t="shared" si="5"/>
        <v>127</v>
      </c>
      <c r="J16" s="10">
        <f t="shared" si="3"/>
        <v>229889802.99448183</v>
      </c>
      <c r="K16" s="11">
        <f t="shared" si="4"/>
        <v>1.0199999999999987E-2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11"/>
      <c r="H17" s="10"/>
      <c r="I17" s="10">
        <f t="shared" si="5"/>
        <v>127</v>
      </c>
      <c r="J17" s="10">
        <f t="shared" si="3"/>
        <v>227568603.24141937</v>
      </c>
      <c r="K17" s="11">
        <f t="shared" si="4"/>
        <v>6.8999999999999062E-3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11"/>
      <c r="H18" s="10"/>
      <c r="I18" s="10">
        <f t="shared" si="5"/>
        <v>127</v>
      </c>
      <c r="J18" s="10">
        <f t="shared" si="3"/>
        <v>226009140.17421728</v>
      </c>
      <c r="K18" s="11">
        <f t="shared" si="4"/>
        <v>5.8000000000000274E-3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11"/>
      <c r="H19" s="10"/>
      <c r="I19" s="10">
        <f t="shared" si="5"/>
        <v>127</v>
      </c>
      <c r="J19" s="10">
        <f t="shared" si="3"/>
        <v>224705846.26587522</v>
      </c>
      <c r="K19" s="11">
        <f t="shared" si="4"/>
        <v>6.4000000000001833E-3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11"/>
      <c r="H20" s="10"/>
      <c r="I20" s="10">
        <f t="shared" si="5"/>
        <v>127</v>
      </c>
      <c r="J20" s="10">
        <f t="shared" si="3"/>
        <v>223276874.27054372</v>
      </c>
      <c r="K20" s="11">
        <f t="shared" si="4"/>
        <v>8.3999999999999631E-3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11"/>
      <c r="H21" s="10"/>
      <c r="I21" s="10">
        <f t="shared" si="5"/>
        <v>127</v>
      </c>
      <c r="J21" s="10">
        <f t="shared" si="3"/>
        <v>221416971.70819491</v>
      </c>
      <c r="K21" s="11">
        <f t="shared" si="4"/>
        <v>1.1400000000000077E-2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11"/>
      <c r="H22" s="10"/>
      <c r="I22" s="10">
        <f t="shared" si="5"/>
        <v>127</v>
      </c>
      <c r="J22" s="10">
        <f t="shared" si="3"/>
        <v>218921269.23887175</v>
      </c>
      <c r="K22" s="11">
        <f t="shared" si="4"/>
        <v>1.5200000000000102E-2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11"/>
      <c r="H23" s="10"/>
      <c r="I23" s="10">
        <f t="shared" si="5"/>
        <v>127</v>
      </c>
      <c r="J23" s="10">
        <f t="shared" si="3"/>
        <v>215643488.21795875</v>
      </c>
      <c r="K23" s="11">
        <f t="shared" si="4"/>
        <v>1.9099999999999895E-2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11"/>
      <c r="H24" s="10"/>
      <c r="I24" s="10">
        <f t="shared" si="5"/>
        <v>127</v>
      </c>
      <c r="J24" s="10">
        <f t="shared" si="3"/>
        <v>211601892.07924521</v>
      </c>
      <c r="K24" s="11">
        <f t="shared" si="4"/>
        <v>2.2799999999999931E-2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11"/>
      <c r="H25" s="10"/>
      <c r="I25" s="10">
        <f t="shared" si="5"/>
        <v>127</v>
      </c>
      <c r="J25" s="10">
        <f t="shared" si="3"/>
        <v>206884915.99456906</v>
      </c>
      <c r="K25" s="11">
        <f t="shared" si="4"/>
        <v>2.5900000000000034E-2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11"/>
      <c r="H26" s="10"/>
      <c r="I26" s="10">
        <f t="shared" si="5"/>
        <v>127</v>
      </c>
      <c r="J26" s="10">
        <f t="shared" si="3"/>
        <v>201661873.47165322</v>
      </c>
      <c r="K26" s="11">
        <f t="shared" si="4"/>
        <v>2.8100000000000014E-2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11"/>
      <c r="H27" s="10"/>
      <c r="I27" s="10">
        <f t="shared" si="5"/>
        <v>127</v>
      </c>
      <c r="J27" s="10">
        <f t="shared" si="3"/>
        <v>196150056.87350765</v>
      </c>
      <c r="K27" s="11">
        <f t="shared" si="4"/>
        <v>2.9500000000000082E-2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11"/>
      <c r="H28" s="10"/>
      <c r="I28" s="10">
        <f t="shared" si="5"/>
        <v>127</v>
      </c>
      <c r="J28" s="10">
        <f t="shared" si="3"/>
        <v>190529438.43954116</v>
      </c>
      <c r="K28" s="11">
        <f t="shared" si="4"/>
        <v>3.0299999999999994E-2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11"/>
      <c r="H29" s="10"/>
      <c r="I29" s="10">
        <f t="shared" si="5"/>
        <v>127</v>
      </c>
      <c r="J29" s="10">
        <f t="shared" si="3"/>
        <v>184926175.32712916</v>
      </c>
      <c r="K29" s="11">
        <f t="shared" si="4"/>
        <v>3.0399999999999983E-2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11"/>
      <c r="H30" s="10"/>
      <c r="I30" s="10">
        <f t="shared" si="5"/>
        <v>127</v>
      </c>
      <c r="J30" s="10">
        <f t="shared" si="3"/>
        <v>179470278.85008654</v>
      </c>
      <c r="K30" s="11">
        <f t="shared" si="4"/>
        <v>2.990000000000026E-2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11"/>
      <c r="H31" s="10"/>
      <c r="I31" s="10">
        <f t="shared" si="5"/>
        <v>127</v>
      </c>
      <c r="J31" s="10">
        <f t="shared" si="3"/>
        <v>174259907.61247355</v>
      </c>
      <c r="K31" s="11">
        <f t="shared" si="4"/>
        <v>2.8599999999999959E-2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11"/>
      <c r="H32" s="10"/>
      <c r="I32" s="10">
        <f t="shared" si="5"/>
        <v>127</v>
      </c>
      <c r="J32" s="10">
        <f t="shared" si="3"/>
        <v>169414648.66077539</v>
      </c>
      <c r="K32" s="11">
        <f t="shared" si="4"/>
        <v>2.6699999999999946E-2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11"/>
      <c r="H33" s="10"/>
      <c r="I33" s="10">
        <f t="shared" si="5"/>
        <v>127</v>
      </c>
      <c r="J33" s="10">
        <f t="shared" si="3"/>
        <v>165008910.74391294</v>
      </c>
      <c r="K33" s="11">
        <f t="shared" si="4"/>
        <v>2.4499999999999744E-2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11"/>
      <c r="H34" s="10"/>
      <c r="I34" s="10">
        <f t="shared" si="5"/>
        <v>127</v>
      </c>
      <c r="J34" s="10">
        <f t="shared" ref="J34:J65" si="6">IF(I34="","",I34*C34)</f>
        <v>161062870.4186559</v>
      </c>
      <c r="K34" s="11">
        <f t="shared" ref="K34:K65" si="7">IFERROR(J34/J35-1,"")</f>
        <v>2.2799999999999931E-2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11"/>
      <c r="H35" s="10"/>
      <c r="I35" s="10">
        <f t="shared" ref="I35:I66" si="8">IF(H35&lt;&gt;"",H35,I34/(1+IF(G34="",0,G34)))</f>
        <v>127</v>
      </c>
      <c r="J35" s="10">
        <f t="shared" si="6"/>
        <v>157472497.47619858</v>
      </c>
      <c r="K35" s="11">
        <f t="shared" si="7"/>
        <v>2.1500000000000075E-2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11"/>
      <c r="H36" s="10"/>
      <c r="I36" s="10">
        <f t="shared" si="8"/>
        <v>127</v>
      </c>
      <c r="J36" s="10">
        <f t="shared" si="6"/>
        <v>154158098.36142787</v>
      </c>
      <c r="K36" s="11">
        <f t="shared" si="7"/>
        <v>2.0899999999999919E-2</v>
      </c>
      <c r="L36" t="inlineStr">
        <is>
          <t xml:space="preserve">Great War of Massir begins - northern-Massir war economy.</t>
        </is>
      </c>
      <c r="M36" t="inlineStr">
        <is>
          <t xml:space="preserve">Great War of Massir (from 1731): a major war across northern Massir that strained the region's economies.</t>
        </is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11"/>
      <c r="H37" s="10"/>
      <c r="I37" s="10">
        <f t="shared" si="8"/>
        <v>127</v>
      </c>
      <c r="J37" s="10">
        <f t="shared" si="6"/>
        <v>151002153.35628161</v>
      </c>
      <c r="K37" s="11">
        <f t="shared" si="7"/>
        <v>2.0899999999999919E-2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11"/>
      <c r="H38" s="10"/>
      <c r="I38" s="10">
        <f t="shared" si="8"/>
        <v>127</v>
      </c>
      <c r="J38" s="10">
        <f t="shared" si="6"/>
        <v>147910817.27522933</v>
      </c>
      <c r="K38" s="11">
        <f t="shared" si="7"/>
        <v>2.1400000000000086E-2</v>
      </c>
      <c r="L38" t="inlineStr">
        <is>
          <t xml:space="preserve">Massiran Credit Crisis - regional banking &amp; credit crunch spreading from Dahe.</t>
        </is>
      </c>
      <c r="M38" t="inlineStr">
        <is>
          <t xml:space="preserve">Massiran Credit Crisis (1729): a credit crunch that began in Dahe's banking sector, spread across Massir, and forced the GTU's 'Global Austerity' response.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11"/>
      <c r="H39" s="10"/>
      <c r="I39" s="10">
        <f t="shared" si="8"/>
        <v>127</v>
      </c>
      <c r="J39" s="10">
        <f t="shared" si="6"/>
        <v>144811843.81753409</v>
      </c>
      <c r="K39" s="11">
        <f t="shared" si="7"/>
        <v>2.2399999999999975E-2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11"/>
      <c r="H40" s="10"/>
      <c r="I40" s="10">
        <f t="shared" si="8"/>
        <v>127</v>
      </c>
      <c r="J40" s="10">
        <f t="shared" si="6"/>
        <v>141639127.36456779</v>
      </c>
      <c r="K40" s="11">
        <f t="shared" si="7"/>
        <v>2.3800000000000043E-2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11"/>
      <c r="H41" s="10"/>
      <c r="I41" s="10">
        <f t="shared" si="8"/>
        <v>127</v>
      </c>
      <c r="J41" s="10">
        <f t="shared" si="6"/>
        <v>138346481.11405331</v>
      </c>
      <c r="K41" s="11">
        <f t="shared" si="7"/>
        <v>2.4999999999999911E-2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11"/>
      <c r="H42" s="10"/>
      <c r="I42" s="10">
        <f t="shared" si="8"/>
        <v>127</v>
      </c>
      <c r="J42" s="10">
        <f t="shared" si="6"/>
        <v>134972176.69663739</v>
      </c>
      <c r="K42" s="11">
        <f t="shared" si="7"/>
        <v>2.5700000000000056E-2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11"/>
      <c r="H43" s="10"/>
      <c r="I43" s="10">
        <f t="shared" si="8"/>
        <v>127</v>
      </c>
      <c r="J43" s="10">
        <f t="shared" si="6"/>
        <v>131590305.83663584</v>
      </c>
      <c r="K43" s="11">
        <f t="shared" si="7"/>
        <v>2.6100000000000012E-2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11"/>
      <c r="H44" s="10"/>
      <c r="I44" s="10">
        <f t="shared" si="8"/>
        <v>127</v>
      </c>
      <c r="J44" s="10">
        <f t="shared" si="6"/>
        <v>128243159.37689878</v>
      </c>
      <c r="K44" s="11">
        <f t="shared" si="7"/>
        <v>2.6399999999999979E-2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11"/>
      <c r="H45" s="10"/>
      <c r="I45" s="10">
        <f t="shared" si="8"/>
        <v>127</v>
      </c>
      <c r="J45" s="10">
        <f t="shared" si="6"/>
        <v>124944621.37266055</v>
      </c>
      <c r="K45" s="11">
        <f t="shared" si="7"/>
        <v>2.6399999999999979E-2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11"/>
      <c r="H46" s="10"/>
      <c r="I46" s="10">
        <f t="shared" si="8"/>
        <v>127</v>
      </c>
      <c r="J46" s="10">
        <f t="shared" si="6"/>
        <v>121730924.95387816</v>
      </c>
      <c r="K46" s="11">
        <f t="shared" si="7"/>
        <v>2.6200000000000001E-2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11"/>
      <c r="H47" s="10"/>
      <c r="I47" s="10">
        <f t="shared" si="8"/>
        <v>127</v>
      </c>
      <c r="J47" s="10">
        <f t="shared" si="6"/>
        <v>118623002.2937811</v>
      </c>
      <c r="K47" s="11">
        <f t="shared" si="7"/>
        <v>2.5700000000000056E-2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11"/>
      <c r="H48" s="10"/>
      <c r="I48" s="10">
        <f t="shared" si="8"/>
        <v>127</v>
      </c>
      <c r="J48" s="10">
        <f t="shared" si="6"/>
        <v>115650777.31674086</v>
      </c>
      <c r="K48" s="11">
        <f t="shared" si="7"/>
        <v>2.4799999999999933E-2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11"/>
      <c r="H49" s="10"/>
      <c r="I49" s="10">
        <f t="shared" si="8"/>
        <v>127</v>
      </c>
      <c r="J49" s="10">
        <f t="shared" si="6"/>
        <v>112852046.56200318</v>
      </c>
      <c r="K49" s="11">
        <f t="shared" si="7"/>
        <v>2.3500000000000076E-2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11"/>
      <c r="H50" s="10"/>
      <c r="I50" s="10">
        <f t="shared" si="8"/>
        <v>127</v>
      </c>
      <c r="J50" s="10">
        <f t="shared" si="6"/>
        <v>110260915.05813695</v>
      </c>
      <c r="K50" s="11">
        <f t="shared" si="7"/>
        <v>2.1900000000000253E-2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11"/>
      <c r="H51" s="10"/>
      <c r="I51" s="10">
        <f t="shared" si="8"/>
        <v>127</v>
      </c>
      <c r="J51" s="10">
        <f t="shared" si="6"/>
        <v>107897949.95414124</v>
      </c>
      <c r="K51" s="11">
        <f t="shared" si="7"/>
        <v>2.0000000000000018E-2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11"/>
      <c r="H52" s="10"/>
      <c r="I52" s="10">
        <f t="shared" si="8"/>
        <v>127</v>
      </c>
      <c r="J52" s="10">
        <f t="shared" si="6"/>
        <v>105782303.87660907</v>
      </c>
      <c r="K52" s="11">
        <f t="shared" si="7"/>
        <v>1.8000000000000016E-2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11"/>
      <c r="H53" s="10"/>
      <c r="I53" s="10">
        <f t="shared" si="8"/>
        <v>127</v>
      </c>
      <c r="J53" s="10">
        <f t="shared" si="6"/>
        <v>103911889.85914446</v>
      </c>
      <c r="K53" s="11">
        <f t="shared" si="7"/>
        <v>1.6199999999999992E-2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11"/>
      <c r="H54" s="10"/>
      <c r="I54" s="10">
        <f t="shared" si="8"/>
        <v>127</v>
      </c>
      <c r="J54" s="10">
        <f t="shared" si="6"/>
        <v>102255353.13830395</v>
      </c>
      <c r="K54" s="11">
        <f t="shared" si="7"/>
        <v>1.4700000000000157E-2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11"/>
      <c r="H55" s="10"/>
      <c r="I55" s="10">
        <f t="shared" si="8"/>
        <v>127</v>
      </c>
      <c r="J55" s="10">
        <f t="shared" si="6"/>
        <v>100773975.69557893</v>
      </c>
      <c r="K55" s="11">
        <f t="shared" si="7"/>
        <v>1.3600000000000056E-2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11"/>
      <c r="H56" s="10"/>
      <c r="I56" s="10">
        <f t="shared" si="8"/>
        <v>127</v>
      </c>
      <c r="J56" s="10">
        <f t="shared" si="6"/>
        <v>99421838.689403042</v>
      </c>
      <c r="K56" s="11">
        <f t="shared" si="7"/>
        <v>1.3100000000000112E-2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11"/>
      <c r="H57" s="10"/>
      <c r="I57" s="10">
        <f t="shared" si="8"/>
        <v>127</v>
      </c>
      <c r="J57" s="10">
        <f t="shared" si="6"/>
        <v>98136253.765080482</v>
      </c>
      <c r="K57" s="11">
        <f t="shared" si="7"/>
        <v>1.3200000000000101E-2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11"/>
      <c r="H58" s="10"/>
      <c r="I58" s="10">
        <f t="shared" si="8"/>
        <v>127</v>
      </c>
      <c r="J58" s="10">
        <f t="shared" si="6"/>
        <v>96857731.706553966</v>
      </c>
      <c r="K58" s="11">
        <f t="shared" si="7"/>
        <v>1.4100000000000001E-2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11"/>
      <c r="H59" s="10"/>
      <c r="I59" s="10">
        <f t="shared" si="8"/>
        <v>127</v>
      </c>
      <c r="J59" s="10">
        <f t="shared" si="6"/>
        <v>95511026.236617655</v>
      </c>
      <c r="K59" s="11">
        <f t="shared" si="7"/>
        <v>1.5700000000000047E-2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11"/>
      <c r="H60" s="10"/>
      <c r="I60" s="10">
        <f t="shared" si="8"/>
        <v>127</v>
      </c>
      <c r="J60" s="10">
        <f t="shared" si="6"/>
        <v>94034681.733403221</v>
      </c>
      <c r="K60" s="11">
        <f t="shared" si="7"/>
        <v>1.7900000000000027E-2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11"/>
      <c r="H61" s="10"/>
      <c r="I61" s="10">
        <f t="shared" si="8"/>
        <v>127</v>
      </c>
      <c r="J61" s="10">
        <f t="shared" si="6"/>
        <v>92381060.746048942</v>
      </c>
      <c r="K61" s="11">
        <f t="shared" si="7"/>
        <v>2.0100000000000007E-2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11"/>
      <c r="H62" s="10"/>
      <c r="I62" s="10">
        <f t="shared" si="8"/>
        <v>127</v>
      </c>
      <c r="J62" s="10">
        <f t="shared" si="6"/>
        <v>90560788.889372557</v>
      </c>
      <c r="K62" s="11">
        <f t="shared" si="7"/>
        <v>2.1900000000000253E-2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11"/>
      <c r="H63" s="10"/>
      <c r="I63" s="10">
        <f t="shared" si="8"/>
        <v>127</v>
      </c>
      <c r="J63" s="10">
        <f t="shared" si="6"/>
        <v>88620010.656006008</v>
      </c>
      <c r="K63" s="11">
        <f t="shared" si="7"/>
        <v>2.3099999999999898E-2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11"/>
      <c r="H64" s="10"/>
      <c r="I64" s="10">
        <f t="shared" si="8"/>
        <v>127</v>
      </c>
      <c r="J64" s="10">
        <f t="shared" si="6"/>
        <v>86619109.232729957</v>
      </c>
      <c r="K64" s="11">
        <f t="shared" si="7"/>
        <v>2.3300000000000098E-2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11"/>
      <c r="H65" s="10"/>
      <c r="I65" s="10">
        <f t="shared" si="8"/>
        <v>127</v>
      </c>
      <c r="J65" s="10">
        <f t="shared" si="6"/>
        <v>84646837.909439996</v>
      </c>
      <c r="K65" s="11">
        <f t="shared" si="7"/>
        <v>2.2399999999999753E-2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6">
        <f>SUM(F2)</f>
        <v>2950683</v>
      </c>
      <c r="G66" s="11"/>
      <c r="H66" s="10"/>
      <c r="I66" s="10">
        <f t="shared" si="8"/>
        <v>127</v>
      </c>
      <c r="J66" s="10">
        <f t="shared" ref="J66:J97" si="9">IF(I66="","",I66*C66)</f>
        <v>82792290.600000009</v>
      </c>
      <c r="K66" s="11">
        <f t="shared" ref="K66:K97" si="10">IFERROR(J66/J67-1,"")</f>
        <v>2.0200000000000218E-2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11"/>
      <c r="H67" s="10"/>
      <c r="I67" s="10">
        <f t="shared" ref="I67:I98" si="11">IF(H67&lt;&gt;"",H67,I66/(1+IF(G66="",0,G66)))</f>
        <v>127</v>
      </c>
      <c r="J67" s="10">
        <f t="shared" si="9"/>
        <v>81153000</v>
      </c>
      <c r="K67" s="11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5">
        <v>140080976</v>
      </c>
      <c r="G2" s="11"/>
      <c r="H2" s="10"/>
      <c r="I2" s="10">
        <f>IF(H2&lt;&gt;"",H2,2226)</f>
        <v>2226</v>
      </c>
      <c r="J2" s="10">
        <f t="shared" ref="J2:J33" si="3">IF(I2="","",I2*C2)</f>
        <v>311815654057.95807</v>
      </c>
      <c r="K2" s="11">
        <f t="shared" ref="K2:K33" si="4">IFERROR(J2/J3-1,"")</f>
        <v>2.1099999999999675E-2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11"/>
      <c r="H3" s="10"/>
      <c r="I3" s="10">
        <f t="shared" ref="I3:I34" si="5">IF(H3&lt;&gt;"",H3,I2/(1+IF(G2="",0,G2)))</f>
        <v>2226</v>
      </c>
      <c r="J3" s="10">
        <f t="shared" si="3"/>
        <v>305372298558.3764</v>
      </c>
      <c r="K3" s="11">
        <f t="shared" si="4"/>
        <v>2.1200000000000108E-2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11"/>
      <c r="H4" s="10"/>
      <c r="I4" s="10">
        <f t="shared" si="5"/>
        <v>2226</v>
      </c>
      <c r="J4" s="10">
        <f t="shared" si="3"/>
        <v>299032803131.97845</v>
      </c>
      <c r="K4" s="11">
        <f t="shared" si="4"/>
        <v>2.1099999999999897E-2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11"/>
      <c r="H5" s="10"/>
      <c r="I5" s="10">
        <f t="shared" si="5"/>
        <v>2226</v>
      </c>
      <c r="J5" s="10">
        <f t="shared" si="3"/>
        <v>292853592333.73663</v>
      </c>
      <c r="K5" s="11">
        <f t="shared" si="4"/>
        <v>2.1200000000000108E-2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11"/>
      <c r="H6" s="10"/>
      <c r="I6" s="10">
        <f t="shared" si="5"/>
        <v>2226</v>
      </c>
      <c r="J6" s="10">
        <f t="shared" si="3"/>
        <v>286773983875.5744</v>
      </c>
      <c r="K6" s="11">
        <f t="shared" si="4"/>
        <v>2.2099999999999786E-2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11"/>
      <c r="H7" s="10"/>
      <c r="I7" s="10">
        <f t="shared" si="5"/>
        <v>2226</v>
      </c>
      <c r="J7" s="10">
        <f t="shared" si="3"/>
        <v>280573313644.04114</v>
      </c>
      <c r="K7" s="11">
        <f t="shared" si="4"/>
        <v>2.3800000000000265E-2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11"/>
      <c r="H8" s="10"/>
      <c r="I8" s="10">
        <f t="shared" si="5"/>
        <v>2226</v>
      </c>
      <c r="J8" s="10">
        <f t="shared" si="3"/>
        <v>274050902172.33942</v>
      </c>
      <c r="K8" s="11">
        <f t="shared" si="4"/>
        <v>2.5899999999999812E-2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11"/>
      <c r="H9" s="10"/>
      <c r="I9" s="10">
        <f t="shared" si="5"/>
        <v>2226</v>
      </c>
      <c r="J9" s="10">
        <f t="shared" si="3"/>
        <v>267132178742.89838</v>
      </c>
      <c r="K9" s="11">
        <f t="shared" si="4"/>
        <v>2.7800000000000047E-2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11"/>
      <c r="H10" s="10"/>
      <c r="I10" s="10">
        <f t="shared" si="5"/>
        <v>2226</v>
      </c>
      <c r="J10" s="10">
        <f t="shared" si="3"/>
        <v>259906770522.37628</v>
      </c>
      <c r="K10" s="11">
        <f t="shared" si="4"/>
        <v>2.8999999999999915E-2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11"/>
      <c r="H11" s="10"/>
      <c r="I11" s="10">
        <f t="shared" si="5"/>
        <v>2226</v>
      </c>
      <c r="J11" s="10">
        <f t="shared" si="3"/>
        <v>252581895551.38611</v>
      </c>
      <c r="K11" s="11">
        <f t="shared" si="4"/>
        <v>2.9400000000000093E-2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11"/>
      <c r="H12" s="10"/>
      <c r="I12" s="10">
        <f t="shared" si="5"/>
        <v>2226</v>
      </c>
      <c r="J12" s="10">
        <f t="shared" si="3"/>
        <v>245368074170.76559</v>
      </c>
      <c r="K12" s="11">
        <f t="shared" si="4"/>
        <v>2.9199999999999893E-2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11"/>
      <c r="H13" s="10"/>
      <c r="I13" s="10">
        <f t="shared" si="5"/>
        <v>2226</v>
      </c>
      <c r="J13" s="10">
        <f t="shared" si="3"/>
        <v>238406601409.60513</v>
      </c>
      <c r="K13" s="11">
        <f t="shared" si="4"/>
        <v>2.8699999999999726E-2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11"/>
      <c r="H14" s="10"/>
      <c r="I14" s="10">
        <f t="shared" si="5"/>
        <v>2226</v>
      </c>
      <c r="J14" s="10">
        <f t="shared" si="3"/>
        <v>231755226411.59247</v>
      </c>
      <c r="K14" s="11">
        <f t="shared" si="4"/>
        <v>2.8399999999999981E-2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11"/>
      <c r="H15" s="10"/>
      <c r="I15" s="10">
        <f t="shared" si="5"/>
        <v>2226</v>
      </c>
      <c r="J15" s="10">
        <f t="shared" si="3"/>
        <v>225355140423.56329</v>
      </c>
      <c r="K15" s="11">
        <f t="shared" si="4"/>
        <v>2.8399999999999981E-2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11"/>
      <c r="H16" s="10"/>
      <c r="I16" s="10">
        <f t="shared" si="5"/>
        <v>2226</v>
      </c>
      <c r="J16" s="10">
        <f t="shared" si="3"/>
        <v>219131797378.02731</v>
      </c>
      <c r="K16" s="11">
        <f t="shared" si="4"/>
        <v>2.8399999999999981E-2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11"/>
      <c r="H17" s="10"/>
      <c r="I17" s="10">
        <f t="shared" si="5"/>
        <v>2226</v>
      </c>
      <c r="J17" s="10">
        <f t="shared" si="3"/>
        <v>213080316392.48087</v>
      </c>
      <c r="K17" s="11">
        <f t="shared" si="4"/>
        <v>2.8300000000000214E-2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11"/>
      <c r="H18" s="10"/>
      <c r="I18" s="10">
        <f t="shared" si="5"/>
        <v>2226</v>
      </c>
      <c r="J18" s="10">
        <f t="shared" si="3"/>
        <v>207216100741.49649</v>
      </c>
      <c r="K18" s="11">
        <f t="shared" si="4"/>
        <v>2.8199999999999781E-2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11"/>
      <c r="H19" s="10"/>
      <c r="I19" s="10">
        <f t="shared" si="5"/>
        <v>2226</v>
      </c>
      <c r="J19" s="10">
        <f t="shared" si="3"/>
        <v>201532873703.06995</v>
      </c>
      <c r="K19" s="11">
        <f t="shared" si="4"/>
        <v>2.8399999999999981E-2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11"/>
      <c r="H20" s="10"/>
      <c r="I20" s="10">
        <f t="shared" si="5"/>
        <v>2226</v>
      </c>
      <c r="J20" s="10">
        <f t="shared" si="3"/>
        <v>195967399555.68839</v>
      </c>
      <c r="K20" s="11">
        <f t="shared" si="4"/>
        <v>2.8899999999999926E-2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11"/>
      <c r="H21" s="10"/>
      <c r="I21" s="10">
        <f t="shared" si="5"/>
        <v>2226</v>
      </c>
      <c r="J21" s="10">
        <f t="shared" si="3"/>
        <v>190463018326.06512</v>
      </c>
      <c r="K21" s="11">
        <f t="shared" si="4"/>
        <v>2.949999999999986E-2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11"/>
      <c r="H22" s="10"/>
      <c r="I22" s="10">
        <f t="shared" si="5"/>
        <v>2226</v>
      </c>
      <c r="J22" s="10">
        <f t="shared" si="3"/>
        <v>185005360200.1604</v>
      </c>
      <c r="K22" s="11">
        <f t="shared" si="4"/>
        <v>3.0200000000000005E-2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11"/>
      <c r="H23" s="10"/>
      <c r="I23" s="10">
        <f t="shared" si="5"/>
        <v>2226</v>
      </c>
      <c r="J23" s="10">
        <f t="shared" si="3"/>
        <v>179581984275.05377</v>
      </c>
      <c r="K23" s="11">
        <f t="shared" si="4"/>
        <v>3.090000000000015E-2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11"/>
      <c r="H24" s="10"/>
      <c r="I24" s="10">
        <f t="shared" si="5"/>
        <v>2226</v>
      </c>
      <c r="J24" s="10">
        <f t="shared" si="3"/>
        <v>174199228125.96155</v>
      </c>
      <c r="K24" s="11">
        <f t="shared" si="4"/>
        <v>3.1500000000000083E-2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11"/>
      <c r="H25" s="10"/>
      <c r="I25" s="10">
        <f t="shared" si="5"/>
        <v>2226</v>
      </c>
      <c r="J25" s="10">
        <f t="shared" si="3"/>
        <v>168879523146.83618</v>
      </c>
      <c r="K25" s="11">
        <f t="shared" si="4"/>
        <v>3.2100000000000017E-2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11"/>
      <c r="H26" s="10"/>
      <c r="I26" s="10">
        <f t="shared" si="5"/>
        <v>2226</v>
      </c>
      <c r="J26" s="10">
        <f t="shared" si="3"/>
        <v>163627093447.18164</v>
      </c>
      <c r="K26" s="11">
        <f t="shared" si="4"/>
        <v>3.2399999999999984E-2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11"/>
      <c r="H27" s="10"/>
      <c r="I27" s="10">
        <f t="shared" si="5"/>
        <v>2226</v>
      </c>
      <c r="J27" s="10">
        <f t="shared" si="3"/>
        <v>158491954133.26389</v>
      </c>
      <c r="K27" s="11">
        <f t="shared" si="4"/>
        <v>3.2599999999999962E-2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11"/>
      <c r="H28" s="10"/>
      <c r="I28" s="10">
        <f t="shared" si="5"/>
        <v>2226</v>
      </c>
      <c r="J28" s="10">
        <f t="shared" si="3"/>
        <v>153488237587.89841</v>
      </c>
      <c r="K28" s="11">
        <f t="shared" si="4"/>
        <v>3.2599999999999962E-2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11"/>
      <c r="H29" s="10"/>
      <c r="I29" s="10">
        <f t="shared" si="5"/>
        <v>2226</v>
      </c>
      <c r="J29" s="10">
        <f t="shared" si="3"/>
        <v>148642492337.68973</v>
      </c>
      <c r="K29" s="11">
        <f t="shared" si="4"/>
        <v>3.2600000000000184E-2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11"/>
      <c r="H30" s="10"/>
      <c r="I30" s="10">
        <f t="shared" si="5"/>
        <v>2226</v>
      </c>
      <c r="J30" s="10">
        <f t="shared" si="3"/>
        <v>143949731103.7088</v>
      </c>
      <c r="K30" s="11">
        <f t="shared" si="4"/>
        <v>3.259999999999974E-2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11"/>
      <c r="H31" s="10"/>
      <c r="I31" s="10">
        <f t="shared" si="5"/>
        <v>2226</v>
      </c>
      <c r="J31" s="10">
        <f t="shared" si="3"/>
        <v>139405124059.37326</v>
      </c>
      <c r="K31" s="11">
        <f t="shared" si="4"/>
        <v>3.2499999999999973E-2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11"/>
      <c r="H32" s="10"/>
      <c r="I32" s="10">
        <f t="shared" si="5"/>
        <v>2226</v>
      </c>
      <c r="J32" s="10">
        <f t="shared" si="3"/>
        <v>135017069306.89905</v>
      </c>
      <c r="K32" s="11">
        <f t="shared" si="4"/>
        <v>3.2400000000000206E-2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11"/>
      <c r="H33" s="10"/>
      <c r="I33" s="10">
        <f t="shared" si="5"/>
        <v>2226</v>
      </c>
      <c r="J33" s="10">
        <f t="shared" si="3"/>
        <v>130779803668.05408</v>
      </c>
      <c r="K33" s="11">
        <f t="shared" si="4"/>
        <v>3.2000000000000028E-2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11"/>
      <c r="H34" s="10"/>
      <c r="I34" s="10">
        <f t="shared" si="5"/>
        <v>2226</v>
      </c>
      <c r="J34" s="10">
        <f t="shared" ref="J34:J65" si="6">IF(I34="","",I34*C34)</f>
        <v>126724615957.41675</v>
      </c>
      <c r="K34" s="11">
        <f t="shared" ref="K34:K65" si="7">IFERROR(J34/J35-1,"")</f>
        <v>3.1199999999999894E-2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11"/>
      <c r="H35" s="10"/>
      <c r="I35" s="10">
        <f t="shared" ref="I35:I66" si="8">IF(H35&lt;&gt;"",H35,I34/(1+IF(G34="",0,G34)))</f>
        <v>2226</v>
      </c>
      <c r="J35" s="10">
        <f t="shared" si="6"/>
        <v>122890434404.0116</v>
      </c>
      <c r="K35" s="11">
        <f t="shared" si="7"/>
        <v>3.0299999999999994E-2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11"/>
      <c r="H36" s="10"/>
      <c r="I36" s="10">
        <f t="shared" si="8"/>
        <v>2226</v>
      </c>
      <c r="J36" s="10">
        <f t="shared" si="6"/>
        <v>119276360675.54266</v>
      </c>
      <c r="K36" s="11">
        <f t="shared" si="7"/>
        <v>2.9400000000000093E-2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11"/>
      <c r="H37" s="10"/>
      <c r="I37" s="10">
        <f t="shared" si="8"/>
        <v>2226</v>
      </c>
      <c r="J37" s="10">
        <f t="shared" si="6"/>
        <v>115869788882.4001</v>
      </c>
      <c r="K37" s="11">
        <f t="shared" si="7"/>
        <v>2.8699999999999948E-2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11"/>
      <c r="H38" s="10"/>
      <c r="I38" s="10">
        <f t="shared" si="8"/>
        <v>2226</v>
      </c>
      <c r="J38" s="10">
        <f t="shared" si="6"/>
        <v>112637103997.66707</v>
      </c>
      <c r="K38" s="11">
        <f t="shared" si="7"/>
        <v>2.8100000000000014E-2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11"/>
      <c r="H39" s="10"/>
      <c r="I39" s="10">
        <f t="shared" si="8"/>
        <v>2226</v>
      </c>
      <c r="J39" s="10">
        <f t="shared" si="6"/>
        <v>109558509870.31133</v>
      </c>
      <c r="K39" s="11">
        <f t="shared" si="7"/>
        <v>2.7600000000000291E-2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11"/>
      <c r="H40" s="10"/>
      <c r="I40" s="10">
        <f t="shared" si="8"/>
        <v>2226</v>
      </c>
      <c r="J40" s="10">
        <f t="shared" si="6"/>
        <v>106615910734.05148</v>
      </c>
      <c r="K40" s="11">
        <f t="shared" si="7"/>
        <v>2.7099999999999902E-2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11"/>
      <c r="H41" s="10"/>
      <c r="I41" s="10">
        <f t="shared" si="8"/>
        <v>2226</v>
      </c>
      <c r="J41" s="10">
        <f t="shared" si="6"/>
        <v>103802853406.72914</v>
      </c>
      <c r="K41" s="11">
        <f t="shared" si="7"/>
        <v>2.6699999999999946E-2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11"/>
      <c r="H42" s="10"/>
      <c r="I42" s="10">
        <f t="shared" si="8"/>
        <v>2226</v>
      </c>
      <c r="J42" s="10">
        <f t="shared" si="6"/>
        <v>101103392818.47585</v>
      </c>
      <c r="K42" s="11">
        <f t="shared" si="7"/>
        <v>2.6399999999999979E-2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11"/>
      <c r="H43" s="10"/>
      <c r="I43" s="10">
        <f t="shared" si="8"/>
        <v>2226</v>
      </c>
      <c r="J43" s="10">
        <f t="shared" si="6"/>
        <v>98502915840.292145</v>
      </c>
      <c r="K43" s="11">
        <f t="shared" si="7"/>
        <v>2.6300000000000212E-2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11"/>
      <c r="H44" s="10"/>
      <c r="I44" s="10">
        <f t="shared" si="8"/>
        <v>2226</v>
      </c>
      <c r="J44" s="10">
        <f t="shared" si="6"/>
        <v>95978676644.54071</v>
      </c>
      <c r="K44" s="11">
        <f t="shared" si="7"/>
        <v>2.629999999999999E-2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11"/>
      <c r="H45" s="10"/>
      <c r="I45" s="10">
        <f t="shared" si="8"/>
        <v>2226</v>
      </c>
      <c r="J45" s="10">
        <f t="shared" si="6"/>
        <v>93519123691.455429</v>
      </c>
      <c r="K45" s="11">
        <f t="shared" si="7"/>
        <v>2.629999999999999E-2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11"/>
      <c r="H46" s="10"/>
      <c r="I46" s="10">
        <f t="shared" si="8"/>
        <v>2226</v>
      </c>
      <c r="J46" s="10">
        <f t="shared" si="6"/>
        <v>91122599329.100098</v>
      </c>
      <c r="K46" s="11">
        <f t="shared" si="7"/>
        <v>2.6200000000000001E-2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11"/>
      <c r="H47" s="10"/>
      <c r="I47" s="10">
        <f t="shared" si="8"/>
        <v>2226</v>
      </c>
      <c r="J47" s="10">
        <f t="shared" si="6"/>
        <v>88796140449.327713</v>
      </c>
      <c r="K47" s="11">
        <f t="shared" si="7"/>
        <v>2.5900000000000034E-2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11"/>
      <c r="H48" s="10"/>
      <c r="I48" s="10">
        <f t="shared" si="8"/>
        <v>2226</v>
      </c>
      <c r="J48" s="10">
        <f t="shared" si="6"/>
        <v>86554381956.650467</v>
      </c>
      <c r="K48" s="11">
        <f t="shared" si="7"/>
        <v>2.53000000000001E-2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11"/>
      <c r="H49" s="10"/>
      <c r="I49" s="10">
        <f t="shared" si="8"/>
        <v>2226</v>
      </c>
      <c r="J49" s="10">
        <f t="shared" si="6"/>
        <v>84418591589.437683</v>
      </c>
      <c r="K49" s="11">
        <f t="shared" si="7"/>
        <v>2.4499999999999966E-2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11"/>
      <c r="H50" s="10"/>
      <c r="I50" s="10">
        <f t="shared" si="8"/>
        <v>2226</v>
      </c>
      <c r="J50" s="10">
        <f t="shared" si="6"/>
        <v>82399796573.389633</v>
      </c>
      <c r="K50" s="11">
        <f t="shared" si="7"/>
        <v>2.3400000000000087E-2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11"/>
      <c r="H51" s="10"/>
      <c r="I51" s="10">
        <f t="shared" si="8"/>
        <v>2226</v>
      </c>
      <c r="J51" s="10">
        <f t="shared" si="6"/>
        <v>80515728525.883942</v>
      </c>
      <c r="K51" s="11">
        <f t="shared" si="7"/>
        <v>2.2199999999999998E-2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11"/>
      <c r="H52" s="10"/>
      <c r="I52" s="10">
        <f t="shared" si="8"/>
        <v>2226</v>
      </c>
      <c r="J52" s="10">
        <f t="shared" si="6"/>
        <v>78767098929.645798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11"/>
      <c r="H53" s="10"/>
      <c r="I53" s="10">
        <f t="shared" si="8"/>
        <v>2226</v>
      </c>
      <c r="J53" s="10">
        <f t="shared" si="6"/>
        <v>77131902594.639435</v>
      </c>
      <c r="K53" s="11">
        <f t="shared" si="7"/>
        <v>2.0499999999999963E-2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11"/>
      <c r="H54" s="10"/>
      <c r="I54" s="10">
        <f t="shared" si="8"/>
        <v>2226</v>
      </c>
      <c r="J54" s="10">
        <f t="shared" si="6"/>
        <v>75582462121.155746</v>
      </c>
      <c r="K54" s="11">
        <f t="shared" si="7"/>
        <v>2.0099999999999785E-2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11"/>
      <c r="H55" s="10"/>
      <c r="I55" s="10">
        <f t="shared" si="8"/>
        <v>2226</v>
      </c>
      <c r="J55" s="10">
        <f t="shared" si="6"/>
        <v>74093189021.81723</v>
      </c>
      <c r="K55" s="11">
        <f t="shared" si="7"/>
        <v>1.9700000000000051E-2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11"/>
      <c r="H56" s="10"/>
      <c r="I56" s="10">
        <f t="shared" si="8"/>
        <v>2226</v>
      </c>
      <c r="J56" s="10">
        <f t="shared" si="6"/>
        <v>72661752497.614227</v>
      </c>
      <c r="K56" s="11">
        <f t="shared" si="7"/>
        <v>1.9200000000000106E-2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11"/>
      <c r="H57" s="10"/>
      <c r="I57" s="10">
        <f t="shared" si="8"/>
        <v>2226</v>
      </c>
      <c r="J57" s="10">
        <f t="shared" si="6"/>
        <v>71292928274.739227</v>
      </c>
      <c r="K57" s="11">
        <f t="shared" si="7"/>
        <v>1.8499999999999961E-2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11"/>
      <c r="H58" s="10"/>
      <c r="I58" s="10">
        <f t="shared" si="8"/>
        <v>2226</v>
      </c>
      <c r="J58" s="10">
        <f t="shared" si="6"/>
        <v>69997965905.487701</v>
      </c>
      <c r="K58" s="11">
        <f t="shared" si="7"/>
        <v>1.760000000000006E-2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11"/>
      <c r="H59" s="10"/>
      <c r="I59" s="10">
        <f t="shared" si="8"/>
        <v>2226</v>
      </c>
      <c r="J59" s="10">
        <f t="shared" si="6"/>
        <v>68787309262.468262</v>
      </c>
      <c r="K59" s="11">
        <f t="shared" si="7"/>
        <v>1.6699999999999937E-2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11"/>
      <c r="H60" s="10"/>
      <c r="I60" s="10">
        <f t="shared" si="8"/>
        <v>2226</v>
      </c>
      <c r="J60" s="10">
        <f t="shared" si="6"/>
        <v>67657430178.487526</v>
      </c>
      <c r="K60" s="11">
        <f t="shared" si="7"/>
        <v>1.5900000000000025E-2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11"/>
      <c r="H61" s="10"/>
      <c r="I61" s="10">
        <f t="shared" si="8"/>
        <v>2226</v>
      </c>
      <c r="J61" s="10">
        <f t="shared" si="6"/>
        <v>66598513808.925606</v>
      </c>
      <c r="K61" s="11">
        <f t="shared" si="7"/>
        <v>1.5200000000000102E-2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11"/>
      <c r="H62" s="10"/>
      <c r="I62" s="10">
        <f t="shared" si="8"/>
        <v>2226</v>
      </c>
      <c r="J62" s="10">
        <f t="shared" si="6"/>
        <v>65601372940.234047</v>
      </c>
      <c r="K62" s="11">
        <f t="shared" si="7"/>
        <v>1.4700000000000157E-2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11"/>
      <c r="H63" s="10"/>
      <c r="I63" s="10">
        <f t="shared" si="8"/>
        <v>2226</v>
      </c>
      <c r="J63" s="10">
        <f t="shared" si="6"/>
        <v>64651003193.292641</v>
      </c>
      <c r="K63" s="11">
        <f t="shared" si="7"/>
        <v>1.4499999999999957E-2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11"/>
      <c r="H64" s="10"/>
      <c r="I64" s="10">
        <f t="shared" si="8"/>
        <v>2226</v>
      </c>
      <c r="J64" s="10">
        <f t="shared" si="6"/>
        <v>63726962240.801033</v>
      </c>
      <c r="K64" s="11">
        <f t="shared" si="7"/>
        <v>1.4599999999999946E-2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11"/>
      <c r="H65" s="10"/>
      <c r="I65" s="10">
        <f t="shared" si="8"/>
        <v>2226</v>
      </c>
      <c r="J65" s="10">
        <f t="shared" si="6"/>
        <v>62809937158.290001</v>
      </c>
      <c r="K65" s="11">
        <f t="shared" si="7"/>
        <v>1.5000000000000124E-2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6">
        <f>SUM(F2)</f>
        <v>140080976</v>
      </c>
      <c r="G66" s="11"/>
      <c r="H66" s="10"/>
      <c r="I66" s="10">
        <f t="shared" si="8"/>
        <v>2226</v>
      </c>
      <c r="J66" s="10">
        <f t="shared" ref="J66:J97" si="9">IF(I66="","",I66*C66)</f>
        <v>61881711486</v>
      </c>
      <c r="K66" s="11">
        <f t="shared" ref="K66:K97" si="10">IFERROR(J66/J67-1,"")</f>
        <v>1.5600000000000058E-2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11"/>
      <c r="H67" s="10"/>
      <c r="I67" s="10">
        <f t="shared" ref="I67:I98" si="11">IF(H67&lt;&gt;"",H67,I66/(1+IF(G66="",0,G66)))</f>
        <v>2226</v>
      </c>
      <c r="J67" s="10">
        <f t="shared" si="9"/>
        <v>60931185000</v>
      </c>
      <c r="K67" s="11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5">
        <v>18401158</v>
      </c>
      <c r="G2" s="11"/>
      <c r="H2" s="10"/>
      <c r="I2" s="10">
        <f>IF(H2&lt;&gt;"",H2,18492)</f>
        <v>18492</v>
      </c>
      <c r="J2" s="10">
        <f t="shared" ref="J2:J33" si="3">IF(I2="","",I2*C2)</f>
        <v>340282457713.65594</v>
      </c>
      <c r="K2" s="11">
        <f t="shared" ref="K2:K33" si="4">IFERROR(J2/J3-1,"")</f>
        <v>4.9999999999998934E-3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11"/>
      <c r="H3" s="10"/>
      <c r="I3" s="10">
        <f t="shared" ref="I3:I34" si="5">IF(H3&lt;&gt;"",H3,I2/(1+IF(G2="",0,G2)))</f>
        <v>18492</v>
      </c>
      <c r="J3" s="10">
        <f t="shared" si="3"/>
        <v>338589510162.8418</v>
      </c>
      <c r="K3" s="11">
        <f t="shared" si="4"/>
        <v>5.4000000000002935E-3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11"/>
      <c r="H4" s="10"/>
      <c r="I4" s="10">
        <f t="shared" si="5"/>
        <v>18492</v>
      </c>
      <c r="J4" s="10">
        <f t="shared" si="3"/>
        <v>336770947048.77832</v>
      </c>
      <c r="K4" s="11">
        <f t="shared" si="4"/>
        <v>5.9000000000000163E-3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11"/>
      <c r="H5" s="10"/>
      <c r="I5" s="10">
        <f t="shared" si="5"/>
        <v>18492</v>
      </c>
      <c r="J5" s="10">
        <f t="shared" si="3"/>
        <v>334795652697.8609</v>
      </c>
      <c r="K5" s="11">
        <f t="shared" si="4"/>
        <v>5.3000000000000824E-3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11"/>
      <c r="H6" s="10"/>
      <c r="I6" s="10">
        <f t="shared" si="5"/>
        <v>18492</v>
      </c>
      <c r="J6" s="10">
        <f t="shared" si="3"/>
        <v>333030590567.85126</v>
      </c>
      <c r="K6" s="11">
        <f t="shared" si="4"/>
        <v>6.2999999999999723E-3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11"/>
      <c r="H7" s="10"/>
      <c r="I7" s="10">
        <f t="shared" si="5"/>
        <v>18492</v>
      </c>
      <c r="J7" s="10">
        <f t="shared" si="3"/>
        <v>330945633079.45074</v>
      </c>
      <c r="K7" s="11">
        <f t="shared" si="4"/>
        <v>5.7000000000000384E-3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11"/>
      <c r="H8" s="10"/>
      <c r="I8" s="10">
        <f t="shared" si="5"/>
        <v>18492</v>
      </c>
      <c r="J8" s="10">
        <f t="shared" si="3"/>
        <v>329069934453.06824</v>
      </c>
      <c r="K8" s="11">
        <f t="shared" si="4"/>
        <v>4.7999999999999154E-3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11"/>
      <c r="H9" s="10"/>
      <c r="I9" s="10">
        <f t="shared" si="5"/>
        <v>18492</v>
      </c>
      <c r="J9" s="10">
        <f t="shared" si="3"/>
        <v>327497944320.33069</v>
      </c>
      <c r="K9" s="11">
        <f t="shared" si="4"/>
        <v>4.0000000000000036E-3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11"/>
      <c r="H10" s="10"/>
      <c r="I10" s="10">
        <f t="shared" si="5"/>
        <v>18492</v>
      </c>
      <c r="J10" s="10">
        <f t="shared" si="3"/>
        <v>326193171633.79547</v>
      </c>
      <c r="K10" s="11">
        <f t="shared" si="4"/>
        <v>1.2000000000000899E-3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11"/>
      <c r="H11" s="10"/>
      <c r="I11" s="10">
        <f t="shared" si="5"/>
        <v>18492</v>
      </c>
      <c r="J11" s="10">
        <f t="shared" si="3"/>
        <v>325802208983.01581</v>
      </c>
      <c r="K11" s="11">
        <f t="shared" si="4"/>
        <v>-9.9999999999988987E-4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11"/>
      <c r="H12" s="10"/>
      <c r="I12" s="10">
        <f t="shared" si="5"/>
        <v>18492</v>
      </c>
      <c r="J12" s="10">
        <f t="shared" si="3"/>
        <v>326128337320.33612</v>
      </c>
      <c r="K12" s="11">
        <f t="shared" si="4"/>
        <v>-2.1000000000001018E-3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11"/>
      <c r="H13" s="10"/>
      <c r="I13" s="10">
        <f t="shared" si="5"/>
        <v>18492</v>
      </c>
      <c r="J13" s="10">
        <f t="shared" si="3"/>
        <v>326814648081.30688</v>
      </c>
      <c r="K13" s="11">
        <f t="shared" si="4"/>
        <v>-3.8000000000001366E-3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11"/>
      <c r="H14" s="10"/>
      <c r="I14" s="10">
        <f t="shared" si="5"/>
        <v>18492</v>
      </c>
      <c r="J14" s="10">
        <f t="shared" si="3"/>
        <v>328061280948.91278</v>
      </c>
      <c r="K14" s="11">
        <f t="shared" si="4"/>
        <v>-5.9000000000001274E-3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11"/>
      <c r="H15" s="10"/>
      <c r="I15" s="10">
        <f t="shared" si="5"/>
        <v>18492</v>
      </c>
      <c r="J15" s="10">
        <f t="shared" si="3"/>
        <v>330008330096.48206</v>
      </c>
      <c r="K15" s="11">
        <f t="shared" si="4"/>
        <v>-8.4000000000000741E-3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11"/>
      <c r="H16" s="10"/>
      <c r="I16" s="10">
        <f t="shared" si="5"/>
        <v>18492</v>
      </c>
      <c r="J16" s="10">
        <f t="shared" si="3"/>
        <v>332803882711.25665</v>
      </c>
      <c r="K16" s="11">
        <f t="shared" si="4"/>
        <v>-1.0199999999999876E-2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11"/>
      <c r="H17" s="10"/>
      <c r="I17" s="10">
        <f t="shared" si="5"/>
        <v>18492</v>
      </c>
      <c r="J17" s="10">
        <f t="shared" si="3"/>
        <v>336233464044.51062</v>
      </c>
      <c r="K17" s="11">
        <f t="shared" si="4"/>
        <v>-9.7999999999999199E-3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11"/>
      <c r="H18" s="10"/>
      <c r="I18" s="10">
        <f t="shared" si="5"/>
        <v>18492</v>
      </c>
      <c r="J18" s="10">
        <f t="shared" si="3"/>
        <v>339561163446.28418</v>
      </c>
      <c r="K18" s="11">
        <f t="shared" si="4"/>
        <v>-1.0700000000000043E-2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11"/>
      <c r="H19" s="10"/>
      <c r="I19" s="10">
        <f t="shared" si="5"/>
        <v>18492</v>
      </c>
      <c r="J19" s="10">
        <f t="shared" si="3"/>
        <v>343233764728.88324</v>
      </c>
      <c r="K19" s="11">
        <f t="shared" si="4"/>
        <v>-1.21E-2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11"/>
      <c r="H20" s="10"/>
      <c r="I20" s="10">
        <f t="shared" si="5"/>
        <v>18492</v>
      </c>
      <c r="J20" s="10">
        <f t="shared" si="3"/>
        <v>347437761644.78516</v>
      </c>
      <c r="K20" s="11">
        <f t="shared" si="4"/>
        <v>-1.3000000000000012E-2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11"/>
      <c r="H21" s="10"/>
      <c r="I21" s="10">
        <f t="shared" si="5"/>
        <v>18492</v>
      </c>
      <c r="J21" s="10">
        <f t="shared" si="3"/>
        <v>352013942902.51788</v>
      </c>
      <c r="K21" s="11">
        <f t="shared" si="4"/>
        <v>-1.4500000000000068E-2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11"/>
      <c r="H22" s="10"/>
      <c r="I22" s="10">
        <f t="shared" si="5"/>
        <v>18492</v>
      </c>
      <c r="J22" s="10">
        <f t="shared" si="3"/>
        <v>357193244954.35608</v>
      </c>
      <c r="K22" s="11">
        <f t="shared" si="4"/>
        <v>-1.2600000000000056E-2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11"/>
      <c r="H23" s="10"/>
      <c r="I23" s="10">
        <f t="shared" si="5"/>
        <v>18492</v>
      </c>
      <c r="J23" s="10">
        <f t="shared" si="3"/>
        <v>361751311478.99139</v>
      </c>
      <c r="K23" s="11">
        <f t="shared" si="4"/>
        <v>-1.0699999999999932E-2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11"/>
      <c r="H24" s="10"/>
      <c r="I24" s="10">
        <f t="shared" si="5"/>
        <v>18492</v>
      </c>
      <c r="J24" s="10">
        <f t="shared" si="3"/>
        <v>365663915373.48767</v>
      </c>
      <c r="K24" s="11">
        <f t="shared" si="4"/>
        <v>-2.8000000000001357E-3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11"/>
      <c r="H25" s="10"/>
      <c r="I25" s="10">
        <f t="shared" si="5"/>
        <v>18492</v>
      </c>
      <c r="J25" s="10">
        <f t="shared" si="3"/>
        <v>366690649191.22314</v>
      </c>
      <c r="K25" s="11">
        <f t="shared" si="4"/>
        <v>-2.9999999999996696E-4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11"/>
      <c r="H26" s="10"/>
      <c r="I26" s="10">
        <f t="shared" si="5"/>
        <v>18492</v>
      </c>
      <c r="J26" s="10">
        <f t="shared" si="3"/>
        <v>366800689398.04254</v>
      </c>
      <c r="K26" s="11">
        <f t="shared" si="4"/>
        <v>1.9999999999997797E-3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11"/>
      <c r="H27" s="10"/>
      <c r="I27" s="10">
        <f t="shared" si="5"/>
        <v>18492</v>
      </c>
      <c r="J27" s="10">
        <f t="shared" si="3"/>
        <v>366068552293.45569</v>
      </c>
      <c r="K27" s="11">
        <f t="shared" si="4"/>
        <v>3.3000000000000806E-3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11"/>
      <c r="H28" s="10"/>
      <c r="I28" s="10">
        <f t="shared" si="5"/>
        <v>18492</v>
      </c>
      <c r="J28" s="10">
        <f t="shared" si="3"/>
        <v>364864499445.28619</v>
      </c>
      <c r="K28" s="11">
        <f t="shared" si="4"/>
        <v>4.0999999999999925E-3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11"/>
      <c r="H29" s="10"/>
      <c r="I29" s="10">
        <f t="shared" si="5"/>
        <v>18492</v>
      </c>
      <c r="J29" s="10">
        <f t="shared" si="3"/>
        <v>363374663325.65106</v>
      </c>
      <c r="K29" s="11">
        <f t="shared" si="4"/>
        <v>4.3999999999999595E-3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11"/>
      <c r="H30" s="10"/>
      <c r="I30" s="10">
        <f t="shared" si="5"/>
        <v>18492</v>
      </c>
      <c r="J30" s="10">
        <f t="shared" si="3"/>
        <v>361782818922.39252</v>
      </c>
      <c r="K30" s="11">
        <f t="shared" si="4"/>
        <v>5.7000000000000384E-3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11"/>
      <c r="H31" s="10"/>
      <c r="I31" s="10">
        <f t="shared" si="5"/>
        <v>18492</v>
      </c>
      <c r="J31" s="10">
        <f t="shared" si="3"/>
        <v>359732344558.40955</v>
      </c>
      <c r="K31" s="11">
        <f t="shared" si="4"/>
        <v>6.8999999999996842E-3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11"/>
      <c r="H32" s="10"/>
      <c r="I32" s="10">
        <f t="shared" si="5"/>
        <v>18492</v>
      </c>
      <c r="J32" s="10">
        <f t="shared" si="3"/>
        <v>357267200872.39014</v>
      </c>
      <c r="K32" s="11">
        <f t="shared" si="4"/>
        <v>7.8000000000000291E-3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11"/>
      <c r="H33" s="10"/>
      <c r="I33" s="10">
        <f t="shared" si="5"/>
        <v>18492</v>
      </c>
      <c r="J33" s="10">
        <f t="shared" si="3"/>
        <v>354502084612.41333</v>
      </c>
      <c r="K33" s="11">
        <f t="shared" si="4"/>
        <v>8.3999999999999631E-3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11"/>
      <c r="H34" s="10"/>
      <c r="I34" s="10">
        <f t="shared" si="5"/>
        <v>18492</v>
      </c>
      <c r="J34" s="10">
        <f t="shared" ref="J34:J65" si="6">IF(I34="","",I34*C34)</f>
        <v>351549072404.2179</v>
      </c>
      <c r="K34" s="11">
        <f t="shared" ref="K34:K65" si="7">IFERROR(J34/J35-1,"")</f>
        <v>8.999999999999897E-3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11"/>
      <c r="H35" s="10"/>
      <c r="I35" s="10">
        <f t="shared" ref="I35:I66" si="8">IF(H35&lt;&gt;"",H35,I34/(1+IF(G34="",0,G34)))</f>
        <v>18492</v>
      </c>
      <c r="J35" s="10">
        <f t="shared" si="6"/>
        <v>348413352234.11096</v>
      </c>
      <c r="K35" s="11">
        <f t="shared" si="7"/>
        <v>9.400000000000075E-3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11"/>
      <c r="H36" s="10"/>
      <c r="I36" s="10">
        <f t="shared" si="8"/>
        <v>18492</v>
      </c>
      <c r="J36" s="10">
        <f t="shared" si="6"/>
        <v>345168765835.25952</v>
      </c>
      <c r="K36" s="11">
        <f t="shared" si="7"/>
        <v>9.5000000000000639E-3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11"/>
      <c r="H37" s="10"/>
      <c r="I37" s="10">
        <f t="shared" si="8"/>
        <v>18492</v>
      </c>
      <c r="J37" s="10">
        <f t="shared" si="6"/>
        <v>341920520886.83459</v>
      </c>
      <c r="K37" s="11">
        <f t="shared" si="7"/>
        <v>9.7000000000000419E-3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11"/>
      <c r="H38" s="10"/>
      <c r="I38" s="10">
        <f t="shared" si="8"/>
        <v>18492</v>
      </c>
      <c r="J38" s="10">
        <f t="shared" si="6"/>
        <v>338635754072.33295</v>
      </c>
      <c r="K38" s="11">
        <f t="shared" si="7"/>
        <v>1.0300000000000198E-2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11"/>
      <c r="H39" s="10"/>
      <c r="I39" s="10">
        <f t="shared" si="8"/>
        <v>18492</v>
      </c>
      <c r="J39" s="10">
        <f t="shared" si="6"/>
        <v>335183365408.62408</v>
      </c>
      <c r="K39" s="11">
        <f t="shared" si="7"/>
        <v>1.1099999999999888E-2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11"/>
      <c r="H40" s="10"/>
      <c r="I40" s="10">
        <f t="shared" si="8"/>
        <v>18492</v>
      </c>
      <c r="J40" s="10">
        <f t="shared" si="6"/>
        <v>331503674620.33838</v>
      </c>
      <c r="K40" s="11">
        <f t="shared" si="7"/>
        <v>1.1500000000000066E-2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11"/>
      <c r="H41" s="10"/>
      <c r="I41" s="10">
        <f t="shared" si="8"/>
        <v>18492</v>
      </c>
      <c r="J41" s="10">
        <f t="shared" si="6"/>
        <v>327734725279.62268</v>
      </c>
      <c r="K41" s="11">
        <f t="shared" si="7"/>
        <v>1.1300000000000088E-2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11"/>
      <c r="H42" s="10"/>
      <c r="I42" s="10">
        <f t="shared" si="8"/>
        <v>18492</v>
      </c>
      <c r="J42" s="10">
        <f t="shared" si="6"/>
        <v>324072703727.50189</v>
      </c>
      <c r="K42" s="11">
        <f t="shared" si="7"/>
        <v>1.0200000000000209E-2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11"/>
      <c r="H43" s="10"/>
      <c r="I43" s="10">
        <f t="shared" si="8"/>
        <v>18492</v>
      </c>
      <c r="J43" s="10">
        <f t="shared" si="6"/>
        <v>320800538237.47955</v>
      </c>
      <c r="K43" s="11">
        <f t="shared" si="7"/>
        <v>8.3999999999999631E-3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11"/>
      <c r="H44" s="10"/>
      <c r="I44" s="10">
        <f t="shared" si="8"/>
        <v>18492</v>
      </c>
      <c r="J44" s="10">
        <f t="shared" si="6"/>
        <v>318128260846.37006</v>
      </c>
      <c r="K44" s="11">
        <f t="shared" si="7"/>
        <v>8.69999999999993E-3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11"/>
      <c r="H45" s="10"/>
      <c r="I45" s="10">
        <f t="shared" si="8"/>
        <v>18492</v>
      </c>
      <c r="J45" s="10">
        <f t="shared" si="6"/>
        <v>315384416423.48572</v>
      </c>
      <c r="K45" s="11">
        <f t="shared" si="7"/>
        <v>9.7999999999998089E-3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11"/>
      <c r="H46" s="10"/>
      <c r="I46" s="10">
        <f t="shared" si="8"/>
        <v>18492</v>
      </c>
      <c r="J46" s="10">
        <f t="shared" si="6"/>
        <v>312323644705.37311</v>
      </c>
      <c r="K46" s="11">
        <f t="shared" si="7"/>
        <v>1.0899999999999688E-2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11"/>
      <c r="H47" s="10"/>
      <c r="I47" s="10">
        <f t="shared" si="8"/>
        <v>18492</v>
      </c>
      <c r="J47" s="10">
        <f t="shared" si="6"/>
        <v>308956024043.30121</v>
      </c>
      <c r="K47" s="11">
        <f t="shared" si="7"/>
        <v>1.1400000000000299E-2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11"/>
      <c r="H48" s="10"/>
      <c r="I48" s="10">
        <f t="shared" si="8"/>
        <v>18492</v>
      </c>
      <c r="J48" s="10">
        <f t="shared" si="6"/>
        <v>305473624721.47632</v>
      </c>
      <c r="K48" s="11">
        <f t="shared" si="7"/>
        <v>1.2299999999999978E-2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11"/>
      <c r="H49" s="10"/>
      <c r="I49" s="10">
        <f t="shared" si="8"/>
        <v>18492</v>
      </c>
      <c r="J49" s="10">
        <f t="shared" si="6"/>
        <v>301761952703.22662</v>
      </c>
      <c r="K49" s="11">
        <f t="shared" si="7"/>
        <v>1.3400000000000079E-2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11"/>
      <c r="H50" s="10"/>
      <c r="I50" s="10">
        <f t="shared" si="8"/>
        <v>18492</v>
      </c>
      <c r="J50" s="10">
        <f t="shared" si="6"/>
        <v>297771810443.28656</v>
      </c>
      <c r="K50" s="11">
        <f t="shared" si="7"/>
        <v>1.4699999999999935E-2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11"/>
      <c r="H51" s="10"/>
      <c r="I51" s="10">
        <f t="shared" si="8"/>
        <v>18492</v>
      </c>
      <c r="J51" s="10">
        <f t="shared" si="6"/>
        <v>293457978164.27179</v>
      </c>
      <c r="K51" s="11">
        <f t="shared" si="7"/>
        <v>1.6100000000000003E-2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11"/>
      <c r="H52" s="10"/>
      <c r="I52" s="10">
        <f t="shared" si="8"/>
        <v>18492</v>
      </c>
      <c r="J52" s="10">
        <f t="shared" si="6"/>
        <v>288808166680.71234</v>
      </c>
      <c r="K52" s="11">
        <f t="shared" si="7"/>
        <v>1.7400000000000082E-2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11"/>
      <c r="H53" s="10"/>
      <c r="I53" s="10">
        <f t="shared" si="8"/>
        <v>18492</v>
      </c>
      <c r="J53" s="10">
        <f t="shared" si="6"/>
        <v>283868848713.10431</v>
      </c>
      <c r="K53" s="11">
        <f t="shared" si="7"/>
        <v>1.8400000000000194E-2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11"/>
      <c r="H54" s="10"/>
      <c r="I54" s="10">
        <f t="shared" si="8"/>
        <v>18492</v>
      </c>
      <c r="J54" s="10">
        <f t="shared" si="6"/>
        <v>278740032122.05841</v>
      </c>
      <c r="K54" s="11">
        <f t="shared" si="7"/>
        <v>1.8100000000000005E-2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11"/>
      <c r="H55" s="10"/>
      <c r="I55" s="10">
        <f t="shared" si="8"/>
        <v>18492</v>
      </c>
      <c r="J55" s="10">
        <f t="shared" si="6"/>
        <v>273784532091.20758</v>
      </c>
      <c r="K55" s="11">
        <f t="shared" si="7"/>
        <v>1.6299999999999981E-2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11"/>
      <c r="H56" s="10"/>
      <c r="I56" s="10">
        <f t="shared" si="8"/>
        <v>18492</v>
      </c>
      <c r="J56" s="10">
        <f t="shared" si="6"/>
        <v>269393419355.70953</v>
      </c>
      <c r="K56" s="11">
        <f t="shared" si="7"/>
        <v>1.330000000000009E-2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11"/>
      <c r="H57" s="10"/>
      <c r="I57" s="10">
        <f t="shared" si="8"/>
        <v>18492</v>
      </c>
      <c r="J57" s="10">
        <f t="shared" si="6"/>
        <v>265857514414.00327</v>
      </c>
      <c r="K57" s="11">
        <f t="shared" si="7"/>
        <v>1.0199999999999987E-2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11"/>
      <c r="H58" s="10"/>
      <c r="I58" s="10">
        <f t="shared" si="8"/>
        <v>18492</v>
      </c>
      <c r="J58" s="10">
        <f t="shared" si="6"/>
        <v>263173148301.32968</v>
      </c>
      <c r="K58" s="11">
        <f t="shared" si="7"/>
        <v>8.499999999999952E-3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11"/>
      <c r="H59" s="10"/>
      <c r="I59" s="10">
        <f t="shared" si="8"/>
        <v>18492</v>
      </c>
      <c r="J59" s="10">
        <f t="shared" si="6"/>
        <v>260955030541.72504</v>
      </c>
      <c r="K59" s="11">
        <f t="shared" si="7"/>
        <v>8.499999999999952E-3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11"/>
      <c r="H60" s="10"/>
      <c r="I60" s="10">
        <f t="shared" si="8"/>
        <v>18492</v>
      </c>
      <c r="J60" s="10">
        <f t="shared" si="6"/>
        <v>258755607874.78934</v>
      </c>
      <c r="K60" s="11">
        <f t="shared" si="7"/>
        <v>9.7000000000000419E-3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11"/>
      <c r="H61" s="10"/>
      <c r="I61" s="10">
        <f t="shared" si="8"/>
        <v>18492</v>
      </c>
      <c r="J61" s="10">
        <f t="shared" si="6"/>
        <v>256269790903.02994</v>
      </c>
      <c r="K61" s="11">
        <f t="shared" si="7"/>
        <v>1.1600000000000055E-2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11"/>
      <c r="H62" s="10"/>
      <c r="I62" s="10">
        <f t="shared" si="8"/>
        <v>18492</v>
      </c>
      <c r="J62" s="10">
        <f t="shared" si="6"/>
        <v>253331149568.04068</v>
      </c>
      <c r="K62" s="11">
        <f t="shared" si="7"/>
        <v>1.3500000000000068E-2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11"/>
      <c r="H63" s="10"/>
      <c r="I63" s="10">
        <f t="shared" si="8"/>
        <v>18492</v>
      </c>
      <c r="J63" s="10">
        <f t="shared" si="6"/>
        <v>249956733663.58228</v>
      </c>
      <c r="K63" s="11">
        <f t="shared" si="7"/>
        <v>1.4699999999999935E-2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11"/>
      <c r="H64" s="10"/>
      <c r="I64" s="10">
        <f t="shared" si="8"/>
        <v>18492</v>
      </c>
      <c r="J64" s="10">
        <f t="shared" si="6"/>
        <v>246335600338.6048</v>
      </c>
      <c r="K64" s="11">
        <f t="shared" si="7"/>
        <v>1.5200000000000102E-2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11"/>
      <c r="H65" s="10"/>
      <c r="I65" s="10">
        <f t="shared" si="8"/>
        <v>18492</v>
      </c>
      <c r="J65" s="10">
        <f t="shared" si="6"/>
        <v>242647360459.61856</v>
      </c>
      <c r="K65" s="11">
        <f t="shared" si="7"/>
        <v>1.5600000000000058E-2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6">
        <f>SUM(F2)</f>
        <v>18401158</v>
      </c>
      <c r="G66" s="11"/>
      <c r="H66" s="10"/>
      <c r="I66" s="10">
        <f t="shared" si="8"/>
        <v>18492</v>
      </c>
      <c r="J66" s="10">
        <f t="shared" ref="J66:J97" si="9">IF(I66="","",I66*C66)</f>
        <v>238920205257.59998</v>
      </c>
      <c r="K66" s="11">
        <f t="shared" ref="K66:K97" si="10">IFERROR(J66/J67-1,"")</f>
        <v>1.5099999999999891E-2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11"/>
      <c r="H67" s="10"/>
      <c r="I67" s="10">
        <f t="shared" ref="I67:I98" si="11">IF(H67&lt;&gt;"",H67,I66/(1+IF(G66="",0,G66)))</f>
        <v>18492</v>
      </c>
      <c r="J67" s="10">
        <f t="shared" si="9"/>
        <v>235366176000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5">
        <v>8714286</v>
      </c>
      <c r="G2" s="11"/>
      <c r="H2" s="10"/>
      <c r="I2" s="10">
        <f>IF(H2&lt;&gt;"",H2,1706)</f>
        <v>1706</v>
      </c>
      <c r="J2" s="10">
        <f t="shared" ref="J2:J33" si="3">IF(I2="","",I2*C2)</f>
        <v>14866753505.387247</v>
      </c>
      <c r="K2" s="11">
        <f t="shared" ref="K2:K33" si="4">IFERROR(J2/J3-1,"")</f>
        <v>-1.1999999999998678E-3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11"/>
      <c r="H3" s="10"/>
      <c r="I3" s="10">
        <f t="shared" ref="I3:I34" si="5">IF(H3&lt;&gt;"",H3,I2/(1+IF(G2="",0,G2)))</f>
        <v>1706</v>
      </c>
      <c r="J3" s="10">
        <f t="shared" si="3"/>
        <v>14884615043.439373</v>
      </c>
      <c r="K3" s="11">
        <f t="shared" si="4"/>
        <v>1.1400000000000077E-2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11"/>
      <c r="H4" s="10"/>
      <c r="I4" s="10">
        <f t="shared" si="5"/>
        <v>1706</v>
      </c>
      <c r="J4" s="10">
        <f t="shared" si="3"/>
        <v>14716843032.864716</v>
      </c>
      <c r="K4" s="11">
        <f t="shared" si="4"/>
        <v>1.5500000000000069E-2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11"/>
      <c r="H5" s="10"/>
      <c r="I5" s="10">
        <f t="shared" si="5"/>
        <v>1706</v>
      </c>
      <c r="J5" s="10">
        <f t="shared" si="3"/>
        <v>14492213720.20159</v>
      </c>
      <c r="K5" s="11">
        <f t="shared" si="4"/>
        <v>1.2299999999999978E-2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11"/>
      <c r="H6" s="10"/>
      <c r="I6" s="10">
        <f t="shared" si="5"/>
        <v>1706</v>
      </c>
      <c r="J6" s="10">
        <f t="shared" si="3"/>
        <v>14316125378.051556</v>
      </c>
      <c r="K6" s="11">
        <f t="shared" si="4"/>
        <v>1.21E-2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11"/>
      <c r="H7" s="10"/>
      <c r="I7" s="10">
        <f t="shared" si="5"/>
        <v>1706</v>
      </c>
      <c r="J7" s="10">
        <f t="shared" si="3"/>
        <v>14144971226.214363</v>
      </c>
      <c r="K7" s="11">
        <f t="shared" si="4"/>
        <v>1.2000000000000011E-2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11"/>
      <c r="H8" s="10"/>
      <c r="I8" s="10">
        <f t="shared" si="5"/>
        <v>1706</v>
      </c>
      <c r="J8" s="10">
        <f t="shared" si="3"/>
        <v>13977244294.678225</v>
      </c>
      <c r="K8" s="11">
        <f t="shared" si="4"/>
        <v>1.3600000000000056E-2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11"/>
      <c r="H9" s="10"/>
      <c r="I9" s="10">
        <f t="shared" si="5"/>
        <v>1706</v>
      </c>
      <c r="J9" s="10">
        <f t="shared" si="3"/>
        <v>13789704315.980883</v>
      </c>
      <c r="K9" s="11">
        <f t="shared" si="4"/>
        <v>1.419999999999999E-2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11"/>
      <c r="H10" s="10"/>
      <c r="I10" s="10">
        <f t="shared" si="5"/>
        <v>1706</v>
      </c>
      <c r="J10" s="10">
        <f t="shared" si="3"/>
        <v>13596632139.598583</v>
      </c>
      <c r="K10" s="11">
        <f t="shared" si="4"/>
        <v>1.4599999999999946E-2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11"/>
      <c r="H11" s="10"/>
      <c r="I11" s="10">
        <f t="shared" si="5"/>
        <v>1706</v>
      </c>
      <c r="J11" s="10">
        <f t="shared" si="3"/>
        <v>13400977862.80168</v>
      </c>
      <c r="K11" s="11">
        <f t="shared" si="4"/>
        <v>1.4999999999999902E-2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11"/>
      <c r="H12" s="10"/>
      <c r="I12" s="10">
        <f t="shared" si="5"/>
        <v>1706</v>
      </c>
      <c r="J12" s="10">
        <f t="shared" si="3"/>
        <v>13202933854.977026</v>
      </c>
      <c r="K12" s="11">
        <f t="shared" si="4"/>
        <v>1.5300000000000091E-2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11"/>
      <c r="H13" s="10"/>
      <c r="I13" s="10">
        <f t="shared" si="5"/>
        <v>1706</v>
      </c>
      <c r="J13" s="10">
        <f t="shared" si="3"/>
        <v>13003973067.051144</v>
      </c>
      <c r="K13" s="11">
        <f t="shared" si="4"/>
        <v>1.5600000000000058E-2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11"/>
      <c r="H14" s="10"/>
      <c r="I14" s="10">
        <f t="shared" si="5"/>
        <v>1706</v>
      </c>
      <c r="J14" s="10">
        <f t="shared" si="3"/>
        <v>12804227123.918022</v>
      </c>
      <c r="K14" s="11">
        <f t="shared" si="4"/>
        <v>1.5400000000000302E-2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11"/>
      <c r="H15" s="10"/>
      <c r="I15" s="10">
        <f t="shared" si="5"/>
        <v>1706</v>
      </c>
      <c r="J15" s="10">
        <f t="shared" si="3"/>
        <v>12610032621.546207</v>
      </c>
      <c r="K15" s="11">
        <f t="shared" si="4"/>
        <v>1.4699999999999935E-2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11"/>
      <c r="H16" s="10"/>
      <c r="I16" s="10">
        <f t="shared" si="5"/>
        <v>1706</v>
      </c>
      <c r="J16" s="10">
        <f t="shared" si="3"/>
        <v>12427350568.19376</v>
      </c>
      <c r="K16" s="11">
        <f t="shared" si="4"/>
        <v>1.4299999999999979E-2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11"/>
      <c r="H17" s="10"/>
      <c r="I17" s="10">
        <f t="shared" si="5"/>
        <v>1706</v>
      </c>
      <c r="J17" s="10">
        <f t="shared" si="3"/>
        <v>12252144896.17841</v>
      </c>
      <c r="K17" s="11">
        <f t="shared" si="4"/>
        <v>1.4300000000000201E-2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11"/>
      <c r="H18" s="10"/>
      <c r="I18" s="10">
        <f t="shared" si="5"/>
        <v>1706</v>
      </c>
      <c r="J18" s="10">
        <f t="shared" si="3"/>
        <v>12079409342.579521</v>
      </c>
      <c r="K18" s="11">
        <f t="shared" si="4"/>
        <v>1.5600000000000058E-2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11"/>
      <c r="H19" s="10"/>
      <c r="I19" s="10">
        <f t="shared" si="5"/>
        <v>1706</v>
      </c>
      <c r="J19" s="10">
        <f t="shared" si="3"/>
        <v>11893865047.833321</v>
      </c>
      <c r="K19" s="11">
        <f t="shared" si="4"/>
        <v>1.7400000000000082E-2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11"/>
      <c r="H20" s="10"/>
      <c r="I20" s="10">
        <f t="shared" si="5"/>
        <v>1706</v>
      </c>
      <c r="J20" s="10">
        <f t="shared" si="3"/>
        <v>11690451197.005426</v>
      </c>
      <c r="K20" s="11">
        <f t="shared" si="4"/>
        <v>1.8899999999999917E-2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11"/>
      <c r="H21" s="10"/>
      <c r="I21" s="10">
        <f t="shared" si="5"/>
        <v>1706</v>
      </c>
      <c r="J21" s="10">
        <f t="shared" si="3"/>
        <v>11473600154.093067</v>
      </c>
      <c r="K21" s="11">
        <f t="shared" si="4"/>
        <v>1.9500000000000073E-2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11"/>
      <c r="H22" s="10"/>
      <c r="I22" s="10">
        <f t="shared" si="5"/>
        <v>1706</v>
      </c>
      <c r="J22" s="10">
        <f t="shared" si="3"/>
        <v>11254144339.473337</v>
      </c>
      <c r="K22" s="11">
        <f t="shared" si="4"/>
        <v>1.9600000000000062E-2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11"/>
      <c r="H23" s="10"/>
      <c r="I23" s="10">
        <f t="shared" si="5"/>
        <v>1706</v>
      </c>
      <c r="J23" s="10">
        <f t="shared" si="3"/>
        <v>11037803392.971104</v>
      </c>
      <c r="K23" s="11">
        <f t="shared" si="4"/>
        <v>2.0299999999999985E-2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11"/>
      <c r="H24" s="10"/>
      <c r="I24" s="10">
        <f t="shared" si="5"/>
        <v>1706</v>
      </c>
      <c r="J24" s="10">
        <f t="shared" si="3"/>
        <v>10818194053.681372</v>
      </c>
      <c r="K24" s="11">
        <f t="shared" si="4"/>
        <v>2.1500000000000075E-2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11"/>
      <c r="H25" s="10"/>
      <c r="I25" s="10">
        <f t="shared" si="5"/>
        <v>1706</v>
      </c>
      <c r="J25" s="10">
        <f t="shared" si="3"/>
        <v>10590498339.384602</v>
      </c>
      <c r="K25" s="11">
        <f t="shared" si="4"/>
        <v>2.2399999999999975E-2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11"/>
      <c r="H26" s="10"/>
      <c r="I26" s="10">
        <f t="shared" si="5"/>
        <v>1706</v>
      </c>
      <c r="J26" s="10">
        <f t="shared" si="3"/>
        <v>10358468641.8081</v>
      </c>
      <c r="K26" s="11">
        <f t="shared" si="4"/>
        <v>2.2699999999999942E-2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11"/>
      <c r="H27" s="10"/>
      <c r="I27" s="10">
        <f t="shared" si="5"/>
        <v>1706</v>
      </c>
      <c r="J27" s="10">
        <f t="shared" si="3"/>
        <v>10128550544.449106</v>
      </c>
      <c r="K27" s="11">
        <f t="shared" si="4"/>
        <v>2.2199999999999998E-2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11"/>
      <c r="H28" s="10"/>
      <c r="I28" s="10">
        <f t="shared" si="5"/>
        <v>1706</v>
      </c>
      <c r="J28" s="10">
        <f t="shared" si="3"/>
        <v>9908580066.9625378</v>
      </c>
      <c r="K28" s="11">
        <f t="shared" si="4"/>
        <v>2.1699999999999831E-2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11"/>
      <c r="H29" s="10"/>
      <c r="I29" s="10">
        <f t="shared" si="5"/>
        <v>1706</v>
      </c>
      <c r="J29" s="10">
        <f t="shared" si="3"/>
        <v>9698130632.2428684</v>
      </c>
      <c r="K29" s="11">
        <f t="shared" si="4"/>
        <v>2.1500000000000075E-2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11"/>
      <c r="H30" s="10"/>
      <c r="I30" s="10">
        <f t="shared" si="5"/>
        <v>1706</v>
      </c>
      <c r="J30" s="10">
        <f t="shared" si="3"/>
        <v>9494009429.5084362</v>
      </c>
      <c r="K30" s="11">
        <f t="shared" si="4"/>
        <v>2.2000000000000242E-2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11"/>
      <c r="H31" s="10"/>
      <c r="I31" s="10">
        <f t="shared" si="5"/>
        <v>1706</v>
      </c>
      <c r="J31" s="10">
        <f t="shared" si="3"/>
        <v>9289637406.5640259</v>
      </c>
      <c r="K31" s="11">
        <f t="shared" si="4"/>
        <v>2.289999999999992E-2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11"/>
      <c r="H32" s="10"/>
      <c r="I32" s="10">
        <f t="shared" si="5"/>
        <v>1706</v>
      </c>
      <c r="J32" s="10">
        <f t="shared" si="3"/>
        <v>9081667227.0642548</v>
      </c>
      <c r="K32" s="11">
        <f t="shared" si="4"/>
        <v>2.3800000000000043E-2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11"/>
      <c r="H33" s="10"/>
      <c r="I33" s="10">
        <f t="shared" si="5"/>
        <v>1706</v>
      </c>
      <c r="J33" s="10">
        <f t="shared" si="3"/>
        <v>8870548180.3714142</v>
      </c>
      <c r="K33" s="11">
        <f t="shared" si="4"/>
        <v>2.4499999999999966E-2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11"/>
      <c r="H34" s="10"/>
      <c r="I34" s="10">
        <f t="shared" si="5"/>
        <v>1706</v>
      </c>
      <c r="J34" s="10">
        <f t="shared" ref="J34:J65" si="6">IF(I34="","",I34*C34)</f>
        <v>8658416964.7353973</v>
      </c>
      <c r="K34" s="11">
        <f t="shared" ref="K34:K65" si="7">IFERROR(J34/J35-1,"")</f>
        <v>2.4899999999999922E-2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11"/>
      <c r="H35" s="10"/>
      <c r="I35" s="10">
        <f t="shared" ref="I35:I66" si="8">IF(H35&lt;&gt;"",H35,I34/(1+IF(G34="",0,G34)))</f>
        <v>1706</v>
      </c>
      <c r="J35" s="10">
        <f t="shared" si="6"/>
        <v>8448060264.1578674</v>
      </c>
      <c r="K35" s="11">
        <f t="shared" si="7"/>
        <v>2.4999999999999911E-2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11"/>
      <c r="H36" s="10"/>
      <c r="I36" s="10">
        <f t="shared" si="8"/>
        <v>1706</v>
      </c>
      <c r="J36" s="10">
        <f t="shared" si="6"/>
        <v>8242010013.8125544</v>
      </c>
      <c r="K36" s="11">
        <f t="shared" si="7"/>
        <v>2.4699999999999944E-2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11"/>
      <c r="H37" s="10"/>
      <c r="I37" s="10">
        <f t="shared" si="8"/>
        <v>1706</v>
      </c>
      <c r="J37" s="10">
        <f t="shared" si="6"/>
        <v>8043339527.4837074</v>
      </c>
      <c r="K37" s="11">
        <f t="shared" si="7"/>
        <v>2.4099999999999788E-2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11"/>
      <c r="H38" s="10"/>
      <c r="I38" s="10">
        <f t="shared" si="8"/>
        <v>1706</v>
      </c>
      <c r="J38" s="10">
        <f t="shared" si="6"/>
        <v>7854056759.5778818</v>
      </c>
      <c r="K38" s="11">
        <f t="shared" si="7"/>
        <v>2.3500000000000076E-2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11"/>
      <c r="H39" s="10"/>
      <c r="I39" s="10">
        <f t="shared" si="8"/>
        <v>1706</v>
      </c>
      <c r="J39" s="10">
        <f t="shared" si="6"/>
        <v>7673724239.9393072</v>
      </c>
      <c r="K39" s="11">
        <f t="shared" si="7"/>
        <v>2.2799999999999931E-2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11"/>
      <c r="H40" s="10"/>
      <c r="I40" s="10">
        <f t="shared" si="8"/>
        <v>1706</v>
      </c>
      <c r="J40" s="10">
        <f t="shared" si="6"/>
        <v>7502663511.868701</v>
      </c>
      <c r="K40" s="11">
        <f t="shared" si="7"/>
        <v>2.2099999999999786E-2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11"/>
      <c r="H41" s="10"/>
      <c r="I41" s="10">
        <f t="shared" si="8"/>
        <v>1706</v>
      </c>
      <c r="J41" s="10">
        <f t="shared" si="6"/>
        <v>7340439792.4554367</v>
      </c>
      <c r="K41" s="11">
        <f t="shared" si="7"/>
        <v>2.1500000000000075E-2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11"/>
      <c r="H42" s="10"/>
      <c r="I42" s="10">
        <f t="shared" si="8"/>
        <v>1706</v>
      </c>
      <c r="J42" s="10">
        <f t="shared" si="6"/>
        <v>7185942038.6249981</v>
      </c>
      <c r="K42" s="11">
        <f t="shared" si="7"/>
        <v>2.0999999999999908E-2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11"/>
      <c r="H43" s="10"/>
      <c r="I43" s="10">
        <f t="shared" si="8"/>
        <v>1706</v>
      </c>
      <c r="J43" s="10">
        <f t="shared" si="6"/>
        <v>7038141076.0284023</v>
      </c>
      <c r="K43" s="11">
        <f t="shared" si="7"/>
        <v>2.0599999999999952E-2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11"/>
      <c r="H44" s="10"/>
      <c r="I44" s="10">
        <f t="shared" si="8"/>
        <v>1706</v>
      </c>
      <c r="J44" s="10">
        <f t="shared" si="6"/>
        <v>6896081791.1311026</v>
      </c>
      <c r="K44" s="11">
        <f t="shared" si="7"/>
        <v>2.0600000000000174E-2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11"/>
      <c r="H45" s="10"/>
      <c r="I45" s="10">
        <f t="shared" si="8"/>
        <v>1706</v>
      </c>
      <c r="J45" s="10">
        <f t="shared" si="6"/>
        <v>6756889860.0147972</v>
      </c>
      <c r="K45" s="11">
        <f t="shared" si="7"/>
        <v>2.1200000000000108E-2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11"/>
      <c r="H46" s="10"/>
      <c r="I46" s="10">
        <f t="shared" si="8"/>
        <v>1706</v>
      </c>
      <c r="J46" s="10">
        <f t="shared" si="6"/>
        <v>6616617567.582057</v>
      </c>
      <c r="K46" s="11">
        <f t="shared" si="7"/>
        <v>2.2199999999999998E-2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11"/>
      <c r="H47" s="10"/>
      <c r="I47" s="10">
        <f t="shared" si="8"/>
        <v>1706</v>
      </c>
      <c r="J47" s="10">
        <f t="shared" si="6"/>
        <v>6472918770.8687706</v>
      </c>
      <c r="K47" s="11">
        <f t="shared" si="7"/>
        <v>2.3400000000000087E-2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11"/>
      <c r="H48" s="10"/>
      <c r="I48" s="10">
        <f t="shared" si="8"/>
        <v>1706</v>
      </c>
      <c r="J48" s="10">
        <f t="shared" si="6"/>
        <v>6324915742.494401</v>
      </c>
      <c r="K48" s="11">
        <f t="shared" si="7"/>
        <v>2.4599999999999955E-2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11"/>
      <c r="H49" s="10"/>
      <c r="I49" s="10">
        <f t="shared" si="8"/>
        <v>1706</v>
      </c>
      <c r="J49" s="10">
        <f t="shared" si="6"/>
        <v>6173058503.3129034</v>
      </c>
      <c r="K49" s="11">
        <f t="shared" si="7"/>
        <v>2.5499999999999856E-2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11"/>
      <c r="H50" s="10"/>
      <c r="I50" s="10">
        <f t="shared" si="8"/>
        <v>1706</v>
      </c>
      <c r="J50" s="10">
        <f t="shared" si="6"/>
        <v>6019559730.1929827</v>
      </c>
      <c r="K50" s="11">
        <f t="shared" si="7"/>
        <v>2.5900000000000034E-2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11"/>
      <c r="H51" s="10"/>
      <c r="I51" s="10">
        <f t="shared" si="8"/>
        <v>1706</v>
      </c>
      <c r="J51" s="10">
        <f t="shared" si="6"/>
        <v>5867589170.6725626</v>
      </c>
      <c r="K51" s="11">
        <f t="shared" si="7"/>
        <v>2.5800000000000045E-2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11"/>
      <c r="H52" s="10"/>
      <c r="I52" s="10">
        <f t="shared" si="8"/>
        <v>1706</v>
      </c>
      <c r="J52" s="10">
        <f t="shared" si="6"/>
        <v>5720012839.4156389</v>
      </c>
      <c r="K52" s="11">
        <f t="shared" si="7"/>
        <v>2.4999999999999689E-2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11"/>
      <c r="H53" s="10"/>
      <c r="I53" s="10">
        <f t="shared" si="8"/>
        <v>1706</v>
      </c>
      <c r="J53" s="10">
        <f t="shared" si="6"/>
        <v>5580500331.1372099</v>
      </c>
      <c r="K53" s="11">
        <f t="shared" si="7"/>
        <v>2.3500000000000076E-2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11"/>
      <c r="H54" s="10"/>
      <c r="I54" s="10">
        <f t="shared" si="8"/>
        <v>1706</v>
      </c>
      <c r="J54" s="10">
        <f t="shared" si="6"/>
        <v>5452369644.4916553</v>
      </c>
      <c r="K54" s="11">
        <f t="shared" si="7"/>
        <v>2.1400000000000086E-2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11"/>
      <c r="H55" s="10"/>
      <c r="I55" s="10">
        <f t="shared" si="8"/>
        <v>1706</v>
      </c>
      <c r="J55" s="10">
        <f t="shared" si="6"/>
        <v>5338133585.7564669</v>
      </c>
      <c r="K55" s="11">
        <f t="shared" si="7"/>
        <v>1.859999999999995E-2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11"/>
      <c r="H56" s="10"/>
      <c r="I56" s="10">
        <f t="shared" si="8"/>
        <v>1706</v>
      </c>
      <c r="J56" s="10">
        <f t="shared" si="6"/>
        <v>5240657358.8812752</v>
      </c>
      <c r="K56" s="11">
        <f t="shared" si="7"/>
        <v>1.5200000000000102E-2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11"/>
      <c r="H57" s="10"/>
      <c r="I57" s="10">
        <f t="shared" si="8"/>
        <v>1706</v>
      </c>
      <c r="J57" s="10">
        <f t="shared" si="6"/>
        <v>5162192039.8751717</v>
      </c>
      <c r="K57" s="11">
        <f t="shared" si="7"/>
        <v>1.1300000000000088E-2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11"/>
      <c r="H58" s="10"/>
      <c r="I58" s="10">
        <f t="shared" si="8"/>
        <v>1706</v>
      </c>
      <c r="J58" s="10">
        <f t="shared" si="6"/>
        <v>5104511064.8424511</v>
      </c>
      <c r="K58" s="11">
        <f t="shared" si="7"/>
        <v>7.2000000000000952E-3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11"/>
      <c r="H59" s="10"/>
      <c r="I59" s="10">
        <f t="shared" si="8"/>
        <v>1706</v>
      </c>
      <c r="J59" s="10">
        <f t="shared" si="6"/>
        <v>5068021311.4003677</v>
      </c>
      <c r="K59" s="11">
        <f t="shared" si="7"/>
        <v>3.3999999999998476E-3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11"/>
      <c r="H60" s="10"/>
      <c r="I60" s="10">
        <f t="shared" si="8"/>
        <v>1706</v>
      </c>
      <c r="J60" s="10">
        <f t="shared" si="6"/>
        <v>5050848426.7494202</v>
      </c>
      <c r="K60" s="11">
        <f t="shared" si="7"/>
        <v>1.0000000000021103E-4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11"/>
      <c r="H61" s="10"/>
      <c r="I61" s="10">
        <f t="shared" si="8"/>
        <v>1706</v>
      </c>
      <c r="J61" s="10">
        <f t="shared" si="6"/>
        <v>5050343392.4101782</v>
      </c>
      <c r="K61" s="11">
        <f t="shared" si="7"/>
        <v>-2.7000000000001467E-3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11"/>
      <c r="H62" s="10"/>
      <c r="I62" s="10">
        <f t="shared" si="8"/>
        <v>1706</v>
      </c>
      <c r="J62" s="10">
        <f t="shared" si="6"/>
        <v>5064016236.2480488</v>
      </c>
      <c r="K62" s="11">
        <f t="shared" si="7"/>
        <v>-4.8999999999999044E-3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11"/>
      <c r="H63" s="10"/>
      <c r="I63" s="10">
        <f t="shared" si="8"/>
        <v>1706</v>
      </c>
      <c r="J63" s="10">
        <f t="shared" si="6"/>
        <v>5088952101.5456219</v>
      </c>
      <c r="K63" s="11">
        <f t="shared" si="7"/>
        <v>-6.4999999999999503E-3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11"/>
      <c r="H64" s="10"/>
      <c r="I64" s="10">
        <f t="shared" si="8"/>
        <v>1706</v>
      </c>
      <c r="J64" s="10">
        <f t="shared" si="6"/>
        <v>5122246705.1289597</v>
      </c>
      <c r="K64" s="11">
        <f t="shared" si="7"/>
        <v>-7.4999999999999512E-3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11"/>
      <c r="H65" s="10"/>
      <c r="I65" s="10">
        <f t="shared" si="8"/>
        <v>1706</v>
      </c>
      <c r="J65" s="10">
        <f t="shared" si="6"/>
        <v>5160953859.0719995</v>
      </c>
      <c r="K65" s="11">
        <f t="shared" si="7"/>
        <v>-7.8000000000001402E-3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6">
        <f>SUM(F2)</f>
        <v>8714286</v>
      </c>
      <c r="G66" s="11"/>
      <c r="H66" s="10"/>
      <c r="I66" s="10">
        <f t="shared" si="8"/>
        <v>1706</v>
      </c>
      <c r="J66" s="10">
        <f t="shared" ref="J66:J97" si="9">IF(I66="","",I66*C66)</f>
        <v>5201525760</v>
      </c>
      <c r="K66" s="11">
        <f t="shared" ref="K66:K97" si="10">IFERROR(J66/J67-1,"")</f>
        <v>-7.4999999999999512E-3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11"/>
      <c r="H67" s="10"/>
      <c r="I67" s="10">
        <f t="shared" ref="I67:I98" si="11">IF(H67&lt;&gt;"",H67,I66/(1+IF(G66="",0,G66)))</f>
        <v>1706</v>
      </c>
      <c r="J67" s="10">
        <f t="shared" si="9"/>
        <v>5240832000</v>
      </c>
      <c r="K67" s="11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5">
        <v>5131190</v>
      </c>
      <c r="G2" s="11"/>
      <c r="H2" s="10"/>
      <c r="I2" s="10">
        <f>IF(H2&lt;&gt;"",H2,159)</f>
        <v>159</v>
      </c>
      <c r="J2" s="10">
        <f t="shared" ref="J2:J33" si="3">IF(I2="","",I2*C2)</f>
        <v>815912651.2607801</v>
      </c>
      <c r="K2" s="11">
        <f t="shared" ref="K2:K33" si="4">IFERROR(J2/J3-1,"")</f>
        <v>2.3800000000000043E-2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11"/>
      <c r="H3" s="10"/>
      <c r="I3" s="10">
        <f t="shared" ref="I3:I34" si="5">IF(H3&lt;&gt;"",H3,I2/(1+IF(G2="",0,G2)))</f>
        <v>159</v>
      </c>
      <c r="J3" s="10">
        <f t="shared" si="3"/>
        <v>796945351.88589573</v>
      </c>
      <c r="K3" s="11">
        <f t="shared" si="4"/>
        <v>2.4499999999999966E-2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11"/>
      <c r="H4" s="10"/>
      <c r="I4" s="10">
        <f t="shared" si="5"/>
        <v>159</v>
      </c>
      <c r="J4" s="10">
        <f t="shared" si="3"/>
        <v>777887117.50697482</v>
      </c>
      <c r="K4" s="11">
        <f t="shared" si="4"/>
        <v>2.5199999999999889E-2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11"/>
      <c r="H5" s="10"/>
      <c r="I5" s="10">
        <f t="shared" si="5"/>
        <v>159</v>
      </c>
      <c r="J5" s="10">
        <f t="shared" si="3"/>
        <v>758766209.03918731</v>
      </c>
      <c r="K5" s="11">
        <f t="shared" si="4"/>
        <v>2.5600000000000067E-2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11"/>
      <c r="H6" s="10"/>
      <c r="I6" s="10">
        <f t="shared" si="5"/>
        <v>159</v>
      </c>
      <c r="J6" s="10">
        <f t="shared" si="3"/>
        <v>739826646.87908268</v>
      </c>
      <c r="K6" s="11">
        <f t="shared" si="4"/>
        <v>2.5400000000000089E-2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11"/>
      <c r="H7" s="10"/>
      <c r="I7" s="10">
        <f t="shared" si="5"/>
        <v>159</v>
      </c>
      <c r="J7" s="10">
        <f t="shared" si="3"/>
        <v>721500533.33243871</v>
      </c>
      <c r="K7" s="11">
        <f t="shared" si="4"/>
        <v>2.4799999999999933E-2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11"/>
      <c r="H8" s="10"/>
      <c r="I8" s="10">
        <f t="shared" si="5"/>
        <v>159</v>
      </c>
      <c r="J8" s="10">
        <f t="shared" si="3"/>
        <v>704040333.07224703</v>
      </c>
      <c r="K8" s="11">
        <f t="shared" si="4"/>
        <v>2.4199999999999777E-2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11"/>
      <c r="H9" s="10"/>
      <c r="I9" s="10">
        <f t="shared" si="5"/>
        <v>159</v>
      </c>
      <c r="J9" s="10">
        <f t="shared" si="3"/>
        <v>687405128.95161796</v>
      </c>
      <c r="K9" s="11">
        <f t="shared" si="4"/>
        <v>2.3700000000000054E-2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11"/>
      <c r="H10" s="10"/>
      <c r="I10" s="10">
        <f t="shared" si="5"/>
        <v>159</v>
      </c>
      <c r="J10" s="10">
        <f t="shared" si="3"/>
        <v>671490797.06126595</v>
      </c>
      <c r="K10" s="11">
        <f t="shared" si="4"/>
        <v>2.3400000000000087E-2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11"/>
      <c r="H11" s="10"/>
      <c r="I11" s="10">
        <f t="shared" si="5"/>
        <v>159</v>
      </c>
      <c r="J11" s="10">
        <f t="shared" si="3"/>
        <v>656137186.88808465</v>
      </c>
      <c r="K11" s="11">
        <f t="shared" si="4"/>
        <v>2.3500000000000076E-2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11"/>
      <c r="H12" s="10"/>
      <c r="I12" s="10">
        <f t="shared" si="5"/>
        <v>159</v>
      </c>
      <c r="J12" s="10">
        <f t="shared" si="3"/>
        <v>641071995.00545633</v>
      </c>
      <c r="K12" s="11">
        <f t="shared" si="4"/>
        <v>2.4000000000000021E-2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11"/>
      <c r="H13" s="10"/>
      <c r="I13" s="10">
        <f t="shared" si="5"/>
        <v>159</v>
      </c>
      <c r="J13" s="10">
        <f t="shared" si="3"/>
        <v>626046870.12251592</v>
      </c>
      <c r="K13" s="11">
        <f t="shared" si="4"/>
        <v>2.4900000000000144E-2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11"/>
      <c r="H14" s="10"/>
      <c r="I14" s="10">
        <f t="shared" si="5"/>
        <v>159</v>
      </c>
      <c r="J14" s="10">
        <f t="shared" si="3"/>
        <v>610837028.1222713</v>
      </c>
      <c r="K14" s="11">
        <f t="shared" si="4"/>
        <v>2.5899999999999812E-2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11"/>
      <c r="H15" s="10"/>
      <c r="I15" s="10">
        <f t="shared" si="5"/>
        <v>159</v>
      </c>
      <c r="J15" s="10">
        <f t="shared" si="3"/>
        <v>595415759.93982983</v>
      </c>
      <c r="K15" s="11">
        <f t="shared" si="4"/>
        <v>2.6799999999999935E-2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11"/>
      <c r="H16" s="10"/>
      <c r="I16" s="10">
        <f t="shared" si="5"/>
        <v>159</v>
      </c>
      <c r="J16" s="10">
        <f t="shared" si="3"/>
        <v>579875107.07034457</v>
      </c>
      <c r="K16" s="11">
        <f t="shared" si="4"/>
        <v>2.750000000000008E-2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11"/>
      <c r="H17" s="10"/>
      <c r="I17" s="10">
        <f t="shared" si="5"/>
        <v>159</v>
      </c>
      <c r="J17" s="10">
        <f t="shared" si="3"/>
        <v>564355335.3482672</v>
      </c>
      <c r="K17" s="11">
        <f t="shared" si="4"/>
        <v>2.7900000000000036E-2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11"/>
      <c r="H18" s="10"/>
      <c r="I18" s="10">
        <f t="shared" si="5"/>
        <v>159</v>
      </c>
      <c r="J18" s="10">
        <f t="shared" si="3"/>
        <v>549037197.53698528</v>
      </c>
      <c r="K18" s="11">
        <f t="shared" si="4"/>
        <v>2.8100000000000014E-2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11"/>
      <c r="H19" s="10"/>
      <c r="I19" s="10">
        <f t="shared" si="5"/>
        <v>159</v>
      </c>
      <c r="J19" s="10">
        <f t="shared" si="3"/>
        <v>534030928.44760746</v>
      </c>
      <c r="K19" s="11">
        <f t="shared" si="4"/>
        <v>2.8000000000000025E-2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11"/>
      <c r="H20" s="10"/>
      <c r="I20" s="10">
        <f t="shared" si="5"/>
        <v>159</v>
      </c>
      <c r="J20" s="10">
        <f t="shared" si="3"/>
        <v>519485338.95681661</v>
      </c>
      <c r="K20" s="11">
        <f t="shared" si="4"/>
        <v>2.7800000000000047E-2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11"/>
      <c r="H21" s="10"/>
      <c r="I21" s="10">
        <f t="shared" si="5"/>
        <v>159</v>
      </c>
      <c r="J21" s="10">
        <f t="shared" si="3"/>
        <v>505434266.35222477</v>
      </c>
      <c r="K21" s="11">
        <f t="shared" si="4"/>
        <v>2.750000000000008E-2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11"/>
      <c r="H22" s="10"/>
      <c r="I22" s="10">
        <f t="shared" si="5"/>
        <v>159</v>
      </c>
      <c r="J22" s="10">
        <f t="shared" si="3"/>
        <v>491906828.56664205</v>
      </c>
      <c r="K22" s="11">
        <f t="shared" si="4"/>
        <v>2.7300000000000102E-2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11"/>
      <c r="H23" s="10"/>
      <c r="I23" s="10">
        <f t="shared" si="5"/>
        <v>159</v>
      </c>
      <c r="J23" s="10">
        <f t="shared" si="3"/>
        <v>478834642.81771827</v>
      </c>
      <c r="K23" s="11">
        <f t="shared" si="4"/>
        <v>2.6999999999999913E-2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11"/>
      <c r="H24" s="10"/>
      <c r="I24" s="10">
        <f t="shared" si="5"/>
        <v>159</v>
      </c>
      <c r="J24" s="10">
        <f t="shared" si="3"/>
        <v>466246000.79622036</v>
      </c>
      <c r="K24" s="11">
        <f t="shared" si="4"/>
        <v>2.6899999999999924E-2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11"/>
      <c r="H25" s="10"/>
      <c r="I25" s="10">
        <f t="shared" si="5"/>
        <v>159</v>
      </c>
      <c r="J25" s="10">
        <f t="shared" si="3"/>
        <v>454032525.850833</v>
      </c>
      <c r="K25" s="11">
        <f t="shared" si="4"/>
        <v>2.7199999999999891E-2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11"/>
      <c r="H26" s="10"/>
      <c r="I26" s="10">
        <f t="shared" si="5"/>
        <v>159</v>
      </c>
      <c r="J26" s="10">
        <f t="shared" si="3"/>
        <v>442009857.72082657</v>
      </c>
      <c r="K26" s="11">
        <f t="shared" si="4"/>
        <v>2.750000000000008E-2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11"/>
      <c r="H27" s="10"/>
      <c r="I27" s="10">
        <f t="shared" si="5"/>
        <v>159</v>
      </c>
      <c r="J27" s="10">
        <f t="shared" si="3"/>
        <v>430179910.19058543</v>
      </c>
      <c r="K27" s="11">
        <f t="shared" si="4"/>
        <v>2.8100000000000014E-2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11"/>
      <c r="H28" s="10"/>
      <c r="I28" s="10">
        <f t="shared" si="5"/>
        <v>159</v>
      </c>
      <c r="J28" s="10">
        <f t="shared" si="3"/>
        <v>418422245.10318589</v>
      </c>
      <c r="K28" s="11">
        <f t="shared" si="4"/>
        <v>2.8699999999999948E-2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11"/>
      <c r="H29" s="10"/>
      <c r="I29" s="10">
        <f t="shared" si="5"/>
        <v>159</v>
      </c>
      <c r="J29" s="10">
        <f t="shared" si="3"/>
        <v>406748561.39125687</v>
      </c>
      <c r="K29" s="11">
        <f t="shared" si="4"/>
        <v>2.9099999999999904E-2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11"/>
      <c r="H30" s="10"/>
      <c r="I30" s="10">
        <f t="shared" si="5"/>
        <v>159</v>
      </c>
      <c r="J30" s="10">
        <f t="shared" si="3"/>
        <v>395246877.26290637</v>
      </c>
      <c r="K30" s="11">
        <f t="shared" si="4"/>
        <v>2.9500000000000082E-2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11"/>
      <c r="H31" s="10"/>
      <c r="I31" s="10">
        <f t="shared" si="5"/>
        <v>159</v>
      </c>
      <c r="J31" s="10">
        <f t="shared" si="3"/>
        <v>383921201.80952531</v>
      </c>
      <c r="K31" s="11">
        <f t="shared" si="4"/>
        <v>2.9900000000000038E-2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11"/>
      <c r="H32" s="10"/>
      <c r="I32" s="10">
        <f t="shared" si="5"/>
        <v>159</v>
      </c>
      <c r="J32" s="10">
        <f t="shared" si="3"/>
        <v>372775222.65222383</v>
      </c>
      <c r="K32" s="11">
        <f t="shared" si="4"/>
        <v>3.0299999999999994E-2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11"/>
      <c r="H33" s="10"/>
      <c r="I33" s="10">
        <f t="shared" si="5"/>
        <v>159</v>
      </c>
      <c r="J33" s="10">
        <f t="shared" si="3"/>
        <v>361812309.66924566</v>
      </c>
      <c r="K33" s="11">
        <f t="shared" si="4"/>
        <v>3.069999999999995E-2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11"/>
      <c r="H34" s="10"/>
      <c r="I34" s="10">
        <f t="shared" si="5"/>
        <v>159</v>
      </c>
      <c r="J34" s="10">
        <f t="shared" ref="J34:J65" si="6">IF(I34="","",I34*C34)</f>
        <v>351035519.2289179</v>
      </c>
      <c r="K34" s="11">
        <f t="shared" ref="K34:K65" si="7">IFERROR(J34/J35-1,"")</f>
        <v>3.0999999999999917E-2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11"/>
      <c r="H35" s="10"/>
      <c r="I35" s="10">
        <f t="shared" ref="I35:I66" si="8">IF(H35&lt;&gt;"",H35,I34/(1+IF(G34="",0,G34)))</f>
        <v>159</v>
      </c>
      <c r="J35" s="10">
        <f t="shared" si="6"/>
        <v>340480620.00864977</v>
      </c>
      <c r="K35" s="11">
        <f t="shared" si="7"/>
        <v>3.1200000000000117E-2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11"/>
      <c r="H36" s="10"/>
      <c r="I36" s="10">
        <f t="shared" si="8"/>
        <v>159</v>
      </c>
      <c r="J36" s="10">
        <f t="shared" si="6"/>
        <v>330179034.14337641</v>
      </c>
      <c r="K36" s="11">
        <f t="shared" si="7"/>
        <v>3.1199999999999672E-2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11"/>
      <c r="H37" s="10"/>
      <c r="I37" s="10">
        <f t="shared" si="8"/>
        <v>159</v>
      </c>
      <c r="J37" s="10">
        <f t="shared" si="6"/>
        <v>320189133.1879136</v>
      </c>
      <c r="K37" s="11">
        <f t="shared" si="7"/>
        <v>3.0999999999999917E-2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11"/>
      <c r="H38" s="10"/>
      <c r="I38" s="10">
        <f t="shared" si="8"/>
        <v>159</v>
      </c>
      <c r="J38" s="10">
        <f t="shared" si="6"/>
        <v>310561719.87188518</v>
      </c>
      <c r="K38" s="11">
        <f t="shared" si="7"/>
        <v>3.0599999999999961E-2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11"/>
      <c r="H39" s="10"/>
      <c r="I39" s="10">
        <f t="shared" si="8"/>
        <v>159</v>
      </c>
      <c r="J39" s="10">
        <f t="shared" si="6"/>
        <v>301340694.61661673</v>
      </c>
      <c r="K39" s="11">
        <f t="shared" si="7"/>
        <v>3.0100000000000238E-2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11"/>
      <c r="H40" s="10"/>
      <c r="I40" s="10">
        <f t="shared" si="8"/>
        <v>159</v>
      </c>
      <c r="J40" s="10">
        <f t="shared" si="6"/>
        <v>292535379.68800765</v>
      </c>
      <c r="K40" s="11">
        <f t="shared" si="7"/>
        <v>2.949999999999986E-2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11"/>
      <c r="H41" s="10"/>
      <c r="I41" s="10">
        <f t="shared" si="8"/>
        <v>159</v>
      </c>
      <c r="J41" s="10">
        <f t="shared" si="6"/>
        <v>284152870.0223484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11"/>
      <c r="H42" s="10"/>
      <c r="I42" s="10">
        <f t="shared" si="8"/>
        <v>159</v>
      </c>
      <c r="J42" s="10">
        <f t="shared" si="6"/>
        <v>276198357.3312096</v>
      </c>
      <c r="K42" s="11">
        <f t="shared" si="7"/>
        <v>2.8200000000000003E-2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11"/>
      <c r="H43" s="10"/>
      <c r="I43" s="10">
        <f t="shared" si="8"/>
        <v>159</v>
      </c>
      <c r="J43" s="10">
        <f t="shared" si="6"/>
        <v>268623183.55495971</v>
      </c>
      <c r="K43" s="11">
        <f t="shared" si="7"/>
        <v>2.7800000000000047E-2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11"/>
      <c r="H44" s="10"/>
      <c r="I44" s="10">
        <f t="shared" si="8"/>
        <v>159</v>
      </c>
      <c r="J44" s="10">
        <f t="shared" si="6"/>
        <v>261357446.54111665</v>
      </c>
      <c r="K44" s="11">
        <f t="shared" si="7"/>
        <v>2.750000000000008E-2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11"/>
      <c r="H45" s="10"/>
      <c r="I45" s="10">
        <f t="shared" si="8"/>
        <v>159</v>
      </c>
      <c r="J45" s="10">
        <f t="shared" si="6"/>
        <v>254362478.38551497</v>
      </c>
      <c r="K45" s="11">
        <f t="shared" si="7"/>
        <v>2.750000000000008E-2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11"/>
      <c r="H46" s="10"/>
      <c r="I46" s="10">
        <f t="shared" si="8"/>
        <v>159</v>
      </c>
      <c r="J46" s="10">
        <f t="shared" si="6"/>
        <v>247554723.48955226</v>
      </c>
      <c r="K46" s="11">
        <f t="shared" si="7"/>
        <v>2.7700000000000058E-2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11"/>
      <c r="H47" s="10"/>
      <c r="I47" s="10">
        <f t="shared" si="8"/>
        <v>159</v>
      </c>
      <c r="J47" s="10">
        <f t="shared" si="6"/>
        <v>240882284.2167483</v>
      </c>
      <c r="K47" s="11">
        <f t="shared" si="7"/>
        <v>2.8199999999999781E-2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11"/>
      <c r="H48" s="10"/>
      <c r="I48" s="10">
        <f t="shared" si="8"/>
        <v>159</v>
      </c>
      <c r="J48" s="10">
        <f t="shared" si="6"/>
        <v>234275709.21683362</v>
      </c>
      <c r="K48" s="11">
        <f t="shared" si="7"/>
        <v>2.8699999999999948E-2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11"/>
      <c r="H49" s="10"/>
      <c r="I49" s="10">
        <f t="shared" si="8"/>
        <v>159</v>
      </c>
      <c r="J49" s="10">
        <f t="shared" si="6"/>
        <v>227739583.1795797</v>
      </c>
      <c r="K49" s="11">
        <f t="shared" si="7"/>
        <v>2.9099999999999904E-2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11"/>
      <c r="H50" s="10"/>
      <c r="I50" s="10">
        <f t="shared" si="8"/>
        <v>159</v>
      </c>
      <c r="J50" s="10">
        <f t="shared" si="6"/>
        <v>221299760.15895414</v>
      </c>
      <c r="K50" s="11">
        <f t="shared" si="7"/>
        <v>2.9400000000000093E-2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11"/>
      <c r="H51" s="10"/>
      <c r="I51" s="10">
        <f t="shared" si="8"/>
        <v>159</v>
      </c>
      <c r="J51" s="10">
        <f t="shared" si="6"/>
        <v>214979366.77574715</v>
      </c>
      <c r="K51" s="11">
        <f t="shared" si="7"/>
        <v>2.9600000000000071E-2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11"/>
      <c r="H52" s="10"/>
      <c r="I52" s="10">
        <f t="shared" si="8"/>
        <v>159</v>
      </c>
      <c r="J52" s="10">
        <f t="shared" si="6"/>
        <v>208798918.77986318</v>
      </c>
      <c r="K52" s="11">
        <f t="shared" si="7"/>
        <v>2.9599999999999849E-2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11"/>
      <c r="H53" s="10"/>
      <c r="I53" s="10">
        <f t="shared" si="8"/>
        <v>159</v>
      </c>
      <c r="J53" s="10">
        <f t="shared" si="6"/>
        <v>202796152.66109478</v>
      </c>
      <c r="K53" s="11">
        <f t="shared" si="7"/>
        <v>2.9500000000000082E-2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11"/>
      <c r="H54" s="10"/>
      <c r="I54" s="10">
        <f t="shared" si="8"/>
        <v>159</v>
      </c>
      <c r="J54" s="10">
        <f t="shared" si="6"/>
        <v>196985092.43428341</v>
      </c>
      <c r="K54" s="11">
        <f t="shared" si="7"/>
        <v>2.9199999999999893E-2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11"/>
      <c r="H55" s="10"/>
      <c r="I55" s="10">
        <f t="shared" si="8"/>
        <v>159</v>
      </c>
      <c r="J55" s="10">
        <f t="shared" si="6"/>
        <v>191396319.89339626</v>
      </c>
      <c r="K55" s="11">
        <f t="shared" si="7"/>
        <v>2.8799999999999937E-2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11"/>
      <c r="H56" s="10"/>
      <c r="I56" s="10">
        <f t="shared" si="8"/>
        <v>159</v>
      </c>
      <c r="J56" s="10">
        <f t="shared" si="6"/>
        <v>186038413.58222809</v>
      </c>
      <c r="K56" s="11">
        <f t="shared" si="7"/>
        <v>2.8299999999999992E-2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11"/>
      <c r="H57" s="10"/>
      <c r="I57" s="10">
        <f t="shared" si="8"/>
        <v>159</v>
      </c>
      <c r="J57" s="10">
        <f t="shared" si="6"/>
        <v>180918422.23303324</v>
      </c>
      <c r="K57" s="11">
        <f t="shared" si="7"/>
        <v>2.7600000000000069E-2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11"/>
      <c r="H58" s="10"/>
      <c r="I58" s="10">
        <f t="shared" si="8"/>
        <v>159</v>
      </c>
      <c r="J58" s="10">
        <f t="shared" si="6"/>
        <v>176059188.62692997</v>
      </c>
      <c r="K58" s="11">
        <f t="shared" si="7"/>
        <v>2.6899999999999702E-2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11"/>
      <c r="H59" s="10"/>
      <c r="I59" s="10">
        <f t="shared" si="8"/>
        <v>159</v>
      </c>
      <c r="J59" s="10">
        <f t="shared" si="6"/>
        <v>171447257.40279484</v>
      </c>
      <c r="K59" s="11">
        <f t="shared" si="7"/>
        <v>2.6100000000000012E-2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11"/>
      <c r="H60" s="10"/>
      <c r="I60" s="10">
        <f t="shared" si="8"/>
        <v>159</v>
      </c>
      <c r="J60" s="10">
        <f t="shared" si="6"/>
        <v>167086304.84630623</v>
      </c>
      <c r="K60" s="11">
        <f t="shared" si="7"/>
        <v>2.5400000000000089E-2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11"/>
      <c r="H61" s="10"/>
      <c r="I61" s="10">
        <f t="shared" si="8"/>
        <v>159</v>
      </c>
      <c r="J61" s="10">
        <f t="shared" si="6"/>
        <v>162947439.87351885</v>
      </c>
      <c r="K61" s="11">
        <f t="shared" si="7"/>
        <v>2.4699999999999944E-2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11"/>
      <c r="H62" s="10"/>
      <c r="I62" s="10">
        <f t="shared" si="8"/>
        <v>159</v>
      </c>
      <c r="J62" s="10">
        <f t="shared" si="6"/>
        <v>159019654.40960169</v>
      </c>
      <c r="K62" s="11">
        <f t="shared" si="7"/>
        <v>2.4000000000000021E-2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11"/>
      <c r="H63" s="10"/>
      <c r="I63" s="10">
        <f t="shared" si="8"/>
        <v>159</v>
      </c>
      <c r="J63" s="10">
        <f t="shared" si="6"/>
        <v>155292631.25937665</v>
      </c>
      <c r="K63" s="11">
        <f t="shared" si="7"/>
        <v>2.3300000000000098E-2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11"/>
      <c r="H64" s="10"/>
      <c r="I64" s="10">
        <f t="shared" si="8"/>
        <v>159</v>
      </c>
      <c r="J64" s="10">
        <f t="shared" si="6"/>
        <v>151756700.14597541</v>
      </c>
      <c r="K64" s="11">
        <f t="shared" si="7"/>
        <v>2.2599999999999953E-2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11"/>
      <c r="H65" s="10"/>
      <c r="I65" s="10">
        <f t="shared" si="8"/>
        <v>159</v>
      </c>
      <c r="J65" s="10">
        <f t="shared" si="6"/>
        <v>148402796.93523902</v>
      </c>
      <c r="K65" s="11">
        <f t="shared" si="7"/>
        <v>2.1900000000000031E-2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6">
        <f>SUM(F2)</f>
        <v>5131190</v>
      </c>
      <c r="G66" s="11"/>
      <c r="H66" s="10"/>
      <c r="I66" s="10">
        <f t="shared" si="8"/>
        <v>159</v>
      </c>
      <c r="J66" s="10">
        <f t="shared" ref="J66:J97" si="9">IF(I66="","",I66*C66)</f>
        <v>145222425.81</v>
      </c>
      <c r="K66" s="11">
        <f t="shared" ref="K66:K97" si="10">IFERROR(J66/J67-1,"")</f>
        <v>2.1300000000000097E-2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11"/>
      <c r="H67" s="10"/>
      <c r="I67" s="10">
        <f t="shared" ref="I67:I98" si="11">IF(H67&lt;&gt;"",H67,I66/(1+IF(G66="",0,G66)))</f>
        <v>159</v>
      </c>
      <c r="J67" s="10">
        <f t="shared" si="9"/>
        <v>142193700</v>
      </c>
      <c r="K67" s="11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5">
        <v>447879</v>
      </c>
      <c r="G2" s="11"/>
      <c r="H2" s="10"/>
      <c r="I2" s="10">
        <f>IF(H2&lt;&gt;"",H2,18492)</f>
        <v>18492</v>
      </c>
      <c r="J2" s="10">
        <f t="shared" ref="J2:J33" si="3">IF(I2="","",I2*C2)</f>
        <v>8284225399.4810486</v>
      </c>
      <c r="K2" s="11">
        <f t="shared" ref="K2:K33" si="4">IFERROR(J2/J3-1,"")</f>
        <v>1.3600000000000056E-2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11"/>
      <c r="H3" s="10"/>
      <c r="I3" s="10">
        <f t="shared" ref="I3:I34" si="5">IF(H3&lt;&gt;"",H3,I2/(1+IF(G2="",0,G2)))</f>
        <v>18492</v>
      </c>
      <c r="J3" s="10">
        <f t="shared" si="3"/>
        <v>8173071625.3759346</v>
      </c>
      <c r="K3" s="11">
        <f t="shared" si="4"/>
        <v>1.4299999999999979E-2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11"/>
      <c r="H4" s="10"/>
      <c r="I4" s="10">
        <f t="shared" si="5"/>
        <v>18492</v>
      </c>
      <c r="J4" s="10">
        <f t="shared" si="3"/>
        <v>8057844449.7445869</v>
      </c>
      <c r="K4" s="11">
        <f t="shared" si="4"/>
        <v>1.5099999999999891E-2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11"/>
      <c r="H5" s="10"/>
      <c r="I5" s="10">
        <f t="shared" si="5"/>
        <v>18492</v>
      </c>
      <c r="J5" s="10">
        <f t="shared" si="3"/>
        <v>7937980937.5870237</v>
      </c>
      <c r="K5" s="11">
        <f t="shared" si="4"/>
        <v>1.5700000000000047E-2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11"/>
      <c r="H6" s="10"/>
      <c r="I6" s="10">
        <f t="shared" si="5"/>
        <v>18492</v>
      </c>
      <c r="J6" s="10">
        <f t="shared" si="3"/>
        <v>7815281025.4868793</v>
      </c>
      <c r="K6" s="11">
        <f t="shared" si="4"/>
        <v>1.6199999999999992E-2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11"/>
      <c r="H7" s="10"/>
      <c r="I7" s="10">
        <f t="shared" si="5"/>
        <v>18492</v>
      </c>
      <c r="J7" s="10">
        <f t="shared" si="3"/>
        <v>7690691818.0347166</v>
      </c>
      <c r="K7" s="11">
        <f t="shared" si="4"/>
        <v>1.6299999999999981E-2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11"/>
      <c r="H8" s="10"/>
      <c r="I8" s="10">
        <f t="shared" si="5"/>
        <v>18492</v>
      </c>
      <c r="J8" s="10">
        <f t="shared" si="3"/>
        <v>7567344109.057086</v>
      </c>
      <c r="K8" s="11">
        <f t="shared" si="4"/>
        <v>1.6199999999999992E-2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11"/>
      <c r="H9" s="10"/>
      <c r="I9" s="10">
        <f t="shared" si="5"/>
        <v>18492</v>
      </c>
      <c r="J9" s="10">
        <f t="shared" si="3"/>
        <v>7446707448.3931179</v>
      </c>
      <c r="K9" s="11">
        <f t="shared" si="4"/>
        <v>1.5899999999999803E-2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11"/>
      <c r="H10" s="10"/>
      <c r="I10" s="10">
        <f t="shared" si="5"/>
        <v>18492</v>
      </c>
      <c r="J10" s="10">
        <f t="shared" si="3"/>
        <v>7330157937.1917696</v>
      </c>
      <c r="K10" s="11">
        <f t="shared" si="4"/>
        <v>1.560000000000028E-2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11"/>
      <c r="H11" s="10"/>
      <c r="I11" s="10">
        <f t="shared" si="5"/>
        <v>18492</v>
      </c>
      <c r="J11" s="10">
        <f t="shared" si="3"/>
        <v>7217563939.7319498</v>
      </c>
      <c r="K11" s="11">
        <f t="shared" si="4"/>
        <v>1.5500000000000069E-2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11"/>
      <c r="H12" s="10"/>
      <c r="I12" s="10">
        <f t="shared" si="5"/>
        <v>18492</v>
      </c>
      <c r="J12" s="10">
        <f t="shared" si="3"/>
        <v>7107399251.3362379</v>
      </c>
      <c r="K12" s="11">
        <f t="shared" si="4"/>
        <v>1.5900000000000025E-2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11"/>
      <c r="H13" s="10"/>
      <c r="I13" s="10">
        <f t="shared" si="5"/>
        <v>18492</v>
      </c>
      <c r="J13" s="10">
        <f t="shared" si="3"/>
        <v>6996160302.5260735</v>
      </c>
      <c r="K13" s="11">
        <f t="shared" si="4"/>
        <v>1.639999999999997E-2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11"/>
      <c r="H14" s="10"/>
      <c r="I14" s="10">
        <f t="shared" si="5"/>
        <v>18492</v>
      </c>
      <c r="J14" s="10">
        <f t="shared" si="3"/>
        <v>6883274599.1008196</v>
      </c>
      <c r="K14" s="11">
        <f t="shared" si="4"/>
        <v>1.7200000000000104E-2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11"/>
      <c r="H15" s="10"/>
      <c r="I15" s="10">
        <f t="shared" si="5"/>
        <v>18492</v>
      </c>
      <c r="J15" s="10">
        <f t="shared" si="3"/>
        <v>6766884191.0153551</v>
      </c>
      <c r="K15" s="11">
        <f t="shared" si="4"/>
        <v>1.8000000000000016E-2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11"/>
      <c r="H16" s="10"/>
      <c r="I16" s="10">
        <f t="shared" si="5"/>
        <v>18492</v>
      </c>
      <c r="J16" s="10">
        <f t="shared" si="3"/>
        <v>6647233979.3864002</v>
      </c>
      <c r="K16" s="11">
        <f t="shared" si="4"/>
        <v>1.859999999999995E-2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11"/>
      <c r="H17" s="10"/>
      <c r="I17" s="10">
        <f t="shared" si="5"/>
        <v>18492</v>
      </c>
      <c r="J17" s="10">
        <f t="shared" si="3"/>
        <v>6525853111.5122719</v>
      </c>
      <c r="K17" s="11">
        <f t="shared" si="4"/>
        <v>1.9099999999999895E-2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11"/>
      <c r="H18" s="10"/>
      <c r="I18" s="10">
        <f t="shared" si="5"/>
        <v>18492</v>
      </c>
      <c r="J18" s="10">
        <f t="shared" si="3"/>
        <v>6403545394.4777479</v>
      </c>
      <c r="K18" s="11">
        <f t="shared" si="4"/>
        <v>1.9200000000000106E-2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11"/>
      <c r="H19" s="10"/>
      <c r="I19" s="10">
        <f t="shared" si="5"/>
        <v>18492</v>
      </c>
      <c r="J19" s="10">
        <f t="shared" si="3"/>
        <v>6282913456.1202383</v>
      </c>
      <c r="K19" s="11">
        <f t="shared" si="4"/>
        <v>1.9400000000000084E-2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11"/>
      <c r="H20" s="10"/>
      <c r="I20" s="10">
        <f t="shared" si="5"/>
        <v>18492</v>
      </c>
      <c r="J20" s="10">
        <f t="shared" si="3"/>
        <v>6163344571.4344101</v>
      </c>
      <c r="K20" s="11">
        <f t="shared" si="4"/>
        <v>1.9500000000000295E-2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11"/>
      <c r="H21" s="10"/>
      <c r="I21" s="10">
        <f t="shared" si="5"/>
        <v>18492</v>
      </c>
      <c r="J21" s="10">
        <f t="shared" si="3"/>
        <v>6045458137.7483168</v>
      </c>
      <c r="K21" s="11">
        <f t="shared" si="4"/>
        <v>1.9899999999999807E-2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11"/>
      <c r="H22" s="10"/>
      <c r="I22" s="10">
        <f t="shared" si="5"/>
        <v>18492</v>
      </c>
      <c r="J22" s="10">
        <f t="shared" si="3"/>
        <v>5927500870.4268236</v>
      </c>
      <c r="K22" s="11">
        <f t="shared" si="4"/>
        <v>2.0099999999999785E-2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11"/>
      <c r="H23" s="10"/>
      <c r="I23" s="10">
        <f t="shared" si="5"/>
        <v>18492</v>
      </c>
      <c r="J23" s="10">
        <f t="shared" si="3"/>
        <v>5810705686.1355009</v>
      </c>
      <c r="K23" s="11">
        <f t="shared" si="4"/>
        <v>2.0200000000000218E-2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11"/>
      <c r="H24" s="10"/>
      <c r="I24" s="10">
        <f t="shared" si="5"/>
        <v>18492</v>
      </c>
      <c r="J24" s="10">
        <f t="shared" si="3"/>
        <v>5695653485.7238779</v>
      </c>
      <c r="K24" s="11">
        <f t="shared" si="4"/>
        <v>2.0399999999999752E-2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11"/>
      <c r="H25" s="10"/>
      <c r="I25" s="10">
        <f t="shared" si="5"/>
        <v>18492</v>
      </c>
      <c r="J25" s="10">
        <f t="shared" si="3"/>
        <v>5581785070.2899637</v>
      </c>
      <c r="K25" s="11">
        <f t="shared" si="4"/>
        <v>2.0499999999999963E-2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11"/>
      <c r="H26" s="10"/>
      <c r="I26" s="10">
        <f t="shared" si="5"/>
        <v>18492</v>
      </c>
      <c r="J26" s="10">
        <f t="shared" si="3"/>
        <v>5469657099.7451878</v>
      </c>
      <c r="K26" s="11">
        <f t="shared" si="4"/>
        <v>2.0499999999999963E-2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11"/>
      <c r="H27" s="10"/>
      <c r="I27" s="10">
        <f t="shared" si="5"/>
        <v>18492</v>
      </c>
      <c r="J27" s="10">
        <f t="shared" si="3"/>
        <v>5359781577.4083176</v>
      </c>
      <c r="K27" s="11">
        <f t="shared" si="4"/>
        <v>2.0599999999999952E-2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11"/>
      <c r="H28" s="10"/>
      <c r="I28" s="10">
        <f t="shared" si="5"/>
        <v>18492</v>
      </c>
      <c r="J28" s="10">
        <f t="shared" si="3"/>
        <v>5251598645.3148327</v>
      </c>
      <c r="K28" s="11">
        <f t="shared" si="4"/>
        <v>2.079999999999993E-2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11"/>
      <c r="H29" s="10"/>
      <c r="I29" s="10">
        <f t="shared" si="5"/>
        <v>18492</v>
      </c>
      <c r="J29" s="10">
        <f t="shared" si="3"/>
        <v>5144591149.4071646</v>
      </c>
      <c r="K29" s="11">
        <f t="shared" si="4"/>
        <v>2.1099999999999897E-2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11"/>
      <c r="H30" s="10"/>
      <c r="I30" s="10">
        <f t="shared" si="5"/>
        <v>18492</v>
      </c>
      <c r="J30" s="10">
        <f t="shared" si="3"/>
        <v>5038283370.2939625</v>
      </c>
      <c r="K30" s="11">
        <f t="shared" si="4"/>
        <v>2.1300000000000097E-2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11"/>
      <c r="H31" s="10"/>
      <c r="I31" s="10">
        <f t="shared" si="5"/>
        <v>18492</v>
      </c>
      <c r="J31" s="10">
        <f t="shared" si="3"/>
        <v>4933206080.7734871</v>
      </c>
      <c r="K31" s="11">
        <f t="shared" si="4"/>
        <v>2.1400000000000308E-2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11"/>
      <c r="H32" s="10"/>
      <c r="I32" s="10">
        <f t="shared" si="5"/>
        <v>18492</v>
      </c>
      <c r="J32" s="10">
        <f t="shared" si="3"/>
        <v>4829847347.536211</v>
      </c>
      <c r="K32" s="11">
        <f t="shared" si="4"/>
        <v>2.1600000000000064E-2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11"/>
      <c r="H33" s="10"/>
      <c r="I33" s="10">
        <f t="shared" si="5"/>
        <v>18492</v>
      </c>
      <c r="J33" s="10">
        <f t="shared" si="3"/>
        <v>4727728413.7981701</v>
      </c>
      <c r="K33" s="11">
        <f t="shared" si="4"/>
        <v>2.1800000000000042E-2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11"/>
      <c r="H34" s="10"/>
      <c r="I34" s="10">
        <f t="shared" si="5"/>
        <v>18492</v>
      </c>
      <c r="J34" s="10">
        <f t="shared" ref="J34:J65" si="6">IF(I34="","",I34*C34)</f>
        <v>4626862804.6566553</v>
      </c>
      <c r="K34" s="11">
        <f t="shared" ref="K34:K65" si="7">IFERROR(J34/J35-1,"")</f>
        <v>2.2199999999999998E-2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11"/>
      <c r="H35" s="10"/>
      <c r="I35" s="10">
        <f t="shared" ref="I35:I66" si="8">IF(H35&lt;&gt;"",H35,I34/(1+IF(G34="",0,G34)))</f>
        <v>18492</v>
      </c>
      <c r="J35" s="10">
        <f t="shared" si="6"/>
        <v>4526377230.1473837</v>
      </c>
      <c r="K35" s="11">
        <f t="shared" si="7"/>
        <v>2.2699999999999942E-2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11"/>
      <c r="H36" s="10"/>
      <c r="I36" s="10">
        <f t="shared" si="8"/>
        <v>18492</v>
      </c>
      <c r="J36" s="10">
        <f t="shared" si="6"/>
        <v>4425909093.7199411</v>
      </c>
      <c r="K36" s="11">
        <f t="shared" si="7"/>
        <v>2.3500000000000076E-2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11"/>
      <c r="H37" s="10"/>
      <c r="I37" s="10">
        <f t="shared" si="8"/>
        <v>18492</v>
      </c>
      <c r="J37" s="10">
        <f t="shared" si="6"/>
        <v>4324288318.241271</v>
      </c>
      <c r="K37" s="11">
        <f t="shared" si="7"/>
        <v>2.4499999999999966E-2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11"/>
      <c r="H38" s="10"/>
      <c r="I38" s="10">
        <f t="shared" si="8"/>
        <v>18492</v>
      </c>
      <c r="J38" s="10">
        <f t="shared" si="6"/>
        <v>4220876835.765028</v>
      </c>
      <c r="K38" s="11">
        <f t="shared" si="7"/>
        <v>2.5600000000000067E-2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11"/>
      <c r="H39" s="10"/>
      <c r="I39" s="10">
        <f t="shared" si="8"/>
        <v>18492</v>
      </c>
      <c r="J39" s="10">
        <f t="shared" si="6"/>
        <v>4115519535.652328</v>
      </c>
      <c r="K39" s="11">
        <f t="shared" si="7"/>
        <v>2.6799999999999935E-2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11"/>
      <c r="H40" s="10"/>
      <c r="I40" s="10">
        <f t="shared" si="8"/>
        <v>18492</v>
      </c>
      <c r="J40" s="10">
        <f t="shared" si="6"/>
        <v>4008102391.5585585</v>
      </c>
      <c r="K40" s="11">
        <f t="shared" si="7"/>
        <v>2.8100000000000014E-2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11"/>
      <c r="H41" s="10"/>
      <c r="I41" s="10">
        <f t="shared" si="8"/>
        <v>18492</v>
      </c>
      <c r="J41" s="10">
        <f t="shared" si="6"/>
        <v>3898553050.8302293</v>
      </c>
      <c r="K41" s="11">
        <f t="shared" si="7"/>
        <v>2.9500000000000082E-2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11"/>
      <c r="H42" s="10"/>
      <c r="I42" s="10">
        <f t="shared" si="8"/>
        <v>18492</v>
      </c>
      <c r="J42" s="10">
        <f t="shared" si="6"/>
        <v>3786841234.4149871</v>
      </c>
      <c r="K42" s="11">
        <f t="shared" si="7"/>
        <v>3.0799999999999939E-2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11"/>
      <c r="H43" s="10"/>
      <c r="I43" s="10">
        <f t="shared" si="8"/>
        <v>18492</v>
      </c>
      <c r="J43" s="10">
        <f t="shared" si="6"/>
        <v>3673691535.132894</v>
      </c>
      <c r="K43" s="11">
        <f t="shared" si="7"/>
        <v>3.1900000000000039E-2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11"/>
      <c r="H44" s="10"/>
      <c r="I44" s="10">
        <f t="shared" si="8"/>
        <v>18492</v>
      </c>
      <c r="J44" s="10">
        <f t="shared" si="6"/>
        <v>3560123592.5311503</v>
      </c>
      <c r="K44" s="11">
        <f t="shared" si="7"/>
        <v>3.2999999999999918E-2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11"/>
      <c r="H45" s="10"/>
      <c r="I45" s="10">
        <f t="shared" si="8"/>
        <v>18492</v>
      </c>
      <c r="J45" s="10">
        <f t="shared" si="6"/>
        <v>3446392635.557745</v>
      </c>
      <c r="K45" s="11">
        <f t="shared" si="7"/>
        <v>3.400000000000003E-2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11"/>
      <c r="H46" s="10"/>
      <c r="I46" s="10">
        <f t="shared" si="8"/>
        <v>18492</v>
      </c>
      <c r="J46" s="10">
        <f t="shared" si="6"/>
        <v>3333068312.9185157</v>
      </c>
      <c r="K46" s="11">
        <f t="shared" si="7"/>
        <v>3.5099999999999909E-2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11"/>
      <c r="H47" s="10"/>
      <c r="I47" s="10">
        <f t="shared" si="8"/>
        <v>18492</v>
      </c>
      <c r="J47" s="10">
        <f t="shared" si="6"/>
        <v>3220044742.4582319</v>
      </c>
      <c r="K47" s="11">
        <f t="shared" si="7"/>
        <v>3.620000000000001E-2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11"/>
      <c r="H48" s="10"/>
      <c r="I48" s="10">
        <f t="shared" si="8"/>
        <v>18492</v>
      </c>
      <c r="J48" s="10">
        <f t="shared" si="6"/>
        <v>3107551382.4148154</v>
      </c>
      <c r="K48" s="11">
        <f t="shared" si="7"/>
        <v>3.7300000000000111E-2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11"/>
      <c r="H49" s="10"/>
      <c r="I49" s="10">
        <f t="shared" si="8"/>
        <v>18492</v>
      </c>
      <c r="J49" s="10">
        <f t="shared" si="6"/>
        <v>2995807753.2197194</v>
      </c>
      <c r="K49" s="11">
        <f t="shared" si="7"/>
        <v>3.8100000000000023E-2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11"/>
      <c r="H50" s="10"/>
      <c r="I50" s="10">
        <f t="shared" si="8"/>
        <v>18492</v>
      </c>
      <c r="J50" s="10">
        <f t="shared" si="6"/>
        <v>2885856616.1446095</v>
      </c>
      <c r="K50" s="11">
        <f t="shared" si="7"/>
        <v>3.839999999999999E-2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11"/>
      <c r="H51" s="10"/>
      <c r="I51" s="10">
        <f t="shared" si="8"/>
        <v>18492</v>
      </c>
      <c r="J51" s="10">
        <f t="shared" si="6"/>
        <v>2779137727.4119892</v>
      </c>
      <c r="K51" s="11">
        <f t="shared" si="7"/>
        <v>3.8200000000000012E-2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11"/>
      <c r="H52" s="10"/>
      <c r="I52" s="10">
        <f t="shared" si="8"/>
        <v>18492</v>
      </c>
      <c r="J52" s="10">
        <f t="shared" si="6"/>
        <v>2676880877.8770847</v>
      </c>
      <c r="K52" s="11">
        <f t="shared" si="7"/>
        <v>3.7300000000000111E-2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11"/>
      <c r="H53" s="10"/>
      <c r="I53" s="10">
        <f t="shared" si="8"/>
        <v>18492</v>
      </c>
      <c r="J53" s="10">
        <f t="shared" si="6"/>
        <v>2580623616.9643154</v>
      </c>
      <c r="K53" s="11">
        <f t="shared" si="7"/>
        <v>3.6000000000000032E-2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11"/>
      <c r="H54" s="10"/>
      <c r="I54" s="10">
        <f t="shared" si="8"/>
        <v>18492</v>
      </c>
      <c r="J54" s="10">
        <f t="shared" si="6"/>
        <v>2490949437.2242427</v>
      </c>
      <c r="K54" s="11">
        <f t="shared" si="7"/>
        <v>3.4499999999999975E-2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11"/>
      <c r="H55" s="10"/>
      <c r="I55" s="10">
        <f t="shared" si="8"/>
        <v>18492</v>
      </c>
      <c r="J55" s="10">
        <f t="shared" si="6"/>
        <v>2407877658.0224676</v>
      </c>
      <c r="K55" s="11">
        <f t="shared" si="7"/>
        <v>3.3099999999999907E-2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11"/>
      <c r="H56" s="10"/>
      <c r="I56" s="10">
        <f t="shared" si="8"/>
        <v>18492</v>
      </c>
      <c r="J56" s="10">
        <f t="shared" si="6"/>
        <v>2330730479.162199</v>
      </c>
      <c r="K56" s="11">
        <f t="shared" si="7"/>
        <v>3.2100000000000017E-2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11"/>
      <c r="H57" s="10"/>
      <c r="I57" s="10">
        <f t="shared" si="8"/>
        <v>18492</v>
      </c>
      <c r="J57" s="10">
        <f t="shared" si="6"/>
        <v>2258240944.8330579</v>
      </c>
      <c r="K57" s="11">
        <f t="shared" si="7"/>
        <v>3.1300000000000106E-2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11"/>
      <c r="H58" s="10"/>
      <c r="I58" s="10">
        <f t="shared" si="8"/>
        <v>18492</v>
      </c>
      <c r="J58" s="10">
        <f t="shared" si="6"/>
        <v>2189703233.620729</v>
      </c>
      <c r="K58" s="11">
        <f t="shared" si="7"/>
        <v>3.0600000000000183E-2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11"/>
      <c r="H59" s="10"/>
      <c r="I59" s="10">
        <f t="shared" si="8"/>
        <v>18492</v>
      </c>
      <c r="J59" s="10">
        <f t="shared" si="6"/>
        <v>2124687787.3284774</v>
      </c>
      <c r="K59" s="11">
        <f t="shared" si="7"/>
        <v>3.0000000000000027E-2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11"/>
      <c r="H60" s="10"/>
      <c r="I60" s="10">
        <f t="shared" si="8"/>
        <v>18492</v>
      </c>
      <c r="J60" s="10">
        <f t="shared" si="6"/>
        <v>2062803677.0179393</v>
      </c>
      <c r="K60" s="11">
        <f t="shared" si="7"/>
        <v>2.9199999999999893E-2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11"/>
      <c r="H61" s="10"/>
      <c r="I61" s="10">
        <f t="shared" si="8"/>
        <v>18492</v>
      </c>
      <c r="J61" s="10">
        <f t="shared" si="6"/>
        <v>2004278737.8720748</v>
      </c>
      <c r="K61" s="11">
        <f t="shared" si="7"/>
        <v>2.8100000000000014E-2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11"/>
      <c r="H62" s="10"/>
      <c r="I62" s="10">
        <f t="shared" si="8"/>
        <v>18492</v>
      </c>
      <c r="J62" s="10">
        <f t="shared" si="6"/>
        <v>1949497848.3338926</v>
      </c>
      <c r="K62" s="11">
        <f t="shared" si="7"/>
        <v>2.6699999999999946E-2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11"/>
      <c r="H63" s="10"/>
      <c r="I63" s="10">
        <f t="shared" si="8"/>
        <v>18492</v>
      </c>
      <c r="J63" s="10">
        <f t="shared" si="6"/>
        <v>1898799891.2378423</v>
      </c>
      <c r="K63" s="11">
        <f t="shared" si="7"/>
        <v>2.50999999999999E-2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11"/>
      <c r="H64" s="10"/>
      <c r="I64" s="10">
        <f t="shared" si="8"/>
        <v>18492</v>
      </c>
      <c r="J64" s="10">
        <f t="shared" si="6"/>
        <v>1852306985.8919544</v>
      </c>
      <c r="K64" s="11">
        <f t="shared" si="7"/>
        <v>2.3600000000000065E-2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11"/>
      <c r="H65" s="10"/>
      <c r="I65" s="10">
        <f t="shared" si="8"/>
        <v>18492</v>
      </c>
      <c r="J65" s="10">
        <f t="shared" si="6"/>
        <v>1809600416.0726399</v>
      </c>
      <c r="K65" s="11">
        <f t="shared" si="7"/>
        <v>2.2399999999999975E-2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6">
        <f>SUM(F2)</f>
        <v>447879</v>
      </c>
      <c r="G66" s="11"/>
      <c r="H66" s="10"/>
      <c r="I66" s="10">
        <f t="shared" si="8"/>
        <v>18492</v>
      </c>
      <c r="J66" s="10">
        <f t="shared" ref="J66:J97" si="9">IF(I66="","",I66*C66)</f>
        <v>1769953458.6000001</v>
      </c>
      <c r="K66" s="11">
        <f t="shared" ref="K66:K97" si="10">IFERROR(J66/J67-1,"")</f>
        <v>2.1500000000000075E-2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11"/>
      <c r="H67" s="10"/>
      <c r="I67" s="10">
        <f t="shared" ref="I67:I98" si="11">IF(H67&lt;&gt;"",H67,I66/(1+IF(G66="",0,G66)))</f>
        <v>18492</v>
      </c>
      <c r="J67" s="10">
        <f t="shared" si="9"/>
        <v>1732700400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6">
        <v>9819273</v>
      </c>
      <c r="G2" s="11"/>
      <c r="H2" s="10"/>
      <c r="I2" s="10">
        <f>IF(H2&lt;&gt;"",H2,2897)</f>
        <v>2897</v>
      </c>
      <c r="J2" s="10">
        <f t="shared" ref="J2:J33" si="3">IF(I2="","",I2*C2)</f>
        <v>28446083497.224308</v>
      </c>
      <c r="K2" s="11">
        <f t="shared" ref="K2:K33" si="4">IFERROR(J2/J3-1,"")</f>
        <v>2.5600000000000067E-2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11"/>
      <c r="H3" s="10"/>
      <c r="I3" s="10">
        <f t="shared" ref="I3:I34" si="5">IF(H3&lt;&gt;"",H3,I2/(1+IF(G2="",0,G2)))</f>
        <v>2897</v>
      </c>
      <c r="J3" s="10">
        <f t="shared" si="3"/>
        <v>27736040851.427753</v>
      </c>
      <c r="K3" s="11">
        <f t="shared" si="4"/>
        <v>2.6699999999999946E-2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11"/>
      <c r="H4" s="10"/>
      <c r="I4" s="10">
        <f t="shared" si="5"/>
        <v>2897</v>
      </c>
      <c r="J4" s="10">
        <f t="shared" si="3"/>
        <v>27014747103.757431</v>
      </c>
      <c r="K4" s="11">
        <f t="shared" si="4"/>
        <v>2.7800000000000047E-2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11"/>
      <c r="H5" s="10"/>
      <c r="I5" s="10">
        <f t="shared" si="5"/>
        <v>2897</v>
      </c>
      <c r="J5" s="10">
        <f t="shared" si="3"/>
        <v>26284050499.861286</v>
      </c>
      <c r="K5" s="11">
        <f t="shared" si="4"/>
        <v>2.8799999999999937E-2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11"/>
      <c r="H6" s="10"/>
      <c r="I6" s="10">
        <f t="shared" si="5"/>
        <v>2897</v>
      </c>
      <c r="J6" s="10">
        <f t="shared" si="3"/>
        <v>25548260594.732979</v>
      </c>
      <c r="K6" s="11">
        <f t="shared" si="4"/>
        <v>2.970000000000006E-2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11"/>
      <c r="H7" s="10"/>
      <c r="I7" s="10">
        <f t="shared" si="5"/>
        <v>2897</v>
      </c>
      <c r="J7" s="10">
        <f t="shared" si="3"/>
        <v>24811363110.355423</v>
      </c>
      <c r="K7" s="11">
        <f t="shared" si="4"/>
        <v>3.0299999999999994E-2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11"/>
      <c r="H8" s="10"/>
      <c r="I8" s="10">
        <f t="shared" si="5"/>
        <v>2897</v>
      </c>
      <c r="J8" s="10">
        <f t="shared" si="3"/>
        <v>24081687965.015457</v>
      </c>
      <c r="K8" s="11">
        <f t="shared" si="4"/>
        <v>3.0799999999999939E-2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11"/>
      <c r="H9" s="10"/>
      <c r="I9" s="10">
        <f t="shared" si="5"/>
        <v>2897</v>
      </c>
      <c r="J9" s="10">
        <f t="shared" si="3"/>
        <v>23362134230.709602</v>
      </c>
      <c r="K9" s="11">
        <f t="shared" si="4"/>
        <v>3.1099999999999905E-2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11"/>
      <c r="H10" s="10"/>
      <c r="I10" s="10">
        <f t="shared" si="5"/>
        <v>2897</v>
      </c>
      <c r="J10" s="10">
        <f t="shared" si="3"/>
        <v>22657486403.558922</v>
      </c>
      <c r="K10" s="11">
        <f t="shared" si="4"/>
        <v>3.2100000000000017E-2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11"/>
      <c r="H11" s="10"/>
      <c r="I11" s="10">
        <f t="shared" si="5"/>
        <v>2897</v>
      </c>
      <c r="J11" s="10">
        <f t="shared" si="3"/>
        <v>21952801476.173744</v>
      </c>
      <c r="K11" s="11">
        <f t="shared" si="4"/>
        <v>3.400000000000003E-2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11"/>
      <c r="H12" s="10"/>
      <c r="I12" s="10">
        <f t="shared" si="5"/>
        <v>2897</v>
      </c>
      <c r="J12" s="10">
        <f t="shared" si="3"/>
        <v>21230949203.262806</v>
      </c>
      <c r="K12" s="11">
        <f t="shared" si="4"/>
        <v>3.5400000000000098E-2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11"/>
      <c r="H13" s="10"/>
      <c r="I13" s="10">
        <f t="shared" si="5"/>
        <v>2897</v>
      </c>
      <c r="J13" s="10">
        <f t="shared" si="3"/>
        <v>20505069734.655983</v>
      </c>
      <c r="K13" s="11">
        <f t="shared" si="4"/>
        <v>3.6599999999999744E-2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11"/>
      <c r="H14" s="10"/>
      <c r="I14" s="10">
        <f t="shared" si="5"/>
        <v>2897</v>
      </c>
      <c r="J14" s="10">
        <f t="shared" si="3"/>
        <v>19781082128.743958</v>
      </c>
      <c r="K14" s="11">
        <f t="shared" si="4"/>
        <v>3.7200000000000122E-2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11"/>
      <c r="H15" s="10"/>
      <c r="I15" s="10">
        <f t="shared" si="5"/>
        <v>2897</v>
      </c>
      <c r="J15" s="10">
        <f t="shared" si="3"/>
        <v>19071617941.326607</v>
      </c>
      <c r="K15" s="11">
        <f t="shared" si="4"/>
        <v>3.7099999999999911E-2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11"/>
      <c r="H16" s="10"/>
      <c r="I16" s="10">
        <f t="shared" si="5"/>
        <v>2897</v>
      </c>
      <c r="J16" s="10">
        <f t="shared" si="3"/>
        <v>18389372231.536602</v>
      </c>
      <c r="K16" s="11">
        <f t="shared" si="4"/>
        <v>3.5800000000000276E-2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11"/>
      <c r="H17" s="10"/>
      <c r="I17" s="10">
        <f t="shared" si="5"/>
        <v>2897</v>
      </c>
      <c r="J17" s="10">
        <f t="shared" si="3"/>
        <v>17753786668.793781</v>
      </c>
      <c r="K17" s="11">
        <f t="shared" si="4"/>
        <v>3.3700000000000063E-2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11"/>
      <c r="H18" s="10"/>
      <c r="I18" s="10">
        <f t="shared" si="5"/>
        <v>2897</v>
      </c>
      <c r="J18" s="10">
        <f t="shared" si="3"/>
        <v>17174989521.905563</v>
      </c>
      <c r="K18" s="11">
        <f t="shared" si="4"/>
        <v>3.180000000000005E-2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11"/>
      <c r="H19" s="10"/>
      <c r="I19" s="10">
        <f t="shared" si="5"/>
        <v>2897</v>
      </c>
      <c r="J19" s="10">
        <f t="shared" si="3"/>
        <v>16645657609.910412</v>
      </c>
      <c r="K19" s="11">
        <f t="shared" si="4"/>
        <v>3.069999999999995E-2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11"/>
      <c r="H20" s="10"/>
      <c r="I20" s="10">
        <f t="shared" si="5"/>
        <v>2897</v>
      </c>
      <c r="J20" s="10">
        <f t="shared" si="3"/>
        <v>16149857000.010103</v>
      </c>
      <c r="K20" s="11">
        <f t="shared" si="4"/>
        <v>3.0499999999999972E-2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11"/>
      <c r="H21" s="10"/>
      <c r="I21" s="10">
        <f t="shared" si="5"/>
        <v>2897</v>
      </c>
      <c r="J21" s="10">
        <f t="shared" si="3"/>
        <v>15671865114.032124</v>
      </c>
      <c r="K21" s="11">
        <f t="shared" si="4"/>
        <v>3.1100000000000128E-2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11"/>
      <c r="H22" s="10"/>
      <c r="I22" s="10">
        <f t="shared" si="5"/>
        <v>2897</v>
      </c>
      <c r="J22" s="10">
        <f t="shared" si="3"/>
        <v>15199170899.071014</v>
      </c>
      <c r="K22" s="11">
        <f t="shared" si="4"/>
        <v>3.2200000000000006E-2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11"/>
      <c r="H23" s="10"/>
      <c r="I23" s="10">
        <f t="shared" si="5"/>
        <v>2897</v>
      </c>
      <c r="J23" s="10">
        <f t="shared" si="3"/>
        <v>14725025091.136421</v>
      </c>
      <c r="K23" s="11">
        <f t="shared" si="4"/>
        <v>3.3600000000000074E-2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11"/>
      <c r="H24" s="10"/>
      <c r="I24" s="10">
        <f t="shared" si="5"/>
        <v>2897</v>
      </c>
      <c r="J24" s="10">
        <f t="shared" si="3"/>
        <v>14246347804.892046</v>
      </c>
      <c r="K24" s="11">
        <f t="shared" si="4"/>
        <v>3.5299999999999665E-2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11"/>
      <c r="H25" s="10"/>
      <c r="I25" s="10">
        <f t="shared" si="5"/>
        <v>2897</v>
      </c>
      <c r="J25" s="10">
        <f t="shared" si="3"/>
        <v>13760598671.778276</v>
      </c>
      <c r="K25" s="11">
        <f t="shared" si="4"/>
        <v>3.7300000000000111E-2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11"/>
      <c r="H26" s="10"/>
      <c r="I26" s="10">
        <f t="shared" si="5"/>
        <v>2897</v>
      </c>
      <c r="J26" s="10">
        <f t="shared" si="3"/>
        <v>13265784895.187771</v>
      </c>
      <c r="K26" s="11">
        <f t="shared" si="4"/>
        <v>3.9400000000000102E-2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11"/>
      <c r="H27" s="10"/>
      <c r="I27" s="10">
        <f t="shared" si="5"/>
        <v>2897</v>
      </c>
      <c r="J27" s="10">
        <f t="shared" si="3"/>
        <v>12762925625.541437</v>
      </c>
      <c r="K27" s="11">
        <f t="shared" si="4"/>
        <v>4.1400000000000325E-2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11"/>
      <c r="H28" s="10"/>
      <c r="I28" s="10">
        <f t="shared" si="5"/>
        <v>2897</v>
      </c>
      <c r="J28" s="10">
        <f t="shared" si="3"/>
        <v>12255546020.300974</v>
      </c>
      <c r="K28" s="11">
        <f t="shared" si="4"/>
        <v>4.3199999999999683E-2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11"/>
      <c r="H29" s="10"/>
      <c r="I29" s="10">
        <f t="shared" si="5"/>
        <v>2897</v>
      </c>
      <c r="J29" s="10">
        <f t="shared" si="3"/>
        <v>11748031077.7425</v>
      </c>
      <c r="K29" s="11">
        <f t="shared" si="4"/>
        <v>4.4599999999999973E-2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11"/>
      <c r="H30" s="10"/>
      <c r="I30" s="10">
        <f t="shared" si="5"/>
        <v>2897</v>
      </c>
      <c r="J30" s="10">
        <f t="shared" si="3"/>
        <v>11246439859.987078</v>
      </c>
      <c r="K30" s="11">
        <f t="shared" si="4"/>
        <v>4.5300000000000118E-2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11"/>
      <c r="H31" s="10"/>
      <c r="I31" s="10">
        <f t="shared" si="5"/>
        <v>2897</v>
      </c>
      <c r="J31" s="10">
        <f t="shared" si="3"/>
        <v>10759054682.8538</v>
      </c>
      <c r="K31" s="11">
        <f t="shared" si="4"/>
        <v>4.4799999999999951E-2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11"/>
      <c r="H32" s="10"/>
      <c r="I32" s="10">
        <f t="shared" si="5"/>
        <v>2897</v>
      </c>
      <c r="J32" s="10">
        <f t="shared" si="3"/>
        <v>10297716962.915199</v>
      </c>
      <c r="K32" s="11">
        <f t="shared" si="4"/>
        <v>4.269999999999996E-2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11"/>
      <c r="H33" s="10"/>
      <c r="I33" s="10">
        <f t="shared" si="5"/>
        <v>2897</v>
      </c>
      <c r="J33" s="10">
        <f t="shared" si="3"/>
        <v>9876011281.207634</v>
      </c>
      <c r="K33" s="11">
        <f t="shared" si="4"/>
        <v>3.9700000000000069E-2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11"/>
      <c r="H34" s="10"/>
      <c r="I34" s="10">
        <f t="shared" si="5"/>
        <v>2897</v>
      </c>
      <c r="J34" s="10">
        <f t="shared" ref="J34:J65" si="6">IF(I34="","",I34*C34)</f>
        <v>9498904762.1502686</v>
      </c>
      <c r="K34" s="11">
        <f t="shared" ref="K34:K65" si="7">IFERROR(J34/J35-1,"")</f>
        <v>3.6599999999999966E-2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11"/>
      <c r="H35" s="10"/>
      <c r="I35" s="10">
        <f t="shared" ref="I35:I66" si="8">IF(H35&lt;&gt;"",H35,I34/(1+IF(G34="",0,G34)))</f>
        <v>2897</v>
      </c>
      <c r="J35" s="10">
        <f t="shared" si="6"/>
        <v>9163519932.6165047</v>
      </c>
      <c r="K35" s="11">
        <f t="shared" si="7"/>
        <v>3.3400000000000096E-2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11"/>
      <c r="H36" s="10"/>
      <c r="I36" s="10">
        <f t="shared" si="8"/>
        <v>2897</v>
      </c>
      <c r="J36" s="10">
        <f t="shared" si="6"/>
        <v>8867350428.3109188</v>
      </c>
      <c r="K36" s="11">
        <f t="shared" si="7"/>
        <v>3.0200000000000005E-2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11"/>
      <c r="H37" s="10"/>
      <c r="I37" s="10">
        <f t="shared" si="8"/>
        <v>2897</v>
      </c>
      <c r="J37" s="10">
        <f t="shared" si="6"/>
        <v>8607406744.6232948</v>
      </c>
      <c r="K37" s="11">
        <f t="shared" si="7"/>
        <v>2.7199999999999891E-2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11"/>
      <c r="H38" s="10"/>
      <c r="I38" s="10">
        <f t="shared" si="8"/>
        <v>2897</v>
      </c>
      <c r="J38" s="10">
        <f t="shared" si="6"/>
        <v>8379484759.17377</v>
      </c>
      <c r="K38" s="11">
        <f t="shared" si="7"/>
        <v>2.4500000000000188E-2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11"/>
      <c r="H39" s="10"/>
      <c r="I39" s="10">
        <f t="shared" si="8"/>
        <v>2897</v>
      </c>
      <c r="J39" s="10">
        <f t="shared" si="6"/>
        <v>8179096885.4795208</v>
      </c>
      <c r="K39" s="11">
        <f t="shared" si="7"/>
        <v>2.2399999999999753E-2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11"/>
      <c r="H40" s="10"/>
      <c r="I40" s="10">
        <f t="shared" si="8"/>
        <v>2897</v>
      </c>
      <c r="J40" s="10">
        <f t="shared" si="6"/>
        <v>7999899144.639595</v>
      </c>
      <c r="K40" s="11">
        <f t="shared" si="7"/>
        <v>2.1500000000000297E-2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11"/>
      <c r="H41" s="10"/>
      <c r="I41" s="10">
        <f t="shared" si="8"/>
        <v>2897</v>
      </c>
      <c r="J41" s="10">
        <f t="shared" si="6"/>
        <v>7831521433.8126221</v>
      </c>
      <c r="K41" s="11">
        <f t="shared" si="7"/>
        <v>2.1399999999999864E-2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11"/>
      <c r="H42" s="10"/>
      <c r="I42" s="10">
        <f t="shared" si="8"/>
        <v>2897</v>
      </c>
      <c r="J42" s="10">
        <f t="shared" si="6"/>
        <v>7667438255.1523619</v>
      </c>
      <c r="K42" s="11">
        <f t="shared" si="7"/>
        <v>2.1900000000000253E-2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11"/>
      <c r="H43" s="10"/>
      <c r="I43" s="10">
        <f t="shared" si="8"/>
        <v>2897</v>
      </c>
      <c r="J43" s="10">
        <f t="shared" si="6"/>
        <v>7503119928.7135344</v>
      </c>
      <c r="K43" s="11">
        <f t="shared" si="7"/>
        <v>2.1800000000000042E-2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11"/>
      <c r="H44" s="10"/>
      <c r="I44" s="10">
        <f t="shared" si="8"/>
        <v>2897</v>
      </c>
      <c r="J44" s="10">
        <f t="shared" si="6"/>
        <v>7343041621.3677177</v>
      </c>
      <c r="K44" s="11">
        <f t="shared" si="7"/>
        <v>2.0199999999999996E-2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11"/>
      <c r="H45" s="10"/>
      <c r="I45" s="10">
        <f t="shared" si="8"/>
        <v>2897</v>
      </c>
      <c r="J45" s="10">
        <f t="shared" si="6"/>
        <v>7197649109.3586721</v>
      </c>
      <c r="K45" s="11">
        <f t="shared" si="7"/>
        <v>1.7400000000000082E-2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11"/>
      <c r="H46" s="10"/>
      <c r="I46" s="10">
        <f t="shared" si="8"/>
        <v>2897</v>
      </c>
      <c r="J46" s="10">
        <f t="shared" si="6"/>
        <v>7074551906.1909494</v>
      </c>
      <c r="K46" s="11">
        <f t="shared" si="7"/>
        <v>1.4699999999999935E-2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11"/>
      <c r="H47" s="10"/>
      <c r="I47" s="10">
        <f t="shared" si="8"/>
        <v>2897</v>
      </c>
      <c r="J47" s="10">
        <f t="shared" si="6"/>
        <v>6972062586.1741886</v>
      </c>
      <c r="K47" s="11">
        <f t="shared" si="7"/>
        <v>1.2999999999999901E-2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11"/>
      <c r="H48" s="10"/>
      <c r="I48" s="10">
        <f t="shared" si="8"/>
        <v>2897</v>
      </c>
      <c r="J48" s="10">
        <f t="shared" si="6"/>
        <v>6882588930.0831089</v>
      </c>
      <c r="K48" s="11">
        <f t="shared" si="7"/>
        <v>1.2699999999999934E-2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11"/>
      <c r="H49" s="10"/>
      <c r="I49" s="10">
        <f t="shared" si="8"/>
        <v>2897</v>
      </c>
      <c r="J49" s="10">
        <f t="shared" si="6"/>
        <v>6796276222.0629101</v>
      </c>
      <c r="K49" s="11">
        <f t="shared" si="7"/>
        <v>1.2799999999999923E-2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11"/>
      <c r="H50" s="10"/>
      <c r="I50" s="10">
        <f t="shared" si="8"/>
        <v>2897</v>
      </c>
      <c r="J50" s="10">
        <f t="shared" si="6"/>
        <v>6710383315.6229372</v>
      </c>
      <c r="K50" s="11">
        <f t="shared" si="7"/>
        <v>1.3100000000000112E-2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11"/>
      <c r="H51" s="10"/>
      <c r="I51" s="10">
        <f t="shared" si="8"/>
        <v>2897</v>
      </c>
      <c r="J51" s="10">
        <f t="shared" si="6"/>
        <v>6623613972.5821114</v>
      </c>
      <c r="K51" s="11">
        <f t="shared" si="7"/>
        <v>1.330000000000009E-2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11"/>
      <c r="H52" s="10"/>
      <c r="I52" s="10">
        <f t="shared" si="8"/>
        <v>2897</v>
      </c>
      <c r="J52" s="10">
        <f t="shared" si="6"/>
        <v>6536676179.396142</v>
      </c>
      <c r="K52" s="11">
        <f t="shared" si="7"/>
        <v>1.330000000000009E-2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11"/>
      <c r="H53" s="10"/>
      <c r="I53" s="10">
        <f t="shared" si="8"/>
        <v>2897</v>
      </c>
      <c r="J53" s="10">
        <f t="shared" si="6"/>
        <v>6450879482.2817936</v>
      </c>
      <c r="K53" s="11">
        <f t="shared" si="7"/>
        <v>1.3200000000000101E-2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11"/>
      <c r="H54" s="10"/>
      <c r="I54" s="10">
        <f t="shared" si="8"/>
        <v>2897</v>
      </c>
      <c r="J54" s="10">
        <f t="shared" si="6"/>
        <v>6366837230.834774</v>
      </c>
      <c r="K54" s="11">
        <f t="shared" si="7"/>
        <v>1.2999999999999901E-2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11"/>
      <c r="H55" s="10"/>
      <c r="I55" s="10">
        <f t="shared" si="8"/>
        <v>2897</v>
      </c>
      <c r="J55" s="10">
        <f t="shared" si="6"/>
        <v>6285130533.8941507</v>
      </c>
      <c r="K55" s="11">
        <f t="shared" si="7"/>
        <v>1.2699999999999934E-2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11"/>
      <c r="H56" s="10"/>
      <c r="I56" s="10">
        <f t="shared" si="8"/>
        <v>2897</v>
      </c>
      <c r="J56" s="10">
        <f t="shared" si="6"/>
        <v>6206310391.9168081</v>
      </c>
      <c r="K56" s="11">
        <f t="shared" si="7"/>
        <v>1.2500000000000178E-2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11"/>
      <c r="H57" s="10"/>
      <c r="I57" s="10">
        <f t="shared" si="8"/>
        <v>2897</v>
      </c>
      <c r="J57" s="10">
        <f t="shared" si="6"/>
        <v>6129689275.9672174</v>
      </c>
      <c r="K57" s="11">
        <f t="shared" si="7"/>
        <v>1.2199999999999989E-2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11"/>
      <c r="H58" s="10"/>
      <c r="I58" s="10">
        <f t="shared" si="8"/>
        <v>2897</v>
      </c>
      <c r="J58" s="10">
        <f t="shared" si="6"/>
        <v>6055808413.3246565</v>
      </c>
      <c r="K58" s="11">
        <f t="shared" si="7"/>
        <v>1.1900000000000022E-2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11"/>
      <c r="H59" s="10"/>
      <c r="I59" s="10">
        <f t="shared" si="8"/>
        <v>2897</v>
      </c>
      <c r="J59" s="10">
        <f t="shared" si="6"/>
        <v>5984591771.2468195</v>
      </c>
      <c r="K59" s="11">
        <f t="shared" si="7"/>
        <v>1.1500000000000066E-2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11"/>
      <c r="H60" s="10"/>
      <c r="I60" s="10">
        <f t="shared" si="8"/>
        <v>2897</v>
      </c>
      <c r="J60" s="10">
        <f t="shared" si="6"/>
        <v>5916551429.8040724</v>
      </c>
      <c r="K60" s="11">
        <f t="shared" si="7"/>
        <v>1.0999999999999899E-2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11"/>
      <c r="H61" s="10"/>
      <c r="I61" s="10">
        <f t="shared" si="8"/>
        <v>2897</v>
      </c>
      <c r="J61" s="10">
        <f t="shared" si="6"/>
        <v>5852177477.551012</v>
      </c>
      <c r="K61" s="11">
        <f t="shared" si="7"/>
        <v>1.0499999999999954E-2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11"/>
      <c r="H62" s="10"/>
      <c r="I62" s="10">
        <f t="shared" si="8"/>
        <v>2897</v>
      </c>
      <c r="J62" s="10">
        <f t="shared" si="6"/>
        <v>5791368112.3711157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11"/>
      <c r="H63" s="10"/>
      <c r="I63" s="10">
        <f t="shared" si="8"/>
        <v>2897</v>
      </c>
      <c r="J63" s="10">
        <f t="shared" si="6"/>
        <v>5734027834.0308075</v>
      </c>
      <c r="K63" s="11">
        <f t="shared" si="7"/>
        <v>9.6000000000000529E-3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11"/>
      <c r="H64" s="10"/>
      <c r="I64" s="10">
        <f t="shared" si="8"/>
        <v>2897</v>
      </c>
      <c r="J64" s="10">
        <f t="shared" si="6"/>
        <v>5679504589.967123</v>
      </c>
      <c r="K64" s="11">
        <f t="shared" si="7"/>
        <v>9.200000000000097E-3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11"/>
      <c r="H65" s="10"/>
      <c r="I65" s="10">
        <f t="shared" si="8"/>
        <v>2897</v>
      </c>
      <c r="J65" s="10">
        <f t="shared" si="6"/>
        <v>5627729478.7625074</v>
      </c>
      <c r="K65" s="11">
        <f t="shared" si="7"/>
        <v>8.799999999999919E-3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6">
        <f>SUM(F2)</f>
        <v>9819273</v>
      </c>
      <c r="G66" s="11"/>
      <c r="H66" s="10"/>
      <c r="I66" s="10">
        <f t="shared" si="8"/>
        <v>2897</v>
      </c>
      <c r="J66" s="10">
        <f t="shared" ref="J66:J97" si="9">IF(I66="","",I66*C66)</f>
        <v>5578637469.0349998</v>
      </c>
      <c r="K66" s="11">
        <f t="shared" ref="K66:K97" si="10">IFERROR(J66/J67-1,"")</f>
        <v>8.499999999999952E-3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11"/>
      <c r="H67" s="10"/>
      <c r="I67" s="10">
        <f t="shared" ref="I67:I98" si="11">IF(H67&lt;&gt;"",H67,I66/(1+IF(G66="",0,G66)))</f>
        <v>2897</v>
      </c>
      <c r="J67" s="10">
        <f t="shared" si="9"/>
        <v>5531618710</v>
      </c>
      <c r="K67" s="11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5">
        <v>7354910</v>
      </c>
      <c r="G2" s="11"/>
      <c r="H2" s="10"/>
      <c r="I2" s="10">
        <f>IF(H2&lt;&gt;"",H2,353)</f>
        <v>353</v>
      </c>
      <c r="J2" s="10">
        <f t="shared" ref="J2:J33" si="3">IF(I2="","",I2*C2)</f>
        <v>2596138043.3701549</v>
      </c>
      <c r="K2" s="11">
        <f t="shared" ref="K2:K33" si="4">IFERROR(J2/J3-1,"")</f>
        <v>1.6199999999999992E-2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11"/>
      <c r="H3" s="10"/>
      <c r="I3" s="10">
        <f t="shared" ref="I3:I34" si="5">IF(H3&lt;&gt;"",H3,I2/(1+IF(G2="",0,G2)))</f>
        <v>353</v>
      </c>
      <c r="J3" s="10">
        <f t="shared" si="3"/>
        <v>2554751075.9399281</v>
      </c>
      <c r="K3" s="11">
        <f t="shared" si="4"/>
        <v>1.9100000000000117E-2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11"/>
      <c r="H4" s="10"/>
      <c r="I4" s="10">
        <f t="shared" si="5"/>
        <v>353</v>
      </c>
      <c r="J4" s="10">
        <f t="shared" si="3"/>
        <v>2506869861.5836797</v>
      </c>
      <c r="K4" s="11">
        <f t="shared" si="4"/>
        <v>2.2399999999999975E-2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11"/>
      <c r="H5" s="10"/>
      <c r="I5" s="10">
        <f t="shared" si="5"/>
        <v>353</v>
      </c>
      <c r="J5" s="10">
        <f t="shared" si="3"/>
        <v>2451946265.2422533</v>
      </c>
      <c r="K5" s="11">
        <f t="shared" si="4"/>
        <v>2.4999999999999689E-2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11"/>
      <c r="H6" s="10"/>
      <c r="I6" s="10">
        <f t="shared" si="5"/>
        <v>353</v>
      </c>
      <c r="J6" s="10">
        <f t="shared" si="3"/>
        <v>2392142697.7973208</v>
      </c>
      <c r="K6" s="11">
        <f t="shared" si="4"/>
        <v>2.7400000000000091E-2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11"/>
      <c r="H7" s="10"/>
      <c r="I7" s="10">
        <f t="shared" si="5"/>
        <v>353</v>
      </c>
      <c r="J7" s="10">
        <f t="shared" si="3"/>
        <v>2328346016.9333467</v>
      </c>
      <c r="K7" s="11">
        <f t="shared" si="4"/>
        <v>2.8699999999999726E-2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11"/>
      <c r="H8" s="10"/>
      <c r="I8" s="10">
        <f t="shared" si="5"/>
        <v>353</v>
      </c>
      <c r="J8" s="10">
        <f t="shared" si="3"/>
        <v>2263386815.333282</v>
      </c>
      <c r="K8" s="11">
        <f t="shared" si="4"/>
        <v>2.8399999999999981E-2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11"/>
      <c r="H9" s="10"/>
      <c r="I9" s="10">
        <f t="shared" si="5"/>
        <v>353</v>
      </c>
      <c r="J9" s="10">
        <f t="shared" si="3"/>
        <v>2200881772.9806323</v>
      </c>
      <c r="K9" s="11">
        <f t="shared" si="4"/>
        <v>2.7400000000000313E-2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11"/>
      <c r="H10" s="10"/>
      <c r="I10" s="10">
        <f t="shared" si="5"/>
        <v>353</v>
      </c>
      <c r="J10" s="10">
        <f t="shared" si="3"/>
        <v>2142185879.8721352</v>
      </c>
      <c r="K10" s="11">
        <f t="shared" si="4"/>
        <v>2.6799999999999713E-2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11"/>
      <c r="H11" s="10"/>
      <c r="I11" s="10">
        <f t="shared" si="5"/>
        <v>353</v>
      </c>
      <c r="J11" s="10">
        <f t="shared" si="3"/>
        <v>2086273743.5451262</v>
      </c>
      <c r="K11" s="11">
        <f t="shared" si="4"/>
        <v>2.6799999999999935E-2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11"/>
      <c r="H12" s="10"/>
      <c r="I12" s="10">
        <f t="shared" si="5"/>
        <v>353</v>
      </c>
      <c r="J12" s="10">
        <f t="shared" si="3"/>
        <v>2031820942.2917087</v>
      </c>
      <c r="K12" s="11">
        <f t="shared" si="4"/>
        <v>2.750000000000008E-2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11"/>
      <c r="H13" s="10"/>
      <c r="I13" s="10">
        <f t="shared" si="5"/>
        <v>353</v>
      </c>
      <c r="J13" s="10">
        <f t="shared" si="3"/>
        <v>1977441306.3666263</v>
      </c>
      <c r="K13" s="11">
        <f t="shared" si="4"/>
        <v>2.8599999999999959E-2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11"/>
      <c r="H14" s="10"/>
      <c r="I14" s="10">
        <f t="shared" si="5"/>
        <v>353</v>
      </c>
      <c r="J14" s="10">
        <f t="shared" si="3"/>
        <v>1922458979.5514548</v>
      </c>
      <c r="K14" s="11">
        <f t="shared" si="4"/>
        <v>3.0200000000000005E-2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11"/>
      <c r="H15" s="10"/>
      <c r="I15" s="10">
        <f t="shared" si="5"/>
        <v>353</v>
      </c>
      <c r="J15" s="10">
        <f t="shared" si="3"/>
        <v>1866102678.6560423</v>
      </c>
      <c r="K15" s="11">
        <f t="shared" si="4"/>
        <v>3.2100000000000017E-2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11"/>
      <c r="H16" s="10"/>
      <c r="I16" s="10">
        <f t="shared" si="5"/>
        <v>353</v>
      </c>
      <c r="J16" s="10">
        <f t="shared" si="3"/>
        <v>1808063829.721967</v>
      </c>
      <c r="K16" s="11">
        <f t="shared" si="4"/>
        <v>3.400000000000003E-2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11"/>
      <c r="H17" s="10"/>
      <c r="I17" s="10">
        <f t="shared" si="5"/>
        <v>353</v>
      </c>
      <c r="J17" s="10">
        <f t="shared" si="3"/>
        <v>1748611053.8897166</v>
      </c>
      <c r="K17" s="11">
        <f t="shared" si="4"/>
        <v>3.5400000000000098E-2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11"/>
      <c r="H18" s="10"/>
      <c r="I18" s="10">
        <f t="shared" si="5"/>
        <v>353</v>
      </c>
      <c r="J18" s="10">
        <f t="shared" si="3"/>
        <v>1688826592.5146961</v>
      </c>
      <c r="K18" s="11">
        <f t="shared" si="4"/>
        <v>3.6599999999999966E-2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11"/>
      <c r="H19" s="10"/>
      <c r="I19" s="10">
        <f t="shared" si="5"/>
        <v>353</v>
      </c>
      <c r="J19" s="10">
        <f t="shared" si="3"/>
        <v>1629197947.6313875</v>
      </c>
      <c r="K19" s="11">
        <f t="shared" si="4"/>
        <v>3.7300000000000111E-2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11"/>
      <c r="H20" s="10"/>
      <c r="I20" s="10">
        <f t="shared" si="5"/>
        <v>353</v>
      </c>
      <c r="J20" s="10">
        <f t="shared" si="3"/>
        <v>1570614043.7977319</v>
      </c>
      <c r="K20" s="11">
        <f t="shared" si="4"/>
        <v>3.74000000000001E-2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11"/>
      <c r="H21" s="10"/>
      <c r="I21" s="10">
        <f t="shared" si="5"/>
        <v>353</v>
      </c>
      <c r="J21" s="10">
        <f t="shared" si="3"/>
        <v>1513990788.3147597</v>
      </c>
      <c r="K21" s="11">
        <f t="shared" si="4"/>
        <v>3.7100000000000133E-2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11"/>
      <c r="H22" s="10"/>
      <c r="I22" s="10">
        <f t="shared" si="5"/>
        <v>353</v>
      </c>
      <c r="J22" s="10">
        <f t="shared" si="3"/>
        <v>1459831056.1322529</v>
      </c>
      <c r="K22" s="11">
        <f t="shared" si="4"/>
        <v>3.620000000000001E-2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11"/>
      <c r="H23" s="10"/>
      <c r="I23" s="10">
        <f t="shared" si="5"/>
        <v>353</v>
      </c>
      <c r="J23" s="10">
        <f t="shared" si="3"/>
        <v>1408831360.8688023</v>
      </c>
      <c r="K23" s="11">
        <f t="shared" si="4"/>
        <v>3.4499999999999975E-2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11"/>
      <c r="H24" s="10"/>
      <c r="I24" s="10">
        <f t="shared" si="5"/>
        <v>353</v>
      </c>
      <c r="J24" s="10">
        <f t="shared" si="3"/>
        <v>1361847618.0462081</v>
      </c>
      <c r="K24" s="11">
        <f t="shared" si="4"/>
        <v>3.1700000000000061E-2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11"/>
      <c r="H25" s="10"/>
      <c r="I25" s="10">
        <f t="shared" si="5"/>
        <v>353</v>
      </c>
      <c r="J25" s="10">
        <f t="shared" si="3"/>
        <v>1320003506.87817</v>
      </c>
      <c r="K25" s="11">
        <f t="shared" si="4"/>
        <v>2.8599999999999959E-2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11"/>
      <c r="H26" s="10"/>
      <c r="I26" s="10">
        <f t="shared" si="5"/>
        <v>353</v>
      </c>
      <c r="J26" s="10">
        <f t="shared" si="3"/>
        <v>1283301095.5455668</v>
      </c>
      <c r="K26" s="11">
        <f t="shared" si="4"/>
        <v>2.5499999999999856E-2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11"/>
      <c r="H27" s="10"/>
      <c r="I27" s="10">
        <f t="shared" si="5"/>
        <v>353</v>
      </c>
      <c r="J27" s="10">
        <f t="shared" si="3"/>
        <v>1251390634.3691535</v>
      </c>
      <c r="K27" s="11">
        <f t="shared" si="4"/>
        <v>2.4500000000000188E-2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11"/>
      <c r="H28" s="10"/>
      <c r="I28" s="10">
        <f t="shared" si="5"/>
        <v>353</v>
      </c>
      <c r="J28" s="10">
        <f t="shared" si="3"/>
        <v>1221464748.0421214</v>
      </c>
      <c r="K28" s="11">
        <f t="shared" si="4"/>
        <v>2.6799999999999935E-2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11"/>
      <c r="H29" s="10"/>
      <c r="I29" s="10">
        <f t="shared" si="5"/>
        <v>353</v>
      </c>
      <c r="J29" s="10">
        <f t="shared" si="3"/>
        <v>1189583899.5345943</v>
      </c>
      <c r="K29" s="11">
        <f t="shared" si="4"/>
        <v>2.849999999999997E-2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11"/>
      <c r="H30" s="10"/>
      <c r="I30" s="10">
        <f t="shared" si="5"/>
        <v>353</v>
      </c>
      <c r="J30" s="10">
        <f t="shared" si="3"/>
        <v>1156620223.1741316</v>
      </c>
      <c r="K30" s="11">
        <f t="shared" si="4"/>
        <v>2.8200000000000003E-2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11"/>
      <c r="H31" s="10"/>
      <c r="I31" s="10">
        <f t="shared" si="5"/>
        <v>353</v>
      </c>
      <c r="J31" s="10">
        <f t="shared" si="3"/>
        <v>1124898096.8431547</v>
      </c>
      <c r="K31" s="11">
        <f t="shared" si="4"/>
        <v>2.7600000000000069E-2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11"/>
      <c r="H32" s="10"/>
      <c r="I32" s="10">
        <f t="shared" si="5"/>
        <v>353</v>
      </c>
      <c r="J32" s="10">
        <f t="shared" si="3"/>
        <v>1094684796.4608355</v>
      </c>
      <c r="K32" s="11">
        <f t="shared" si="4"/>
        <v>2.7199999999999669E-2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11"/>
      <c r="H33" s="10"/>
      <c r="I33" s="10">
        <f t="shared" si="5"/>
        <v>353</v>
      </c>
      <c r="J33" s="10">
        <f t="shared" si="3"/>
        <v>1065697815.8691937</v>
      </c>
      <c r="K33" s="11">
        <f t="shared" si="4"/>
        <v>2.7099999999999902E-2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11"/>
      <c r="H34" s="10"/>
      <c r="I34" s="10">
        <f t="shared" si="5"/>
        <v>353</v>
      </c>
      <c r="J34" s="10">
        <f t="shared" ref="J34:J65" si="6">IF(I34="","",I34*C34)</f>
        <v>1037579413.7563955</v>
      </c>
      <c r="K34" s="11">
        <f t="shared" ref="K34:K65" si="7">IFERROR(J34/J35-1,"")</f>
        <v>2.7300000000000102E-2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11"/>
      <c r="H35" s="10"/>
      <c r="I35" s="10">
        <f t="shared" ref="I35:I66" si="8">IF(H35&lt;&gt;"",H35,I34/(1+IF(G34="",0,G34)))</f>
        <v>353</v>
      </c>
      <c r="J35" s="10">
        <f t="shared" si="6"/>
        <v>1010006243.3139251</v>
      </c>
      <c r="K35" s="11">
        <f t="shared" si="7"/>
        <v>2.7500000000000302E-2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11"/>
      <c r="H36" s="10"/>
      <c r="I36" s="10">
        <f t="shared" si="8"/>
        <v>353</v>
      </c>
      <c r="J36" s="10">
        <f t="shared" si="6"/>
        <v>982974446.04761553</v>
      </c>
      <c r="K36" s="11">
        <f t="shared" si="7"/>
        <v>2.750000000000008E-2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11"/>
      <c r="H37" s="10"/>
      <c r="I37" s="10">
        <f t="shared" si="8"/>
        <v>353</v>
      </c>
      <c r="J37" s="10">
        <f t="shared" si="6"/>
        <v>956666127.54025829</v>
      </c>
      <c r="K37" s="11">
        <f t="shared" si="7"/>
        <v>2.7400000000000091E-2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11"/>
      <c r="H38" s="10"/>
      <c r="I38" s="10">
        <f t="shared" si="8"/>
        <v>353</v>
      </c>
      <c r="J38" s="10">
        <f t="shared" si="6"/>
        <v>931152547.73239064</v>
      </c>
      <c r="K38" s="11">
        <f t="shared" si="7"/>
        <v>2.7300000000000102E-2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11"/>
      <c r="H39" s="10"/>
      <c r="I39" s="10">
        <f t="shared" si="8"/>
        <v>353</v>
      </c>
      <c r="J39" s="10">
        <f t="shared" si="6"/>
        <v>906407619.71419311</v>
      </c>
      <c r="K39" s="11">
        <f t="shared" si="7"/>
        <v>2.750000000000008E-2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11"/>
      <c r="H40" s="10"/>
      <c r="I40" s="10">
        <f t="shared" si="8"/>
        <v>353</v>
      </c>
      <c r="J40" s="10">
        <f t="shared" si="6"/>
        <v>882148535.00164771</v>
      </c>
      <c r="K40" s="11">
        <f t="shared" si="7"/>
        <v>2.8100000000000014E-2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11"/>
      <c r="H41" s="10"/>
      <c r="I41" s="10">
        <f t="shared" si="8"/>
        <v>353</v>
      </c>
      <c r="J41" s="10">
        <f t="shared" si="6"/>
        <v>858037676.29768288</v>
      </c>
      <c r="K41" s="11">
        <f t="shared" si="7"/>
        <v>2.8799999999999937E-2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11"/>
      <c r="H42" s="10"/>
      <c r="I42" s="10">
        <f t="shared" si="8"/>
        <v>353</v>
      </c>
      <c r="J42" s="10">
        <f t="shared" si="6"/>
        <v>834017959.07628584</v>
      </c>
      <c r="K42" s="11">
        <f t="shared" si="7"/>
        <v>2.9400000000000093E-2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11"/>
      <c r="H43" s="10"/>
      <c r="I43" s="10">
        <f t="shared" si="8"/>
        <v>353</v>
      </c>
      <c r="J43" s="10">
        <f t="shared" si="6"/>
        <v>810198133.93849409</v>
      </c>
      <c r="K43" s="11">
        <f t="shared" si="7"/>
        <v>2.9500000000000082E-2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11"/>
      <c r="H44" s="10"/>
      <c r="I44" s="10">
        <f t="shared" si="8"/>
        <v>353</v>
      </c>
      <c r="J44" s="10">
        <f t="shared" si="6"/>
        <v>786982160.21223319</v>
      </c>
      <c r="K44" s="11">
        <f t="shared" si="7"/>
        <v>2.9400000000000093E-2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11"/>
      <c r="H45" s="10"/>
      <c r="I45" s="10">
        <f t="shared" si="8"/>
        <v>353</v>
      </c>
      <c r="J45" s="10">
        <f t="shared" si="6"/>
        <v>764505692.842659</v>
      </c>
      <c r="K45" s="11">
        <f t="shared" si="7"/>
        <v>2.9300000000000104E-2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11"/>
      <c r="H46" s="10"/>
      <c r="I46" s="10">
        <f t="shared" si="8"/>
        <v>353</v>
      </c>
      <c r="J46" s="10">
        <f t="shared" si="6"/>
        <v>742743313.74979007</v>
      </c>
      <c r="K46" s="11">
        <f t="shared" si="7"/>
        <v>2.8999999999999915E-2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11"/>
      <c r="H47" s="10"/>
      <c r="I47" s="10">
        <f t="shared" si="8"/>
        <v>353</v>
      </c>
      <c r="J47" s="10">
        <f t="shared" si="6"/>
        <v>721810800.53429556</v>
      </c>
      <c r="K47" s="11">
        <f t="shared" si="7"/>
        <v>2.8799999999999937E-2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11"/>
      <c r="H48" s="10"/>
      <c r="I48" s="10">
        <f t="shared" si="8"/>
        <v>353</v>
      </c>
      <c r="J48" s="10">
        <f t="shared" si="6"/>
        <v>701604588.38870108</v>
      </c>
      <c r="K48" s="11">
        <f t="shared" si="7"/>
        <v>2.8599999999999959E-2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11"/>
      <c r="H49" s="10"/>
      <c r="I49" s="10">
        <f t="shared" si="8"/>
        <v>353</v>
      </c>
      <c r="J49" s="10">
        <f t="shared" si="6"/>
        <v>682096624.91610062</v>
      </c>
      <c r="K49" s="11">
        <f t="shared" si="7"/>
        <v>2.8300000000000214E-2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11"/>
      <c r="H50" s="10"/>
      <c r="I50" s="10">
        <f t="shared" si="8"/>
        <v>353</v>
      </c>
      <c r="J50" s="10">
        <f t="shared" si="6"/>
        <v>663324540.42215359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11"/>
      <c r="H51" s="10"/>
      <c r="I51" s="10">
        <f t="shared" si="8"/>
        <v>353</v>
      </c>
      <c r="J51" s="10">
        <f t="shared" si="6"/>
        <v>645257335.04100549</v>
      </c>
      <c r="K51" s="11">
        <f t="shared" si="7"/>
        <v>2.7600000000000069E-2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11"/>
      <c r="H52" s="10"/>
      <c r="I52" s="10">
        <f t="shared" si="8"/>
        <v>353</v>
      </c>
      <c r="J52" s="10">
        <f t="shared" si="6"/>
        <v>627926561.93169081</v>
      </c>
      <c r="K52" s="11">
        <f t="shared" si="7"/>
        <v>2.7000000000000135E-2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11"/>
      <c r="H53" s="10"/>
      <c r="I53" s="10">
        <f t="shared" si="8"/>
        <v>353</v>
      </c>
      <c r="J53" s="10">
        <f t="shared" si="6"/>
        <v>611418268.67740095</v>
      </c>
      <c r="K53" s="11">
        <f t="shared" si="7"/>
        <v>2.6499999999999746E-2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11"/>
      <c r="H54" s="10"/>
      <c r="I54" s="10">
        <f t="shared" si="8"/>
        <v>353</v>
      </c>
      <c r="J54" s="10">
        <f t="shared" si="6"/>
        <v>595633968.51183736</v>
      </c>
      <c r="K54" s="11">
        <f t="shared" si="7"/>
        <v>2.5900000000000034E-2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11"/>
      <c r="H55" s="10"/>
      <c r="I55" s="10">
        <f t="shared" si="8"/>
        <v>353</v>
      </c>
      <c r="J55" s="10">
        <f t="shared" si="6"/>
        <v>580596518.67807519</v>
      </c>
      <c r="K55" s="11">
        <f t="shared" si="7"/>
        <v>2.5400000000000089E-2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11"/>
      <c r="H56" s="10"/>
      <c r="I56" s="10">
        <f t="shared" si="8"/>
        <v>353</v>
      </c>
      <c r="J56" s="10">
        <f t="shared" si="6"/>
        <v>566214666.15767026</v>
      </c>
      <c r="K56" s="11">
        <f t="shared" si="7"/>
        <v>2.4799999999999711E-2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11"/>
      <c r="H57" s="10"/>
      <c r="I57" s="10">
        <f t="shared" si="8"/>
        <v>353</v>
      </c>
      <c r="J57" s="10">
        <f t="shared" si="6"/>
        <v>552512359.6386323</v>
      </c>
      <c r="K57" s="11">
        <f t="shared" si="7"/>
        <v>2.4199999999999999E-2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11"/>
      <c r="H58" s="10"/>
      <c r="I58" s="10">
        <f t="shared" si="8"/>
        <v>353</v>
      </c>
      <c r="J58" s="10">
        <f t="shared" si="6"/>
        <v>539457488.41889501</v>
      </c>
      <c r="K58" s="11">
        <f t="shared" si="7"/>
        <v>2.3499999999999854E-2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11"/>
      <c r="H59" s="10"/>
      <c r="I59" s="10">
        <f t="shared" si="8"/>
        <v>353</v>
      </c>
      <c r="J59" s="10">
        <f t="shared" si="6"/>
        <v>527071312.57341969</v>
      </c>
      <c r="K59" s="11">
        <f t="shared" si="7"/>
        <v>2.289999999999992E-2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11"/>
      <c r="H60" s="10"/>
      <c r="I60" s="10">
        <f t="shared" si="8"/>
        <v>353</v>
      </c>
      <c r="J60" s="10">
        <f t="shared" si="6"/>
        <v>515271593.09162158</v>
      </c>
      <c r="K60" s="11">
        <f t="shared" si="7"/>
        <v>2.2199999999999998E-2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11"/>
      <c r="H61" s="10"/>
      <c r="I61" s="10">
        <f t="shared" si="8"/>
        <v>353</v>
      </c>
      <c r="J61" s="10">
        <f t="shared" si="6"/>
        <v>504080995.00256461</v>
      </c>
      <c r="K61" s="11">
        <f t="shared" si="7"/>
        <v>2.1500000000000075E-2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11"/>
      <c r="H62" s="10"/>
      <c r="I62" s="10">
        <f t="shared" si="8"/>
        <v>353</v>
      </c>
      <c r="J62" s="10">
        <f t="shared" si="6"/>
        <v>493471360.74651456</v>
      </c>
      <c r="K62" s="11">
        <f t="shared" si="7"/>
        <v>2.0899999999999919E-2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11"/>
      <c r="H63" s="10"/>
      <c r="I63" s="10">
        <f t="shared" si="8"/>
        <v>353</v>
      </c>
      <c r="J63" s="10">
        <f t="shared" si="6"/>
        <v>483368949.69782996</v>
      </c>
      <c r="K63" s="11">
        <f t="shared" si="7"/>
        <v>2.0299999999999985E-2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11"/>
      <c r="H64" s="10"/>
      <c r="I64" s="10">
        <f t="shared" si="8"/>
        <v>353</v>
      </c>
      <c r="J64" s="10">
        <f t="shared" si="6"/>
        <v>473751788.39344305</v>
      </c>
      <c r="K64" s="11">
        <f t="shared" si="7"/>
        <v>1.980000000000004E-2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11"/>
      <c r="H65" s="10"/>
      <c r="I65" s="10">
        <f t="shared" si="8"/>
        <v>353</v>
      </c>
      <c r="J65" s="10">
        <f t="shared" si="6"/>
        <v>464553626.58702004</v>
      </c>
      <c r="K65" s="11">
        <f t="shared" si="7"/>
        <v>1.9400000000000084E-2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6">
        <f>SUM(F2)</f>
        <v>7354910</v>
      </c>
      <c r="G66" s="11"/>
      <c r="H66" s="10"/>
      <c r="I66" s="10">
        <f t="shared" si="8"/>
        <v>353</v>
      </c>
      <c r="J66" s="10">
        <f t="shared" ref="J66:J97" si="9">IF(I66="","",I66*C66)</f>
        <v>455712798.29999995</v>
      </c>
      <c r="K66" s="11">
        <f t="shared" ref="K66:K97" si="10">IFERROR(J66/J67-1,"")</f>
        <v>1.8999999999999906E-2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11"/>
      <c r="H67" s="10"/>
      <c r="I67" s="10">
        <f t="shared" ref="I67:I98" si="11">IF(H67&lt;&gt;"",H67,I66/(1+IF(G66="",0,G66)))</f>
        <v>353</v>
      </c>
      <c r="J67" s="10">
        <f t="shared" si="9"/>
        <v>447215700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workbookViewId="0"/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t="inlineStr">
        <is>
          <t xml:space="preserve">Notes</t>
        </is>
      </c>
      <c r="M1" t="inlineStr">
        <is>
          <t xml:space="preserve">What it means</t>
        </is>
      </c>
    </row>
    <row r="2" spans="1:11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5">
        <f>Acetoa!C2 + Acrana!C2 + Aetintio!C2</f>
        <v>27077612.594551396</v>
      </c>
      <c r="G2" s="11"/>
      <c r="H2" s="10"/>
      <c r="I2" s="10">
        <f>IF(H2&lt;&gt;"",H2,3409)</f>
        <v>3409</v>
      </c>
      <c r="J2" s="10">
        <f t="shared" ref="J2:J33" si="3">IF(I2="","",I2*C2)</f>
        <v>1449307337267.7651</v>
      </c>
      <c r="K2" s="11">
        <f t="shared" ref="K2:K33" si="4">IFERROR(J2/J3-1,"")</f>
        <v>1.2599999999999945E-2</v>
      </c>
    </row>
    <row r="3" spans="1:11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11"/>
      <c r="H3" s="10"/>
      <c r="I3" s="10">
        <f t="shared" ref="I3:I34" si="5">IF(H3&lt;&gt;"",H3,I2/(1+IF(G2="",0,G2)))</f>
        <v>3409</v>
      </c>
      <c r="J3" s="10">
        <f t="shared" si="3"/>
        <v>1431273293766.3098</v>
      </c>
      <c r="K3" s="11">
        <f t="shared" si="4"/>
        <v>1.3400000000000079E-2</v>
      </c>
    </row>
    <row r="4" spans="1:11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11"/>
      <c r="H4" s="10"/>
      <c r="I4" s="10">
        <f t="shared" si="5"/>
        <v>3409</v>
      </c>
      <c r="J4" s="10">
        <f t="shared" si="3"/>
        <v>1412347832806.7</v>
      </c>
      <c r="K4" s="11">
        <f t="shared" si="4"/>
        <v>1.4299999999999757E-2</v>
      </c>
    </row>
    <row r="5" spans="1:11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11"/>
      <c r="H5" s="10"/>
      <c r="I5" s="10">
        <f t="shared" si="5"/>
        <v>3409</v>
      </c>
      <c r="J5" s="10">
        <f t="shared" si="3"/>
        <v>1392435998034.8025</v>
      </c>
      <c r="K5" s="11">
        <f t="shared" si="4"/>
        <v>1.5100000000000113E-2</v>
      </c>
    </row>
    <row r="6" spans="1:11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11"/>
      <c r="H6" s="10"/>
      <c r="I6" s="10">
        <f t="shared" si="5"/>
        <v>3409</v>
      </c>
      <c r="J6" s="10">
        <f t="shared" si="3"/>
        <v>1371722981021.3796</v>
      </c>
      <c r="K6" s="11">
        <f t="shared" si="4"/>
        <v>1.5800000000000258E-2</v>
      </c>
    </row>
    <row r="7" spans="1:11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11"/>
      <c r="H7" s="10"/>
      <c r="I7" s="10">
        <f t="shared" si="5"/>
        <v>3409</v>
      </c>
      <c r="J7" s="10">
        <f t="shared" si="3"/>
        <v>1350386868499.0938</v>
      </c>
      <c r="K7" s="11">
        <f t="shared" si="4"/>
        <v>1.639999999999997E-2</v>
      </c>
    </row>
    <row r="8" spans="1:11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11"/>
      <c r="H8" s="10"/>
      <c r="I8" s="10">
        <f t="shared" si="5"/>
        <v>3409</v>
      </c>
      <c r="J8" s="10">
        <f t="shared" si="3"/>
        <v>1328597863537.0857</v>
      </c>
      <c r="K8" s="11">
        <f t="shared" si="4"/>
        <v>1.6899999999999915E-2</v>
      </c>
    </row>
    <row r="9" spans="1:11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11"/>
      <c r="H9" s="10"/>
      <c r="I9" s="10">
        <f t="shared" si="5"/>
        <v>3409</v>
      </c>
      <c r="J9" s="10">
        <f t="shared" si="3"/>
        <v>1306517714167.6523</v>
      </c>
      <c r="K9" s="11">
        <f t="shared" si="4"/>
        <v>1.739999999999986E-2</v>
      </c>
    </row>
    <row r="10" spans="1:11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11"/>
      <c r="H10" s="10"/>
      <c r="I10" s="10">
        <f t="shared" si="5"/>
        <v>3409</v>
      </c>
      <c r="J10" s="10">
        <f t="shared" si="3"/>
        <v>1284173102189.5542</v>
      </c>
      <c r="K10" s="11">
        <f t="shared" si="4"/>
        <v>1.7800000000000038E-2</v>
      </c>
    </row>
    <row r="11" spans="1:11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11"/>
      <c r="H11" s="10"/>
      <c r="I11" s="10">
        <f t="shared" si="5"/>
        <v>3409</v>
      </c>
      <c r="J11" s="10">
        <f t="shared" si="3"/>
        <v>1261714582618.937</v>
      </c>
      <c r="K11" s="11">
        <f t="shared" si="4"/>
        <v>1.8200000000000216E-2</v>
      </c>
    </row>
    <row r="12" spans="1:11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11"/>
      <c r="H12" s="10"/>
      <c r="I12" s="10">
        <f t="shared" si="5"/>
        <v>3409</v>
      </c>
      <c r="J12" s="10">
        <f t="shared" si="3"/>
        <v>1239161837182.2205</v>
      </c>
      <c r="K12" s="11">
        <f t="shared" si="4"/>
        <v>1.859999999999995E-2</v>
      </c>
    </row>
    <row r="13" spans="1:11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11"/>
      <c r="H13" s="10"/>
      <c r="I13" s="10">
        <f t="shared" si="5"/>
        <v>3409</v>
      </c>
      <c r="J13" s="10">
        <f t="shared" si="3"/>
        <v>1216534299216.7883</v>
      </c>
      <c r="K13" s="11">
        <f t="shared" si="4"/>
        <v>1.9099999999999895E-2</v>
      </c>
    </row>
    <row r="14" spans="1:11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11"/>
      <c r="H14" s="10"/>
      <c r="I14" s="10">
        <f t="shared" si="5"/>
        <v>3409</v>
      </c>
      <c r="J14" s="10">
        <f t="shared" si="3"/>
        <v>1193733980195.0627</v>
      </c>
      <c r="K14" s="11">
        <f t="shared" si="4"/>
        <v>1.9600000000000284E-2</v>
      </c>
    </row>
    <row r="15" spans="1:11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11"/>
      <c r="H15" s="10"/>
      <c r="I15" s="10">
        <f t="shared" si="5"/>
        <v>3409</v>
      </c>
      <c r="J15" s="10">
        <f t="shared" si="3"/>
        <v>1170786563549.4924</v>
      </c>
      <c r="K15" s="11">
        <f t="shared" si="4"/>
        <v>2.0100000000000007E-2</v>
      </c>
    </row>
    <row r="16" spans="1:11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11"/>
      <c r="H16" s="10"/>
      <c r="I16" s="10">
        <f t="shared" si="5"/>
        <v>3409</v>
      </c>
      <c r="J16" s="10">
        <f t="shared" si="3"/>
        <v>1147717442946.2725</v>
      </c>
      <c r="K16" s="11">
        <f t="shared" si="4"/>
        <v>2.0399999999999974E-2</v>
      </c>
    </row>
    <row r="17" spans="1:11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11"/>
      <c r="H17" s="10"/>
      <c r="I17" s="10">
        <f t="shared" si="5"/>
        <v>3409</v>
      </c>
      <c r="J17" s="10">
        <f t="shared" si="3"/>
        <v>1124772092264.0852</v>
      </c>
      <c r="K17" s="11">
        <f t="shared" si="4"/>
        <v>2.0699999999999941E-2</v>
      </c>
    </row>
    <row r="18" spans="1:11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11"/>
      <c r="H18" s="10"/>
      <c r="I18" s="10">
        <f t="shared" si="5"/>
        <v>3409</v>
      </c>
      <c r="J18" s="10">
        <f t="shared" si="3"/>
        <v>1101961489432.8257</v>
      </c>
      <c r="K18" s="11">
        <f t="shared" si="4"/>
        <v>2.0899999999999919E-2</v>
      </c>
    </row>
    <row r="19" spans="1:11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11"/>
      <c r="H19" s="10"/>
      <c r="I19" s="10">
        <f t="shared" si="5"/>
        <v>3409</v>
      </c>
      <c r="J19" s="10">
        <f t="shared" si="3"/>
        <v>1079401987886.0082</v>
      </c>
      <c r="K19" s="11">
        <f t="shared" si="4"/>
        <v>2.1099999999999675E-2</v>
      </c>
    </row>
    <row r="20" spans="1:11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11"/>
      <c r="H20" s="10"/>
      <c r="I20" s="10">
        <f t="shared" si="5"/>
        <v>3409</v>
      </c>
      <c r="J20" s="10">
        <f t="shared" si="3"/>
        <v>1057097236202.1432</v>
      </c>
      <c r="K20" s="11">
        <f t="shared" si="4"/>
        <v>2.120000000000033E-2</v>
      </c>
    </row>
    <row r="21" spans="1:11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11"/>
      <c r="H21" s="10"/>
      <c r="I21" s="10">
        <f t="shared" si="5"/>
        <v>3409</v>
      </c>
      <c r="J21" s="10">
        <f t="shared" si="3"/>
        <v>1035152013515.6119</v>
      </c>
      <c r="K21" s="11">
        <f t="shared" si="4"/>
        <v>2.1400000000000086E-2</v>
      </c>
    </row>
    <row r="22" spans="1:11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11"/>
      <c r="H22" s="10"/>
      <c r="I22" s="10">
        <f t="shared" si="5"/>
        <v>3409</v>
      </c>
      <c r="J22" s="10">
        <f t="shared" si="3"/>
        <v>1013463886347.7695</v>
      </c>
      <c r="K22" s="11">
        <f t="shared" si="4"/>
        <v>2.1699999999999831E-2</v>
      </c>
    </row>
    <row r="23" spans="1:11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11"/>
      <c r="H23" s="10"/>
      <c r="I23" s="10">
        <f t="shared" si="5"/>
        <v>3409</v>
      </c>
      <c r="J23" s="10">
        <f t="shared" si="3"/>
        <v>991938814082.18616</v>
      </c>
      <c r="K23" s="11">
        <f t="shared" si="4"/>
        <v>2.200000000000002E-2</v>
      </c>
    </row>
    <row r="24" spans="1:11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11"/>
      <c r="H24" s="10"/>
      <c r="I24" s="10">
        <f t="shared" si="5"/>
        <v>3409</v>
      </c>
      <c r="J24" s="10">
        <f t="shared" si="3"/>
        <v>970585923759.47766</v>
      </c>
      <c r="K24" s="11">
        <f t="shared" si="4"/>
        <v>2.2299999999999986E-2</v>
      </c>
    </row>
    <row r="25" spans="1:11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11"/>
      <c r="H25" s="10"/>
      <c r="I25" s="10">
        <f t="shared" si="5"/>
        <v>3409</v>
      </c>
      <c r="J25" s="10">
        <f t="shared" si="3"/>
        <v>949413991743.59558</v>
      </c>
      <c r="K25" s="11">
        <f t="shared" si="4"/>
        <v>2.2699999999999942E-2</v>
      </c>
    </row>
    <row r="26" spans="1:11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11"/>
      <c r="H26" s="10"/>
      <c r="I26" s="10">
        <f t="shared" si="5"/>
        <v>3409</v>
      </c>
      <c r="J26" s="10">
        <f t="shared" si="3"/>
        <v>928340658789.08337</v>
      </c>
      <c r="K26" s="11">
        <f t="shared" si="4"/>
        <v>2.2999999999999909E-2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11"/>
      <c r="H27" s="10"/>
      <c r="I27" s="10">
        <f t="shared" si="5"/>
        <v>3409</v>
      </c>
      <c r="J27" s="10">
        <f t="shared" si="3"/>
        <v>907468874671.63586</v>
      </c>
      <c r="K27" s="11">
        <f t="shared" si="4"/>
        <v>2.3200000000000109E-2</v>
      </c>
      <c r="L27" t="inlineStr">
        <is>
          <t xml:space="preserve">The Great Crash - global stock-market crash &amp; recession.</t>
        </is>
      </c>
      <c r="M27" t="inlineStr">
        <is>
          <t xml:space="preserve">The Great Crash (1740): the global stock-market crash set off by the collapse of the Estijan Huan.</t>
        </is>
      </c>
    </row>
    <row r="28" spans="1:11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11"/>
      <c r="H28" s="10"/>
      <c r="I28" s="10">
        <f t="shared" si="5"/>
        <v>3409</v>
      </c>
      <c r="J28" s="10">
        <f t="shared" si="3"/>
        <v>886892958044.99194</v>
      </c>
      <c r="K28" s="11">
        <f t="shared" si="4"/>
        <v>2.3400000000000087E-2</v>
      </c>
    </row>
    <row r="29" spans="1:11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11"/>
      <c r="H29" s="10"/>
      <c r="I29" s="10">
        <f t="shared" si="5"/>
        <v>3409</v>
      </c>
      <c r="J29" s="10">
        <f t="shared" si="3"/>
        <v>866614186090.47473</v>
      </c>
      <c r="K29" s="11">
        <f t="shared" si="4"/>
        <v>2.3500000000000076E-2</v>
      </c>
    </row>
    <row r="30" spans="1:11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11"/>
      <c r="H30" s="10"/>
      <c r="I30" s="10">
        <f t="shared" si="5"/>
        <v>3409</v>
      </c>
      <c r="J30" s="10">
        <f t="shared" si="3"/>
        <v>846716351822.64258</v>
      </c>
      <c r="K30" s="11">
        <f t="shared" si="4"/>
        <v>2.3599999999999843E-2</v>
      </c>
    </row>
    <row r="31" spans="1:11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11"/>
      <c r="H31" s="10"/>
      <c r="I31" s="10">
        <f t="shared" si="5"/>
        <v>3409</v>
      </c>
      <c r="J31" s="10">
        <f t="shared" si="3"/>
        <v>827194560201.8783</v>
      </c>
      <c r="K31" s="11">
        <f t="shared" si="4"/>
        <v>2.3700000000000054E-2</v>
      </c>
    </row>
    <row r="32" spans="1:11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11"/>
      <c r="H32" s="10"/>
      <c r="I32" s="10">
        <f t="shared" si="5"/>
        <v>3409</v>
      </c>
      <c r="J32" s="10">
        <f t="shared" si="3"/>
        <v>808043919314.1333</v>
      </c>
      <c r="K32" s="11">
        <f t="shared" si="4"/>
        <v>2.3700000000000054E-2</v>
      </c>
    </row>
    <row r="33" spans="1:11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11"/>
      <c r="H33" s="10"/>
      <c r="I33" s="10">
        <f t="shared" si="5"/>
        <v>3409</v>
      </c>
      <c r="J33" s="10">
        <f t="shared" si="3"/>
        <v>789336640924.229</v>
      </c>
      <c r="K33" s="11">
        <f t="shared" si="4"/>
        <v>2.3700000000000054E-2</v>
      </c>
    </row>
    <row r="34" spans="1:11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11"/>
      <c r="H34" s="10"/>
      <c r="I34" s="10">
        <f t="shared" si="5"/>
        <v>3409</v>
      </c>
      <c r="J34" s="10">
        <f t="shared" ref="J34:J65" si="6">IF(I34="","",I34*C34)</f>
        <v>771062460607.82349</v>
      </c>
      <c r="K34" s="11">
        <f t="shared" ref="K34:K65" si="7">IFERROR(J34/J35-1,"")</f>
        <v>2.3700000000000054E-2</v>
      </c>
    </row>
    <row r="35" spans="1:11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11"/>
      <c r="H35" s="10"/>
      <c r="I35" s="10">
        <f t="shared" ref="I35:I66" si="8">IF(H35&lt;&gt;"",H35,I34/(1+IF(G34="",0,G34)))</f>
        <v>3409</v>
      </c>
      <c r="J35" s="10">
        <f t="shared" si="6"/>
        <v>753211351575.4845</v>
      </c>
      <c r="K35" s="11">
        <f t="shared" si="7"/>
        <v>2.3500000000000076E-2</v>
      </c>
    </row>
    <row r="36" spans="1:11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11"/>
      <c r="H36" s="10"/>
      <c r="I36" s="10">
        <f t="shared" si="8"/>
        <v>3409</v>
      </c>
      <c r="J36" s="10">
        <f t="shared" si="6"/>
        <v>735917295139.70142</v>
      </c>
      <c r="K36" s="11">
        <f t="shared" si="7"/>
        <v>2.3199999999999887E-2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11"/>
      <c r="H37" s="10"/>
      <c r="I37" s="10">
        <f t="shared" si="8"/>
        <v>3409</v>
      </c>
      <c r="J37" s="10">
        <f t="shared" si="6"/>
        <v>719231132857.40955</v>
      </c>
      <c r="K37" s="11">
        <f t="shared" si="7"/>
        <v>2.2799999999999931E-2</v>
      </c>
      <c r="L37" t="inlineStr">
        <is>
          <t xml:space="preserve">The Great Slump - global depression after the Massiran Credit Crisis &amp; Global Austerity.</t>
        </is>
      </c>
      <c r="M37" t="inlineStr">
        <is>
          <t xml:space="preserve">The Great Slump (1729-33): the worldwide depression that followed the 1729 Massiran Credit Crisis and the GTU's Global Austerity doctrine.</t>
        </is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11"/>
      <c r="H38" s="10"/>
      <c r="I38" s="10">
        <f t="shared" si="8"/>
        <v>3409</v>
      </c>
      <c r="J38" s="10">
        <f t="shared" si="6"/>
        <v>703198213587.61206</v>
      </c>
      <c r="K38" s="11">
        <f t="shared" si="7"/>
        <v>2.2499999999999964E-2</v>
      </c>
      <c r="L38" t="inlineStr">
        <is>
          <t xml:space="preserve">GTU 'Global Austerity' doctrine adopted amid the Massiran Credit Crisis.</t>
        </is>
      </c>
      <c r="M38" t="inlineStr">
        <is>
          <t xml:space="preserve">GTU Global Austerity (1729): the world austerity doctrine adopted during the Massiran Credit Crisis.</t>
        </is>
      </c>
    </row>
    <row r="39" spans="1:11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11"/>
      <c r="H39" s="10"/>
      <c r="I39" s="10">
        <f t="shared" si="8"/>
        <v>3409</v>
      </c>
      <c r="J39" s="10">
        <f t="shared" si="6"/>
        <v>687724414266.61328</v>
      </c>
      <c r="K39" s="11">
        <f t="shared" si="7"/>
        <v>2.2399999999999975E-2</v>
      </c>
    </row>
    <row r="40" spans="1:11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11"/>
      <c r="H40" s="10"/>
      <c r="I40" s="10">
        <f t="shared" si="8"/>
        <v>3409</v>
      </c>
      <c r="J40" s="10">
        <f t="shared" si="6"/>
        <v>672656899713.04114</v>
      </c>
      <c r="K40" s="11">
        <f t="shared" si="7"/>
        <v>2.2499999999999964E-2</v>
      </c>
    </row>
    <row r="41" spans="1:11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11"/>
      <c r="H41" s="10"/>
      <c r="I41" s="10">
        <f t="shared" si="8"/>
        <v>3409</v>
      </c>
      <c r="J41" s="10">
        <f t="shared" si="6"/>
        <v>657855158643.56104</v>
      </c>
      <c r="K41" s="11">
        <f t="shared" si="7"/>
        <v>2.2699999999999942E-2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11"/>
      <c r="H42" s="10"/>
      <c r="I42" s="10">
        <f t="shared" si="8"/>
        <v>3409</v>
      </c>
      <c r="J42" s="10">
        <f t="shared" si="6"/>
        <v>643253308539.70972</v>
      </c>
      <c r="K42" s="11">
        <f t="shared" si="7"/>
        <v>2.2799999999999931E-2</v>
      </c>
      <c r="L42" t="inlineStr">
        <is>
          <t xml:space="preserve">Oil Crisis - hit by the global oil shortage &amp; price spike (MPU supply cut).</t>
        </is>
      </c>
      <c r="M42" t="inlineStr">
        <is>
          <t xml:space="preserve">Oil Crisis (1725): a worldwide oil shortage after the MPU cartel restricted global supply - felt in every economy.</t>
        </is>
      </c>
    </row>
    <row r="43" spans="1:11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11"/>
      <c r="H43" s="10"/>
      <c r="I43" s="10">
        <f t="shared" si="8"/>
        <v>3409</v>
      </c>
      <c r="J43" s="10">
        <f t="shared" si="6"/>
        <v>628914067794.00635</v>
      </c>
      <c r="K43" s="11">
        <f t="shared" si="7"/>
        <v>2.2799999999999709E-2</v>
      </c>
    </row>
    <row r="44" spans="1:11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11"/>
      <c r="H44" s="10"/>
      <c r="I44" s="10">
        <f t="shared" si="8"/>
        <v>3409</v>
      </c>
      <c r="J44" s="10">
        <f t="shared" si="6"/>
        <v>614894473791.55896</v>
      </c>
      <c r="K44" s="11">
        <f t="shared" si="7"/>
        <v>2.2700000000000164E-2</v>
      </c>
    </row>
    <row r="45" spans="1:11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11"/>
      <c r="H45" s="10"/>
      <c r="I45" s="10">
        <f t="shared" si="8"/>
        <v>3409</v>
      </c>
      <c r="J45" s="10">
        <f t="shared" si="6"/>
        <v>601246185383.35669</v>
      </c>
      <c r="K45" s="11">
        <f t="shared" si="7"/>
        <v>2.2399999999999975E-2</v>
      </c>
    </row>
    <row r="46" spans="1:11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11"/>
      <c r="H46" s="10"/>
      <c r="I46" s="10">
        <f t="shared" si="8"/>
        <v>3409</v>
      </c>
      <c r="J46" s="10">
        <f t="shared" si="6"/>
        <v>588073342511.10791</v>
      </c>
      <c r="K46" s="11">
        <f t="shared" si="7"/>
        <v>2.200000000000002E-2</v>
      </c>
    </row>
    <row r="47" spans="1:11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11"/>
      <c r="H47" s="10"/>
      <c r="I47" s="10">
        <f t="shared" si="8"/>
        <v>3409</v>
      </c>
      <c r="J47" s="10">
        <f t="shared" si="6"/>
        <v>575414229462.92358</v>
      </c>
      <c r="K47" s="11">
        <f t="shared" si="7"/>
        <v>2.1700000000000275E-2</v>
      </c>
    </row>
    <row r="48" spans="1:11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11"/>
      <c r="H48" s="10"/>
      <c r="I48" s="10">
        <f t="shared" si="8"/>
        <v>3409</v>
      </c>
      <c r="J48" s="10">
        <f t="shared" si="6"/>
        <v>563192942608.32288</v>
      </c>
      <c r="K48" s="11">
        <f t="shared" si="7"/>
        <v>2.1499999999999853E-2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11"/>
      <c r="H49" s="10"/>
      <c r="I49" s="10">
        <f t="shared" si="8"/>
        <v>3409</v>
      </c>
      <c r="J49" s="10">
        <f t="shared" si="6"/>
        <v>551339150864.7312</v>
      </c>
      <c r="K49" s="11">
        <f t="shared" si="7"/>
        <v>2.1500000000000075E-2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11"/>
      <c r="H50" s="10"/>
      <c r="I50" s="10">
        <f t="shared" si="8"/>
        <v>3409</v>
      </c>
      <c r="J50" s="10">
        <f t="shared" si="6"/>
        <v>539734851556.2713</v>
      </c>
      <c r="K50" s="11">
        <f t="shared" si="7"/>
        <v>2.1500000000000075E-2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11"/>
      <c r="H51" s="10"/>
      <c r="I51" s="10">
        <f t="shared" si="8"/>
        <v>3409</v>
      </c>
      <c r="J51" s="10">
        <f t="shared" si="6"/>
        <v>528374793496.10498</v>
      </c>
      <c r="K51" s="11">
        <f t="shared" si="7"/>
        <v>2.1500000000000075E-2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11"/>
      <c r="H52" s="10"/>
      <c r="I52" s="10">
        <f t="shared" si="8"/>
        <v>3409</v>
      </c>
      <c r="J52" s="10">
        <f t="shared" si="6"/>
        <v>517253836021.63965</v>
      </c>
      <c r="K52" s="11">
        <f t="shared" si="7"/>
        <v>2.1200000000000108E-2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11"/>
      <c r="H53" s="10"/>
      <c r="I53" s="10">
        <f t="shared" si="8"/>
        <v>3409</v>
      </c>
      <c r="J53" s="10">
        <f t="shared" si="6"/>
        <v>506515703115.58911</v>
      </c>
      <c r="K53" s="11">
        <f t="shared" si="7"/>
        <v>2.079999999999993E-2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11"/>
      <c r="H54" s="10"/>
      <c r="I54" s="10">
        <f t="shared" si="8"/>
        <v>3409</v>
      </c>
      <c r="J54" s="10">
        <f t="shared" si="6"/>
        <v>496194850230.7887</v>
      </c>
      <c r="K54" s="11">
        <f t="shared" si="7"/>
        <v>2.0399999999999974E-2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11"/>
      <c r="H55" s="10"/>
      <c r="I55" s="10">
        <f t="shared" si="8"/>
        <v>3409</v>
      </c>
      <c r="J55" s="10">
        <f t="shared" si="6"/>
        <v>486274843424.92035</v>
      </c>
      <c r="K55" s="11">
        <f t="shared" si="7"/>
        <v>2.0100000000000007E-2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11"/>
      <c r="H56" s="10"/>
      <c r="I56" s="10">
        <f t="shared" si="8"/>
        <v>3409</v>
      </c>
      <c r="J56" s="10">
        <f t="shared" si="6"/>
        <v>476693307935.41846</v>
      </c>
      <c r="K56" s="11">
        <f t="shared" si="7"/>
        <v>1.9900000000000029E-2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11"/>
      <c r="H57" s="10"/>
      <c r="I57" s="10">
        <f t="shared" si="8"/>
        <v>3409</v>
      </c>
      <c r="J57" s="10">
        <f t="shared" si="6"/>
        <v>467392203093.85077</v>
      </c>
      <c r="K57" s="11">
        <f t="shared" si="7"/>
        <v>1.980000000000004E-2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11"/>
      <c r="H58" s="10"/>
      <c r="I58" s="10">
        <f t="shared" si="8"/>
        <v>3409</v>
      </c>
      <c r="J58" s="10">
        <f t="shared" si="6"/>
        <v>458317516271.67169</v>
      </c>
      <c r="K58" s="11">
        <f t="shared" si="7"/>
        <v>1.9700000000000273E-2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11"/>
      <c r="H59" s="10"/>
      <c r="I59" s="10">
        <f t="shared" si="8"/>
        <v>3409</v>
      </c>
      <c r="J59" s="10">
        <f t="shared" si="6"/>
        <v>449463093333.01129</v>
      </c>
      <c r="K59" s="11">
        <f t="shared" si="7"/>
        <v>1.9600000000000062E-2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11"/>
      <c r="H60" s="10"/>
      <c r="I60" s="10">
        <f t="shared" si="8"/>
        <v>3409</v>
      </c>
      <c r="J60" s="10">
        <f t="shared" si="6"/>
        <v>440822963253.24762</v>
      </c>
      <c r="K60" s="11">
        <f t="shared" si="7"/>
        <v>1.9400000000000084E-2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11"/>
      <c r="H61" s="10"/>
      <c r="I61" s="10">
        <f t="shared" si="8"/>
        <v>3409</v>
      </c>
      <c r="J61" s="10">
        <f t="shared" si="6"/>
        <v>432433748531.73199</v>
      </c>
      <c r="K61" s="11">
        <f t="shared" si="7"/>
        <v>1.8999999999999906E-2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11"/>
      <c r="H62" s="10"/>
      <c r="I62" s="10">
        <f t="shared" si="8"/>
        <v>3409</v>
      </c>
      <c r="J62" s="10">
        <f t="shared" si="6"/>
        <v>424370705134.18256</v>
      </c>
      <c r="K62" s="11">
        <f t="shared" si="7"/>
        <v>1.8499999999999961E-2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11"/>
      <c r="H63" s="10"/>
      <c r="I63" s="10">
        <f t="shared" si="8"/>
        <v>3409</v>
      </c>
      <c r="J63" s="10">
        <f t="shared" si="6"/>
        <v>416662449812.64856</v>
      </c>
      <c r="K63" s="11">
        <f t="shared" si="7"/>
        <v>1.8000000000000016E-2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11"/>
      <c r="H64" s="10"/>
      <c r="I64" s="10">
        <f t="shared" si="8"/>
        <v>3409</v>
      </c>
      <c r="J64" s="10">
        <f t="shared" si="6"/>
        <v>409295137340.51923</v>
      </c>
      <c r="K64" s="11">
        <f t="shared" si="7"/>
        <v>1.7400000000000082E-2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11"/>
      <c r="H65" s="10"/>
      <c r="I65" s="10">
        <f t="shared" si="8"/>
        <v>3409</v>
      </c>
      <c r="J65" s="10">
        <f t="shared" si="6"/>
        <v>402295200845.80225</v>
      </c>
      <c r="K65" s="11">
        <f t="shared" si="7"/>
        <v>1.6899999999999915E-2</v>
      </c>
      <c r="L65" t="inlineStr">
        <is>
          <t xml:space="preserve">Keiratam War with Erkizil &amp; forced population transfer.</t>
        </is>
      </c>
      <c r="M65" t="inlineStr">
        <is>
          <t xml:space="preserve">Keiratam War (1701-02): Ztesh's war with Erkizil over Keiratam, ending in a forced population transfer.</t>
        </is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6">
        <f>SUM(F2)</f>
        <v>27077612.594551396</v>
      </c>
      <c r="G66" s="11"/>
      <c r="H66" s="10"/>
      <c r="I66" s="10">
        <f t="shared" si="8"/>
        <v>3409</v>
      </c>
      <c r="J66" s="10">
        <f t="shared" ref="J66:J97" si="9">IF(I66="","",I66*C66)</f>
        <v>395609401952.79999</v>
      </c>
      <c r="K66" s="11">
        <f t="shared" ref="K66:K97" si="10">IFERROR(J66/J67-1,"")</f>
        <v>1.6499999999999959E-2</v>
      </c>
    </row>
    <row r="67" spans="1:11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11"/>
      <c r="H67" s="10"/>
      <c r="I67" s="10">
        <f t="shared" ref="I67:I98" si="11">IF(H67&lt;&gt;"",H67,I66/(1+IF(G66="",0,G66)))</f>
        <v>3409</v>
      </c>
      <c r="J67" s="10">
        <f t="shared" si="9"/>
        <v>389187803200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2026-07-06T20:56:44Z</dcterms:modified>
</cp:coreProperties>
</file>