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pai/Documents/School/S02 MATPC 100G/"/>
    </mc:Choice>
  </mc:AlternateContent>
  <xr:revisionPtr revIDLastSave="0" documentId="8_{42372D15-8C02-8C4E-8FAF-8405C598C7C3}" xr6:coauthVersionLast="43" xr6:coauthVersionMax="43" xr10:uidLastSave="{00000000-0000-0000-0000-000000000000}"/>
  <bookViews>
    <workbookView xWindow="380" yWindow="460" windowWidth="28040" windowHeight="16440" activeTab="5" xr2:uid="{00000000-000D-0000-FFFF-FFFF00000000}"/>
  </bookViews>
  <sheets>
    <sheet name="Budget" sheetId="1" r:id="rId1"/>
    <sheet name="Transfers" sheetId="2" r:id="rId2"/>
    <sheet name="Exercise 2.1 C #22 &amp; #24" sheetId="3" r:id="rId3"/>
    <sheet name="Exercise 3.3C #29 &amp; 30" sheetId="5" r:id="rId4"/>
    <sheet name="Sheet1" sheetId="4" r:id="rId5"/>
    <sheet name="Excersize 4.1C #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6" l="1"/>
  <c r="C3" i="6"/>
  <c r="C6" i="6"/>
  <c r="C7" i="6"/>
  <c r="C9" i="6"/>
  <c r="C10" i="6"/>
  <c r="C11" i="6"/>
  <c r="C13" i="6"/>
  <c r="C14" i="6"/>
  <c r="C15" i="6"/>
  <c r="C17" i="6"/>
  <c r="C18" i="6"/>
  <c r="C19" i="6"/>
  <c r="C21" i="6"/>
  <c r="C22" i="6"/>
  <c r="C4" i="6"/>
  <c r="E3" i="6"/>
  <c r="D3" i="6" s="1"/>
  <c r="B4" i="6" l="1"/>
  <c r="E4" i="6" s="1"/>
  <c r="C20" i="6"/>
  <c r="C16" i="6"/>
  <c r="C12" i="6"/>
  <c r="C8" i="6"/>
  <c r="B47" i="4"/>
  <c r="C48" i="4" s="1"/>
  <c r="B41" i="4"/>
  <c r="B42" i="4" s="1"/>
  <c r="C43" i="4" s="1"/>
  <c r="E37" i="4"/>
  <c r="D37" i="4"/>
  <c r="C37" i="4"/>
  <c r="B37" i="4"/>
  <c r="E30" i="4"/>
  <c r="D30" i="4"/>
  <c r="C30" i="4"/>
  <c r="B30" i="4"/>
  <c r="E24" i="4"/>
  <c r="D24" i="4"/>
  <c r="C24" i="4"/>
  <c r="B24" i="4"/>
  <c r="E17" i="4"/>
  <c r="D17" i="4"/>
  <c r="C17" i="4"/>
  <c r="B17" i="4"/>
  <c r="G18" i="5"/>
  <c r="F14" i="5"/>
  <c r="H14" i="5" s="1"/>
  <c r="B14" i="5"/>
  <c r="G12" i="5"/>
  <c r="R29" i="1"/>
  <c r="O25" i="1"/>
  <c r="O29" i="1" s="1"/>
  <c r="O10" i="1"/>
  <c r="O9" i="1"/>
  <c r="O21" i="1" s="1"/>
  <c r="O28" i="1" s="1"/>
  <c r="O6" i="1"/>
  <c r="O27" i="1" s="1"/>
  <c r="L25" i="1"/>
  <c r="L29" i="1" s="1"/>
  <c r="L10" i="1"/>
  <c r="L9" i="1"/>
  <c r="L21" i="1" s="1"/>
  <c r="L28" i="1" s="1"/>
  <c r="L6" i="1"/>
  <c r="L27" i="1" s="1"/>
  <c r="I25" i="1"/>
  <c r="I29" i="1" s="1"/>
  <c r="I10" i="1"/>
  <c r="I9" i="1"/>
  <c r="I21" i="1" s="1"/>
  <c r="I28" i="1" s="1"/>
  <c r="I6" i="1"/>
  <c r="I27" i="1" s="1"/>
  <c r="F25" i="1"/>
  <c r="F29" i="1" s="1"/>
  <c r="F10" i="1"/>
  <c r="F9" i="1"/>
  <c r="F6" i="1"/>
  <c r="F27" i="1" s="1"/>
  <c r="C25" i="1"/>
  <c r="C29" i="1" s="1"/>
  <c r="C10" i="1"/>
  <c r="C9" i="1"/>
  <c r="C6" i="1"/>
  <c r="C27" i="1" s="1"/>
  <c r="AJ25" i="1"/>
  <c r="AJ29" i="1" s="1"/>
  <c r="AJ10" i="1"/>
  <c r="AJ9" i="1"/>
  <c r="AJ21" i="1" s="1"/>
  <c r="AJ28" i="1" s="1"/>
  <c r="AJ6" i="1"/>
  <c r="AJ27" i="1" s="1"/>
  <c r="AG25" i="1"/>
  <c r="AG29" i="1" s="1"/>
  <c r="AG10" i="1"/>
  <c r="AG9" i="1"/>
  <c r="AG21" i="1" s="1"/>
  <c r="AG28" i="1" s="1"/>
  <c r="AG6" i="1"/>
  <c r="AG27" i="1" s="1"/>
  <c r="AG30" i="1" s="1"/>
  <c r="AD25" i="1"/>
  <c r="AD29" i="1" s="1"/>
  <c r="AD10" i="1"/>
  <c r="AD9" i="1"/>
  <c r="AD21" i="1" s="1"/>
  <c r="AD28" i="1" s="1"/>
  <c r="AD6" i="1"/>
  <c r="AD27" i="1" s="1"/>
  <c r="AA25" i="1"/>
  <c r="AA29" i="1" s="1"/>
  <c r="AA10" i="1"/>
  <c r="AA9" i="1"/>
  <c r="AA21" i="1" s="1"/>
  <c r="AA28" i="1" s="1"/>
  <c r="AA6" i="1"/>
  <c r="AA27" i="1" s="1"/>
  <c r="AA30" i="1" s="1"/>
  <c r="X25" i="1"/>
  <c r="X29" i="1" s="1"/>
  <c r="X10" i="1"/>
  <c r="X9" i="1"/>
  <c r="X6" i="1"/>
  <c r="X27" i="1" s="1"/>
  <c r="U25" i="1"/>
  <c r="U29" i="1" s="1"/>
  <c r="U10" i="1"/>
  <c r="U21" i="1"/>
  <c r="U28" i="1" s="1"/>
  <c r="U6" i="1"/>
  <c r="U27" i="1" s="1"/>
  <c r="R25" i="1"/>
  <c r="R6" i="1"/>
  <c r="R27" i="1" s="1"/>
  <c r="R10" i="1"/>
  <c r="R9" i="1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43" i="2"/>
  <c r="E43" i="2"/>
  <c r="F9" i="5"/>
  <c r="G9" i="5" s="1"/>
  <c r="H9" i="5" s="1"/>
  <c r="F8" i="5"/>
  <c r="G8" i="5" s="1"/>
  <c r="H8" i="5" s="1"/>
  <c r="F7" i="5"/>
  <c r="G7" i="5" s="1"/>
  <c r="H7" i="5" s="1"/>
  <c r="F6" i="5"/>
  <c r="G6" i="5" s="1"/>
  <c r="H6" i="5" s="1"/>
  <c r="F12" i="5"/>
  <c r="H12" i="5" s="1"/>
  <c r="F2" i="5"/>
  <c r="G2" i="5" s="1"/>
  <c r="H2" i="5" s="1"/>
  <c r="D4" i="6" l="1"/>
  <c r="B5" i="6"/>
  <c r="E5" i="6" s="1"/>
  <c r="B15" i="5"/>
  <c r="F15" i="5" s="1"/>
  <c r="B48" i="4"/>
  <c r="D48" i="4" s="1"/>
  <c r="O30" i="1"/>
  <c r="L30" i="1"/>
  <c r="I30" i="1"/>
  <c r="F21" i="1"/>
  <c r="F28" i="1" s="1"/>
  <c r="F30" i="1" s="1"/>
  <c r="C21" i="1"/>
  <c r="C28" i="1" s="1"/>
  <c r="C30" i="1" s="1"/>
  <c r="AJ30" i="1"/>
  <c r="AD30" i="1"/>
  <c r="X21" i="1"/>
  <c r="X28" i="1" s="1"/>
  <c r="X30" i="1" s="1"/>
  <c r="U30" i="1"/>
  <c r="R21" i="1"/>
  <c r="R28" i="1" s="1"/>
  <c r="R30" i="1" s="1"/>
  <c r="B1" i="4"/>
  <c r="C1" i="4" s="1"/>
  <c r="D1" i="4" s="1"/>
  <c r="E1" i="4" s="1"/>
  <c r="F1" i="4" s="1"/>
  <c r="G1" i="4" s="1"/>
  <c r="B6" i="6" l="1"/>
  <c r="E6" i="6" s="1"/>
  <c r="D5" i="6"/>
  <c r="H15" i="5"/>
  <c r="B16" i="5"/>
  <c r="D37" i="2"/>
  <c r="E37" i="2"/>
  <c r="D38" i="2"/>
  <c r="E38" i="2"/>
  <c r="D39" i="2"/>
  <c r="E39" i="2"/>
  <c r="D40" i="2"/>
  <c r="E40" i="2"/>
  <c r="D41" i="2"/>
  <c r="E41" i="2"/>
  <c r="D42" i="2"/>
  <c r="E42" i="2"/>
  <c r="D32" i="2"/>
  <c r="E32" i="2"/>
  <c r="D33" i="2"/>
  <c r="E33" i="2"/>
  <c r="D34" i="2"/>
  <c r="E34" i="2"/>
  <c r="D35" i="2"/>
  <c r="E35" i="2"/>
  <c r="D36" i="2"/>
  <c r="E36" i="2"/>
  <c r="D31" i="2"/>
  <c r="E31" i="2"/>
  <c r="D6" i="6" l="1"/>
  <c r="B7" i="6"/>
  <c r="E7" i="6" s="1"/>
  <c r="F16" i="5"/>
  <c r="H16" i="5" s="1"/>
  <c r="E30" i="2"/>
  <c r="D30" i="2"/>
  <c r="D7" i="6" l="1"/>
  <c r="B8" i="6"/>
  <c r="E8" i="6" s="1"/>
  <c r="B17" i="5"/>
  <c r="F17" i="5" s="1"/>
  <c r="H17" i="5" s="1"/>
  <c r="H18" i="5" s="1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C2" i="3"/>
  <c r="G2" i="3"/>
  <c r="B3" i="3"/>
  <c r="C3" i="3" s="1"/>
  <c r="F3" i="3"/>
  <c r="G3" i="3"/>
  <c r="B4" i="3"/>
  <c r="C4" i="3" s="1"/>
  <c r="F4" i="3"/>
  <c r="G4" i="3"/>
  <c r="B5" i="3"/>
  <c r="C5" i="3" s="1"/>
  <c r="F5" i="3"/>
  <c r="F6" i="3" s="1"/>
  <c r="G5" i="3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F7" i="3" l="1"/>
  <c r="G6" i="3"/>
  <c r="D8" i="6"/>
  <c r="B9" i="6"/>
  <c r="E9" i="6" s="1"/>
  <c r="D18" i="2"/>
  <c r="E18" i="2"/>
  <c r="D17" i="2"/>
  <c r="E17" i="2"/>
  <c r="C86" i="2"/>
  <c r="F8" i="3" l="1"/>
  <c r="G7" i="3"/>
  <c r="B10" i="6"/>
  <c r="E10" i="6" s="1"/>
  <c r="D9" i="6"/>
  <c r="AM24" i="1"/>
  <c r="AM20" i="1"/>
  <c r="AM19" i="1"/>
  <c r="AM18" i="1"/>
  <c r="AM17" i="1"/>
  <c r="AM16" i="1"/>
  <c r="AM15" i="1"/>
  <c r="AM14" i="1"/>
  <c r="AM13" i="1"/>
  <c r="AM12" i="1"/>
  <c r="AM11" i="1"/>
  <c r="AM5" i="1"/>
  <c r="AM4" i="1"/>
  <c r="F9" i="3" l="1"/>
  <c r="G8" i="3"/>
  <c r="B11" i="6"/>
  <c r="E11" i="6" s="1"/>
  <c r="D10" i="6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9" i="2"/>
  <c r="D3" i="2"/>
  <c r="V14" i="1" l="1"/>
  <c r="W14" i="1" s="1"/>
  <c r="Y13" i="1"/>
  <c r="Z13" i="1" s="1"/>
  <c r="V11" i="1"/>
  <c r="W11" i="1" s="1"/>
  <c r="AH24" i="1"/>
  <c r="AE12" i="1"/>
  <c r="AF12" i="1" s="1"/>
  <c r="S24" i="1"/>
  <c r="AE16" i="1"/>
  <c r="AF16" i="1" s="1"/>
  <c r="V9" i="1"/>
  <c r="Y4" i="1"/>
  <c r="AB9" i="1"/>
  <c r="AE10" i="1"/>
  <c r="AF10" i="1" s="1"/>
  <c r="AH14" i="1"/>
  <c r="AI14" i="1" s="1"/>
  <c r="AK13" i="1"/>
  <c r="AL13" i="1" s="1"/>
  <c r="D11" i="1"/>
  <c r="E11" i="1" s="1"/>
  <c r="G14" i="1"/>
  <c r="H14" i="1" s="1"/>
  <c r="J18" i="1"/>
  <c r="K18" i="1" s="1"/>
  <c r="M12" i="1"/>
  <c r="N12" i="1" s="1"/>
  <c r="P11" i="1"/>
  <c r="Q11" i="1" s="1"/>
  <c r="V4" i="1"/>
  <c r="Y5" i="1"/>
  <c r="Z5" i="1" s="1"/>
  <c r="Y20" i="1"/>
  <c r="Z20" i="1" s="1"/>
  <c r="AB20" i="1"/>
  <c r="AC20" i="1" s="1"/>
  <c r="AE19" i="1"/>
  <c r="AF19" i="1" s="1"/>
  <c r="AH18" i="1"/>
  <c r="AI18" i="1" s="1"/>
  <c r="D9" i="1"/>
  <c r="G4" i="1"/>
  <c r="J4" i="1"/>
  <c r="M13" i="1"/>
  <c r="N13" i="1" s="1"/>
  <c r="P12" i="1"/>
  <c r="Q12" i="1" s="1"/>
  <c r="AK15" i="1"/>
  <c r="AL15" i="1" s="1"/>
  <c r="D17" i="1"/>
  <c r="E17" i="1" s="1"/>
  <c r="G16" i="1"/>
  <c r="H16" i="1" s="1"/>
  <c r="J12" i="1"/>
  <c r="K12" i="1" s="1"/>
  <c r="M14" i="1"/>
  <c r="N14" i="1" s="1"/>
  <c r="P17" i="1"/>
  <c r="Q17" i="1" s="1"/>
  <c r="Y14" i="1"/>
  <c r="Z14" i="1" s="1"/>
  <c r="AB10" i="1"/>
  <c r="AC10" i="1" s="1"/>
  <c r="AE13" i="1"/>
  <c r="AF13" i="1" s="1"/>
  <c r="AH19" i="1"/>
  <c r="AI19" i="1" s="1"/>
  <c r="AK20" i="1"/>
  <c r="AL20" i="1" s="1"/>
  <c r="D24" i="1"/>
  <c r="J13" i="1"/>
  <c r="K13" i="1" s="1"/>
  <c r="M15" i="1"/>
  <c r="N15" i="1" s="1"/>
  <c r="S14" i="1"/>
  <c r="T14" i="1" s="1"/>
  <c r="S19" i="1"/>
  <c r="T19" i="1" s="1"/>
  <c r="S18" i="1"/>
  <c r="T18" i="1" s="1"/>
  <c r="S12" i="1"/>
  <c r="T12" i="1" s="1"/>
  <c r="G17" i="1"/>
  <c r="H17" i="1" s="1"/>
  <c r="P10" i="1"/>
  <c r="Q10" i="1" s="1"/>
  <c r="S11" i="1"/>
  <c r="T11" i="1" s="1"/>
  <c r="AK16" i="1"/>
  <c r="AL16" i="1" s="1"/>
  <c r="M11" i="1"/>
  <c r="N11" i="1" s="1"/>
  <c r="V5" i="1"/>
  <c r="W5" i="1" s="1"/>
  <c r="AH16" i="1"/>
  <c r="AI16" i="1" s="1"/>
  <c r="AE20" i="1"/>
  <c r="AF20" i="1" s="1"/>
  <c r="P18" i="1"/>
  <c r="Q18" i="1" s="1"/>
  <c r="AH5" i="1"/>
  <c r="AI5" i="1" s="1"/>
  <c r="S9" i="1"/>
  <c r="AH12" i="1"/>
  <c r="AI12" i="1" s="1"/>
  <c r="V12" i="1"/>
  <c r="W12" i="1" s="1"/>
  <c r="Y11" i="1"/>
  <c r="Z11" i="1" s="1"/>
  <c r="AB11" i="1"/>
  <c r="AC11" i="1" s="1"/>
  <c r="AE14" i="1"/>
  <c r="AF14" i="1" s="1"/>
  <c r="AH17" i="1"/>
  <c r="AI17" i="1" s="1"/>
  <c r="AK17" i="1"/>
  <c r="AL17" i="1" s="1"/>
  <c r="D15" i="1"/>
  <c r="E15" i="1" s="1"/>
  <c r="G18" i="1"/>
  <c r="H18" i="1" s="1"/>
  <c r="J24" i="1"/>
  <c r="M16" i="1"/>
  <c r="N16" i="1" s="1"/>
  <c r="P15" i="1"/>
  <c r="Q15" i="1" s="1"/>
  <c r="V13" i="1"/>
  <c r="W13" i="1" s="1"/>
  <c r="Y9" i="1"/>
  <c r="AB4" i="1"/>
  <c r="AE4" i="1"/>
  <c r="AH4" i="1"/>
  <c r="AK10" i="1"/>
  <c r="AL10" i="1" s="1"/>
  <c r="D12" i="1"/>
  <c r="E12" i="1" s="1"/>
  <c r="G11" i="1"/>
  <c r="H11" i="1" s="1"/>
  <c r="J11" i="1"/>
  <c r="K11" i="1" s="1"/>
  <c r="M17" i="1"/>
  <c r="N17" i="1" s="1"/>
  <c r="P16" i="1"/>
  <c r="Q16" i="1" s="1"/>
  <c r="AK19" i="1"/>
  <c r="AL19" i="1" s="1"/>
  <c r="G5" i="1"/>
  <c r="H5" i="1" s="1"/>
  <c r="G20" i="1"/>
  <c r="H20" i="1" s="1"/>
  <c r="J16" i="1"/>
  <c r="K16" i="1" s="1"/>
  <c r="M18" i="1"/>
  <c r="N18" i="1" s="1"/>
  <c r="P24" i="1"/>
  <c r="Y18" i="1"/>
  <c r="Z18" i="1" s="1"/>
  <c r="AB14" i="1"/>
  <c r="AC14" i="1" s="1"/>
  <c r="AE17" i="1"/>
  <c r="AF17" i="1" s="1"/>
  <c r="AK9" i="1"/>
  <c r="D10" i="1"/>
  <c r="E10" i="1" s="1"/>
  <c r="G13" i="1"/>
  <c r="H13" i="1" s="1"/>
  <c r="J17" i="1"/>
  <c r="K17" i="1" s="1"/>
  <c r="M19" i="1"/>
  <c r="N19" i="1" s="1"/>
  <c r="M4" i="1"/>
  <c r="AH13" i="1"/>
  <c r="AI13" i="1" s="1"/>
  <c r="G24" i="1"/>
  <c r="P14" i="1"/>
  <c r="Q14" i="1" s="1"/>
  <c r="S13" i="1"/>
  <c r="T13" i="1" s="1"/>
  <c r="AE9" i="1"/>
  <c r="V10" i="1"/>
  <c r="W10" i="1" s="1"/>
  <c r="V15" i="1"/>
  <c r="W15" i="1" s="1"/>
  <c r="AH9" i="1"/>
  <c r="V18" i="1"/>
  <c r="W18" i="1" s="1"/>
  <c r="S10" i="1"/>
  <c r="T10" i="1" s="1"/>
  <c r="V16" i="1"/>
  <c r="W16" i="1" s="1"/>
  <c r="Y15" i="1"/>
  <c r="Z15" i="1" s="1"/>
  <c r="AB15" i="1"/>
  <c r="AC15" i="1" s="1"/>
  <c r="AE18" i="1"/>
  <c r="AF18" i="1" s="1"/>
  <c r="AH20" i="1"/>
  <c r="AI20" i="1" s="1"/>
  <c r="AK24" i="1"/>
  <c r="D19" i="1"/>
  <c r="E19" i="1" s="1"/>
  <c r="J10" i="1"/>
  <c r="K10" i="1" s="1"/>
  <c r="M5" i="1"/>
  <c r="N5" i="1" s="1"/>
  <c r="M20" i="1"/>
  <c r="N20" i="1" s="1"/>
  <c r="P19" i="1"/>
  <c r="Q19" i="1" s="1"/>
  <c r="V17" i="1"/>
  <c r="W17" i="1" s="1"/>
  <c r="Y12" i="1"/>
  <c r="Z12" i="1" s="1"/>
  <c r="AB12" i="1"/>
  <c r="AC12" i="1" s="1"/>
  <c r="AE11" i="1"/>
  <c r="AF11" i="1" s="1"/>
  <c r="AH11" i="1"/>
  <c r="AI11" i="1" s="1"/>
  <c r="AK14" i="1"/>
  <c r="AL14" i="1" s="1"/>
  <c r="D16" i="1"/>
  <c r="E16" i="1" s="1"/>
  <c r="G15" i="1"/>
  <c r="H15" i="1" s="1"/>
  <c r="J15" i="1"/>
  <c r="K15" i="1" s="1"/>
  <c r="P5" i="1"/>
  <c r="Q5" i="1" s="1"/>
  <c r="P20" i="1"/>
  <c r="Q20" i="1" s="1"/>
  <c r="D4" i="1"/>
  <c r="G9" i="1"/>
  <c r="J5" i="1"/>
  <c r="K5" i="1" s="1"/>
  <c r="J20" i="1"/>
  <c r="K20" i="1" s="1"/>
  <c r="M24" i="1"/>
  <c r="V19" i="1"/>
  <c r="W19" i="1" s="1"/>
  <c r="Y24" i="1"/>
  <c r="AB18" i="1"/>
  <c r="AC18" i="1" s="1"/>
  <c r="AE24" i="1"/>
  <c r="AK12" i="1"/>
  <c r="AL12" i="1" s="1"/>
  <c r="D14" i="1"/>
  <c r="E14" i="1" s="1"/>
  <c r="S16" i="1"/>
  <c r="T16" i="1" s="1"/>
  <c r="D18" i="1"/>
  <c r="E18" i="1" s="1"/>
  <c r="S15" i="1"/>
  <c r="T15" i="1" s="1"/>
  <c r="AK5" i="1"/>
  <c r="AL5" i="1" s="1"/>
  <c r="Y17" i="1"/>
  <c r="Z17" i="1" s="1"/>
  <c r="AE5" i="1"/>
  <c r="AF5" i="1" s="1"/>
  <c r="AB13" i="1"/>
  <c r="AC13" i="1" s="1"/>
  <c r="S20" i="1"/>
  <c r="T20" i="1" s="1"/>
  <c r="AB17" i="1"/>
  <c r="AC17" i="1" s="1"/>
  <c r="S4" i="1"/>
  <c r="V20" i="1"/>
  <c r="W20" i="1" s="1"/>
  <c r="Y19" i="1"/>
  <c r="Z19" i="1" s="1"/>
  <c r="AB19" i="1"/>
  <c r="AC19" i="1" s="1"/>
  <c r="AH10" i="1"/>
  <c r="AI10" i="1" s="1"/>
  <c r="AK4" i="1"/>
  <c r="D5" i="1"/>
  <c r="E5" i="1" s="1"/>
  <c r="G10" i="1"/>
  <c r="H10" i="1" s="1"/>
  <c r="J14" i="1"/>
  <c r="K14" i="1" s="1"/>
  <c r="M9" i="1"/>
  <c r="P4" i="1"/>
  <c r="S5" i="1"/>
  <c r="T5" i="1" s="1"/>
  <c r="V24" i="1"/>
  <c r="Y16" i="1"/>
  <c r="Z16" i="1" s="1"/>
  <c r="AB16" i="1"/>
  <c r="AC16" i="1" s="1"/>
  <c r="AO16" i="1" s="1"/>
  <c r="AE15" i="1"/>
  <c r="AF15" i="1" s="1"/>
  <c r="AO15" i="1" s="1"/>
  <c r="AH15" i="1"/>
  <c r="AI15" i="1" s="1"/>
  <c r="AK18" i="1"/>
  <c r="AL18" i="1" s="1"/>
  <c r="D20" i="1"/>
  <c r="E20" i="1" s="1"/>
  <c r="AO20" i="1" s="1"/>
  <c r="G19" i="1"/>
  <c r="H19" i="1" s="1"/>
  <c r="AO19" i="1" s="1"/>
  <c r="J19" i="1"/>
  <c r="K19" i="1" s="1"/>
  <c r="P9" i="1"/>
  <c r="AK11" i="1"/>
  <c r="AL11" i="1" s="1"/>
  <c r="D13" i="1"/>
  <c r="E13" i="1" s="1"/>
  <c r="AO13" i="1" s="1"/>
  <c r="G12" i="1"/>
  <c r="H12" i="1" s="1"/>
  <c r="J9" i="1"/>
  <c r="M10" i="1"/>
  <c r="N10" i="1" s="1"/>
  <c r="P13" i="1"/>
  <c r="Q13" i="1" s="1"/>
  <c r="Y10" i="1"/>
  <c r="Z10" i="1" s="1"/>
  <c r="AB5" i="1"/>
  <c r="AC5" i="1" s="1"/>
  <c r="AB24" i="1"/>
  <c r="S17" i="1"/>
  <c r="T17" i="1" s="1"/>
  <c r="AO17" i="1" s="1"/>
  <c r="F10" i="3"/>
  <c r="G9" i="3"/>
  <c r="B12" i="6"/>
  <c r="E12" i="6" s="1"/>
  <c r="D11" i="6"/>
  <c r="AM10" i="1"/>
  <c r="AM9" i="1"/>
  <c r="AM27" i="1"/>
  <c r="AM6" i="1"/>
  <c r="AM29" i="1"/>
  <c r="AM25" i="1"/>
  <c r="AN11" i="1"/>
  <c r="AO11" i="1"/>
  <c r="AN10" i="1"/>
  <c r="AN24" i="1"/>
  <c r="AN5" i="1"/>
  <c r="AO5" i="1"/>
  <c r="AO12" i="1"/>
  <c r="AN12" i="1"/>
  <c r="AO14" i="1"/>
  <c r="AN14" i="1"/>
  <c r="AN4" i="1"/>
  <c r="AN18" i="1"/>
  <c r="AO18" i="1"/>
  <c r="AN9" i="1"/>
  <c r="AN16" i="1"/>
  <c r="AK25" i="1" l="1"/>
  <c r="AK29" i="1" s="1"/>
  <c r="AL24" i="1"/>
  <c r="AL25" i="1" s="1"/>
  <c r="AL29" i="1" s="1"/>
  <c r="AI9" i="1"/>
  <c r="AI21" i="1" s="1"/>
  <c r="AI28" i="1" s="1"/>
  <c r="AH21" i="1"/>
  <c r="AH28" i="1" s="1"/>
  <c r="AH30" i="1" s="1"/>
  <c r="AI30" i="1" s="1"/>
  <c r="M6" i="1"/>
  <c r="M27" i="1" s="1"/>
  <c r="N4" i="1"/>
  <c r="N6" i="1" s="1"/>
  <c r="N27" i="1" s="1"/>
  <c r="Z9" i="1"/>
  <c r="Z21" i="1" s="1"/>
  <c r="Z28" i="1" s="1"/>
  <c r="Y21" i="1"/>
  <c r="Y28" i="1" s="1"/>
  <c r="K24" i="1"/>
  <c r="K25" i="1" s="1"/>
  <c r="K29" i="1" s="1"/>
  <c r="J25" i="1"/>
  <c r="J29" i="1" s="1"/>
  <c r="W9" i="1"/>
  <c r="W21" i="1" s="1"/>
  <c r="W28" i="1" s="1"/>
  <c r="V21" i="1"/>
  <c r="V28" i="1" s="1"/>
  <c r="AH25" i="1"/>
  <c r="AH29" i="1" s="1"/>
  <c r="AI24" i="1"/>
  <c r="AI25" i="1" s="1"/>
  <c r="AI29" i="1" s="1"/>
  <c r="AB25" i="1"/>
  <c r="AB29" i="1" s="1"/>
  <c r="AC24" i="1"/>
  <c r="AC25" i="1" s="1"/>
  <c r="AC29" i="1" s="1"/>
  <c r="Q4" i="1"/>
  <c r="Q6" i="1" s="1"/>
  <c r="Q27" i="1" s="1"/>
  <c r="P6" i="1"/>
  <c r="P27" i="1" s="1"/>
  <c r="Y25" i="1"/>
  <c r="Y29" i="1" s="1"/>
  <c r="Z24" i="1"/>
  <c r="Z25" i="1" s="1"/>
  <c r="Z29" i="1" s="1"/>
  <c r="AL9" i="1"/>
  <c r="AL21" i="1" s="1"/>
  <c r="AL28" i="1" s="1"/>
  <c r="AK21" i="1"/>
  <c r="AK28" i="1" s="1"/>
  <c r="P25" i="1"/>
  <c r="P29" i="1" s="1"/>
  <c r="Q24" i="1"/>
  <c r="Q25" i="1" s="1"/>
  <c r="Q29" i="1" s="1"/>
  <c r="AH6" i="1"/>
  <c r="AH27" i="1" s="1"/>
  <c r="AI4" i="1"/>
  <c r="AI6" i="1" s="1"/>
  <c r="AI27" i="1" s="1"/>
  <c r="K4" i="1"/>
  <c r="K6" i="1" s="1"/>
  <c r="K27" i="1" s="1"/>
  <c r="J6" i="1"/>
  <c r="J27" i="1" s="1"/>
  <c r="W4" i="1"/>
  <c r="W6" i="1" s="1"/>
  <c r="W27" i="1" s="1"/>
  <c r="V6" i="1"/>
  <c r="V27" i="1" s="1"/>
  <c r="V30" i="1" s="1"/>
  <c r="W30" i="1" s="1"/>
  <c r="K9" i="1"/>
  <c r="K21" i="1" s="1"/>
  <c r="K28" i="1" s="1"/>
  <c r="J21" i="1"/>
  <c r="J28" i="1" s="1"/>
  <c r="Q9" i="1"/>
  <c r="Q21" i="1" s="1"/>
  <c r="Q28" i="1" s="1"/>
  <c r="P21" i="1"/>
  <c r="P28" i="1" s="1"/>
  <c r="N9" i="1"/>
  <c r="N21" i="1" s="1"/>
  <c r="N28" i="1" s="1"/>
  <c r="M21" i="1"/>
  <c r="M28" i="1" s="1"/>
  <c r="AL4" i="1"/>
  <c r="AL6" i="1" s="1"/>
  <c r="AL27" i="1" s="1"/>
  <c r="AK6" i="1"/>
  <c r="AK27" i="1" s="1"/>
  <c r="AK30" i="1" s="1"/>
  <c r="AL30" i="1" s="1"/>
  <c r="G21" i="1"/>
  <c r="G28" i="1" s="1"/>
  <c r="H9" i="1"/>
  <c r="H21" i="1" s="1"/>
  <c r="H28" i="1" s="1"/>
  <c r="G25" i="1"/>
  <c r="G29" i="1" s="1"/>
  <c r="H24" i="1"/>
  <c r="H25" i="1" s="1"/>
  <c r="H29" i="1" s="1"/>
  <c r="AF4" i="1"/>
  <c r="AF6" i="1" s="1"/>
  <c r="AF27" i="1" s="1"/>
  <c r="AE6" i="1"/>
  <c r="AE27" i="1" s="1"/>
  <c r="T9" i="1"/>
  <c r="T21" i="1" s="1"/>
  <c r="T28" i="1" s="1"/>
  <c r="S21" i="1"/>
  <c r="S28" i="1" s="1"/>
  <c r="H4" i="1"/>
  <c r="H6" i="1" s="1"/>
  <c r="H27" i="1" s="1"/>
  <c r="G6" i="1"/>
  <c r="G27" i="1" s="1"/>
  <c r="G30" i="1" s="1"/>
  <c r="H30" i="1" s="1"/>
  <c r="AB21" i="1"/>
  <c r="AB28" i="1" s="1"/>
  <c r="AC9" i="1"/>
  <c r="AC21" i="1" s="1"/>
  <c r="AC28" i="1" s="1"/>
  <c r="S25" i="1"/>
  <c r="S29" i="1" s="1"/>
  <c r="T24" i="1"/>
  <c r="T25" i="1" s="1"/>
  <c r="T29" i="1" s="1"/>
  <c r="AN13" i="1"/>
  <c r="AN17" i="1"/>
  <c r="AN20" i="1"/>
  <c r="AN15" i="1"/>
  <c r="AN19" i="1"/>
  <c r="F11" i="3"/>
  <c r="G10" i="3"/>
  <c r="W24" i="1"/>
  <c r="W25" i="1" s="1"/>
  <c r="W29" i="1" s="1"/>
  <c r="V25" i="1"/>
  <c r="V29" i="1" s="1"/>
  <c r="T4" i="1"/>
  <c r="T6" i="1" s="1"/>
  <c r="T27" i="1" s="1"/>
  <c r="S6" i="1"/>
  <c r="S27" i="1" s="1"/>
  <c r="S30" i="1" s="1"/>
  <c r="T30" i="1" s="1"/>
  <c r="AE25" i="1"/>
  <c r="AE29" i="1" s="1"/>
  <c r="AF24" i="1"/>
  <c r="AF25" i="1" s="1"/>
  <c r="AF29" i="1" s="1"/>
  <c r="M25" i="1"/>
  <c r="M29" i="1" s="1"/>
  <c r="N24" i="1"/>
  <c r="N25" i="1" s="1"/>
  <c r="N29" i="1" s="1"/>
  <c r="D6" i="1"/>
  <c r="D27" i="1" s="1"/>
  <c r="E4" i="1"/>
  <c r="AF9" i="1"/>
  <c r="AF21" i="1" s="1"/>
  <c r="AF28" i="1" s="1"/>
  <c r="AE21" i="1"/>
  <c r="AE28" i="1" s="1"/>
  <c r="AE30" i="1" s="1"/>
  <c r="AF30" i="1" s="1"/>
  <c r="AB6" i="1"/>
  <c r="AB27" i="1" s="1"/>
  <c r="AB30" i="1" s="1"/>
  <c r="AC30" i="1" s="1"/>
  <c r="AC4" i="1"/>
  <c r="AC6" i="1" s="1"/>
  <c r="AC27" i="1" s="1"/>
  <c r="D25" i="1"/>
  <c r="D29" i="1" s="1"/>
  <c r="E24" i="1"/>
  <c r="E25" i="1" s="1"/>
  <c r="E29" i="1" s="1"/>
  <c r="E9" i="1"/>
  <c r="E21" i="1" s="1"/>
  <c r="E28" i="1" s="1"/>
  <c r="D21" i="1"/>
  <c r="D28" i="1" s="1"/>
  <c r="Z4" i="1"/>
  <c r="Z6" i="1" s="1"/>
  <c r="Z27" i="1" s="1"/>
  <c r="Y6" i="1"/>
  <c r="Y27" i="1" s="1"/>
  <c r="Y30" i="1" s="1"/>
  <c r="Z30" i="1" s="1"/>
  <c r="B13" i="6"/>
  <c r="E13" i="6" s="1"/>
  <c r="D12" i="6"/>
  <c r="AO10" i="1"/>
  <c r="AO24" i="1"/>
  <c r="AN25" i="1"/>
  <c r="D30" i="1" l="1"/>
  <c r="E30" i="1" s="1"/>
  <c r="M30" i="1"/>
  <c r="N30" i="1" s="1"/>
  <c r="J30" i="1"/>
  <c r="K30" i="1" s="1"/>
  <c r="AN21" i="1"/>
  <c r="AO9" i="1"/>
  <c r="F12" i="3"/>
  <c r="G11" i="3"/>
  <c r="P30" i="1"/>
  <c r="Q30" i="1" s="1"/>
  <c r="AN6" i="1"/>
  <c r="E6" i="1"/>
  <c r="E27" i="1" s="1"/>
  <c r="AO4" i="1"/>
  <c r="B14" i="6"/>
  <c r="E14" i="6" s="1"/>
  <c r="D13" i="6"/>
  <c r="AM21" i="1"/>
  <c r="AO6" i="1"/>
  <c r="AO25" i="1"/>
  <c r="AN27" i="1"/>
  <c r="AO27" i="1"/>
  <c r="AO29" i="1"/>
  <c r="AN29" i="1"/>
  <c r="AN28" i="1"/>
  <c r="F13" i="3" l="1"/>
  <c r="G13" i="3" s="1"/>
  <c r="G12" i="3"/>
  <c r="B15" i="6"/>
  <c r="E15" i="6" s="1"/>
  <c r="D14" i="6"/>
  <c r="AM30" i="1"/>
  <c r="AO21" i="1"/>
  <c r="AO28" i="1"/>
  <c r="AM28" i="1"/>
  <c r="AN30" i="1"/>
  <c r="B16" i="6" l="1"/>
  <c r="E16" i="6" s="1"/>
  <c r="D15" i="6"/>
  <c r="AO30" i="1"/>
  <c r="B17" i="6" l="1"/>
  <c r="E17" i="6" s="1"/>
  <c r="D16" i="6"/>
  <c r="B18" i="6" l="1"/>
  <c r="E18" i="6" s="1"/>
  <c r="D17" i="6"/>
  <c r="B19" i="6" l="1"/>
  <c r="E19" i="6" s="1"/>
  <c r="D18" i="6"/>
  <c r="B20" i="6" l="1"/>
  <c r="E20" i="6" s="1"/>
  <c r="D19" i="6"/>
  <c r="B21" i="6" l="1"/>
  <c r="E21" i="6" s="1"/>
  <c r="D20" i="6"/>
  <c r="B22" i="6" l="1"/>
  <c r="E22" i="6" s="1"/>
  <c r="D22" i="6" s="1"/>
  <c r="D21" i="6"/>
</calcChain>
</file>

<file path=xl/sharedStrings.xml><?xml version="1.0" encoding="utf-8"?>
<sst xmlns="http://schemas.openxmlformats.org/spreadsheetml/2006/main" count="346" uniqueCount="158">
  <si>
    <t>Income</t>
  </si>
  <si>
    <t>Gas</t>
  </si>
  <si>
    <t>Electricity</t>
  </si>
  <si>
    <t>Sewer</t>
  </si>
  <si>
    <t>Trash</t>
  </si>
  <si>
    <t>Internet</t>
  </si>
  <si>
    <t>Phone/Communication</t>
  </si>
  <si>
    <t>Savings</t>
  </si>
  <si>
    <t>Budget</t>
  </si>
  <si>
    <t>Actual</t>
  </si>
  <si>
    <t>Tithes and Offerings</t>
  </si>
  <si>
    <t>Grocery</t>
  </si>
  <si>
    <t>Insurance</t>
  </si>
  <si>
    <t>Tax</t>
  </si>
  <si>
    <t>Entertainment</t>
  </si>
  <si>
    <t>Expenses Total</t>
  </si>
  <si>
    <t>Savings Total</t>
  </si>
  <si>
    <t>Income Total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</si>
  <si>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</si>
  <si>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</si>
  <si>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</si>
  <si>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</si>
  <si>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</si>
  <si>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</si>
  <si>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</si>
  <si>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</si>
  <si>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</si>
  <si>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</si>
  <si>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</si>
  <si>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</si>
  <si>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Expenses</t>
  </si>
  <si>
    <t>Wages</t>
  </si>
  <si>
    <t>Other</t>
  </si>
  <si>
    <t>Sub Total</t>
  </si>
  <si>
    <t>Balance (should be 0)</t>
  </si>
  <si>
    <t>Budget 2019</t>
  </si>
  <si>
    <t>Code</t>
  </si>
  <si>
    <t>Expense Tracker</t>
  </si>
  <si>
    <t>Value</t>
  </si>
  <si>
    <t>Date</t>
  </si>
  <si>
    <t>1100-00</t>
  </si>
  <si>
    <t>1000-00</t>
  </si>
  <si>
    <t>2000-00</t>
  </si>
  <si>
    <t>2101-00</t>
  </si>
  <si>
    <t>2002-00</t>
  </si>
  <si>
    <t>2003-00</t>
  </si>
  <si>
    <t>2004-00</t>
  </si>
  <si>
    <t>2005-00</t>
  </si>
  <si>
    <t>2006-00</t>
  </si>
  <si>
    <t>2100-00</t>
  </si>
  <si>
    <t>2108-00</t>
  </si>
  <si>
    <t>2009-00</t>
  </si>
  <si>
    <t>2010-00</t>
  </si>
  <si>
    <t>2111-00</t>
  </si>
  <si>
    <t>3100-00</t>
  </si>
  <si>
    <t>Base Account</t>
  </si>
  <si>
    <t>Month</t>
  </si>
  <si>
    <t>2000-01</t>
  </si>
  <si>
    <t>3100-01</t>
  </si>
  <si>
    <t>Automotive</t>
  </si>
  <si>
    <t>3100-02</t>
  </si>
  <si>
    <t>Retirement</t>
  </si>
  <si>
    <t>2101-01</t>
  </si>
  <si>
    <t>Tithing</t>
  </si>
  <si>
    <t>2101-02</t>
  </si>
  <si>
    <t>Offerings</t>
  </si>
  <si>
    <t>2002-01</t>
  </si>
  <si>
    <t>Housing</t>
  </si>
  <si>
    <t>Rent 6553 S</t>
  </si>
  <si>
    <t>3100-03</t>
  </si>
  <si>
    <t>Budget VS Actual</t>
  </si>
  <si>
    <t>Annual</t>
  </si>
  <si>
    <t>Budget Total</t>
  </si>
  <si>
    <t>Actual Total</t>
  </si>
  <si>
    <t>Difference</t>
  </si>
  <si>
    <t>Total</t>
  </si>
  <si>
    <t>2000-001</t>
  </si>
  <si>
    <t>FITW</t>
  </si>
  <si>
    <t>ID</t>
  </si>
  <si>
    <t>MED</t>
  </si>
  <si>
    <t>SS</t>
  </si>
  <si>
    <t>2000-02</t>
  </si>
  <si>
    <t>2000-03</t>
  </si>
  <si>
    <t>2000-04</t>
  </si>
  <si>
    <t>2010-01</t>
  </si>
  <si>
    <t>Group Term Life</t>
  </si>
  <si>
    <t>Flex Spending</t>
  </si>
  <si>
    <t>Med Ins</t>
  </si>
  <si>
    <t>Dental Ins</t>
  </si>
  <si>
    <t>2010-02</t>
  </si>
  <si>
    <t>2010-03</t>
  </si>
  <si>
    <t>2010-04</t>
  </si>
  <si>
    <t>2111-01</t>
  </si>
  <si>
    <t>NetFlix</t>
  </si>
  <si>
    <t>Hulu</t>
  </si>
  <si>
    <t>Univision</t>
  </si>
  <si>
    <t>2111-02</t>
  </si>
  <si>
    <t>2111-03</t>
  </si>
  <si>
    <t>Utilities</t>
  </si>
  <si>
    <t>Checking</t>
  </si>
  <si>
    <t>3100-04</t>
  </si>
  <si>
    <t>3100-05</t>
  </si>
  <si>
    <t>Cash</t>
  </si>
  <si>
    <t>12th Year</t>
  </si>
  <si>
    <t>11th Year</t>
  </si>
  <si>
    <t>10th Year</t>
  </si>
  <si>
    <t>9th Year</t>
  </si>
  <si>
    <t>8th Year</t>
  </si>
  <si>
    <t>7th Year</t>
  </si>
  <si>
    <t>6th Year</t>
  </si>
  <si>
    <t>5th Year</t>
  </si>
  <si>
    <t>4th Year</t>
  </si>
  <si>
    <t>3rd Year</t>
  </si>
  <si>
    <t>2nd Year</t>
  </si>
  <si>
    <t>1st Year</t>
  </si>
  <si>
    <t>Ending Balance</t>
  </si>
  <si>
    <t>Beginning Balance</t>
  </si>
  <si>
    <t>Time</t>
  </si>
  <si>
    <t>2112-00</t>
  </si>
  <si>
    <t>2010-05</t>
  </si>
  <si>
    <t>Rental</t>
  </si>
  <si>
    <t>2010-06</t>
  </si>
  <si>
    <t>Price</t>
  </si>
  <si>
    <t>Number of Years</t>
  </si>
  <si>
    <t>Interest Rate</t>
  </si>
  <si>
    <t>PMT</t>
  </si>
  <si>
    <t>Payments / year</t>
  </si>
  <si>
    <t>Accent</t>
  </si>
  <si>
    <t>F150</t>
  </si>
  <si>
    <t>Silverado</t>
  </si>
  <si>
    <t>Sorento</t>
  </si>
  <si>
    <t>House</t>
  </si>
  <si>
    <t>FV</t>
  </si>
  <si>
    <t xml:space="preserve">Total paid </t>
  </si>
  <si>
    <t>rate</t>
  </si>
  <si>
    <t>Year</t>
  </si>
  <si>
    <t>Amount</t>
  </si>
  <si>
    <t>n</t>
  </si>
  <si>
    <t>Principle</t>
  </si>
  <si>
    <t>P</t>
  </si>
  <si>
    <t>r</t>
  </si>
  <si>
    <t>Y</t>
  </si>
  <si>
    <t>intrest paid</t>
  </si>
  <si>
    <t>Intrest earned</t>
  </si>
  <si>
    <t>Total paid</t>
  </si>
  <si>
    <t>Payment</t>
  </si>
  <si>
    <t>CD 12mo yr1</t>
  </si>
  <si>
    <t>cd 12mo yr2</t>
  </si>
  <si>
    <t>CD 12mo yr3</t>
  </si>
  <si>
    <t>CD 12mo yr4</t>
  </si>
  <si>
    <t>Add 5000 to total and start new CD</t>
  </si>
  <si>
    <t>Start CD with 2000</t>
  </si>
  <si>
    <t>Starting value</t>
  </si>
  <si>
    <t>Ending Value</t>
  </si>
  <si>
    <t xml:space="preserve">Additional </t>
  </si>
  <si>
    <t>Interest</t>
  </si>
  <si>
    <t>Beginnng Balance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</si>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</sst>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44" fontId="0" fillId="0" borderId="0" xfId="1" applyFont="1"/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3" xfId="1" applyFont="1" applyBorder="1"/>
    <xf numFmtId="44" fontId="0" fillId="0" borderId="7" xfId="1" applyFont="1" applyBorder="1"/>
    <xf numFmtId="0" fontId="2" fillId="0" borderId="0" xfId="0" applyFont="1"/>
    <xf numFmtId="0" fontId="5" fillId="0" borderId="0" xfId="0" applyFont="1"/>
    <xf numFmtId="44" fontId="4" fillId="0" borderId="1" xfId="1" applyFont="1" applyBorder="1"/>
    <xf numFmtId="0" fontId="0" fillId="0" borderId="8" xfId="0" applyBorder="1"/>
    <xf numFmtId="14" fontId="0" fillId="0" borderId="8" xfId="0" applyNumberFormat="1" applyBorder="1"/>
    <xf numFmtId="44" fontId="0" fillId="0" borderId="8" xfId="1" applyFont="1" applyBorder="1"/>
    <xf numFmtId="44" fontId="4" fillId="0" borderId="2" xfId="1" applyFont="1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44" fontId="0" fillId="0" borderId="16" xfId="1" applyFont="1" applyBorder="1"/>
    <xf numFmtId="44" fontId="4" fillId="0" borderId="17" xfId="1" applyFont="1" applyBorder="1"/>
    <xf numFmtId="44" fontId="0" fillId="0" borderId="19" xfId="1" applyFont="1" applyBorder="1"/>
    <xf numFmtId="44" fontId="0" fillId="0" borderId="20" xfId="1" applyFont="1" applyBorder="1"/>
    <xf numFmtId="44" fontId="0" fillId="0" borderId="0" xfId="1" applyFont="1" applyBorder="1"/>
    <xf numFmtId="0" fontId="0" fillId="0" borderId="0" xfId="0" applyBorder="1"/>
    <xf numFmtId="0" fontId="0" fillId="2" borderId="0" xfId="0" applyFill="1"/>
    <xf numFmtId="0" fontId="0" fillId="3" borderId="10" xfId="0" applyFill="1" applyBorder="1"/>
    <xf numFmtId="0" fontId="0" fillId="3" borderId="11" xfId="0" applyFill="1" applyBorder="1"/>
    <xf numFmtId="0" fontId="4" fillId="3" borderId="12" xfId="0" applyFont="1" applyFill="1" applyBorder="1"/>
    <xf numFmtId="0" fontId="0" fillId="3" borderId="18" xfId="0" applyFill="1" applyBorder="1"/>
    <xf numFmtId="0" fontId="0" fillId="3" borderId="21" xfId="0" applyFill="1" applyBorder="1"/>
    <xf numFmtId="0" fontId="2" fillId="3" borderId="22" xfId="0" applyFont="1" applyFill="1" applyBorder="1"/>
    <xf numFmtId="44" fontId="0" fillId="4" borderId="3" xfId="1" applyFont="1" applyFill="1" applyBorder="1"/>
    <xf numFmtId="44" fontId="0" fillId="4" borderId="13" xfId="1" applyFont="1" applyFill="1" applyBorder="1"/>
    <xf numFmtId="44" fontId="0" fillId="4" borderId="4" xfId="1" applyFont="1" applyFill="1" applyBorder="1"/>
    <xf numFmtId="44" fontId="0" fillId="4" borderId="6" xfId="1" applyFont="1" applyFill="1" applyBorder="1"/>
    <xf numFmtId="44" fontId="0" fillId="4" borderId="15" xfId="1" applyFont="1" applyFill="1" applyBorder="1"/>
    <xf numFmtId="44" fontId="0" fillId="4" borderId="16" xfId="1" applyFont="1" applyFill="1" applyBorder="1"/>
    <xf numFmtId="44" fontId="4" fillId="4" borderId="1" xfId="1" applyFont="1" applyFill="1" applyBorder="1"/>
    <xf numFmtId="44" fontId="4" fillId="4" borderId="17" xfId="1" applyFont="1" applyFill="1" applyBorder="1"/>
    <xf numFmtId="44" fontId="4" fillId="4" borderId="2" xfId="1" applyFont="1" applyFill="1" applyBorder="1"/>
    <xf numFmtId="44" fontId="0" fillId="4" borderId="0" xfId="1" applyFont="1" applyFill="1"/>
    <xf numFmtId="44" fontId="0" fillId="4" borderId="5" xfId="1" applyFont="1" applyFill="1" applyBorder="1"/>
    <xf numFmtId="44" fontId="0" fillId="4" borderId="8" xfId="1" applyFont="1" applyFill="1" applyBorder="1"/>
    <xf numFmtId="44" fontId="0" fillId="4" borderId="14" xfId="1" applyFont="1" applyFill="1" applyBorder="1"/>
    <xf numFmtId="44" fontId="0" fillId="4" borderId="7" xfId="1" applyFont="1" applyFill="1" applyBorder="1"/>
    <xf numFmtId="44" fontId="0" fillId="4" borderId="19" xfId="1" applyFont="1" applyFill="1" applyBorder="1"/>
    <xf numFmtId="44" fontId="0" fillId="4" borderId="20" xfId="1" applyFont="1" applyFill="1" applyBorder="1"/>
    <xf numFmtId="44" fontId="0" fillId="4" borderId="0" xfId="1" applyFont="1" applyFill="1" applyBorder="1"/>
    <xf numFmtId="44" fontId="0" fillId="4" borderId="0" xfId="0" applyNumberFormat="1" applyFill="1"/>
    <xf numFmtId="0" fontId="0" fillId="4" borderId="0" xfId="0" applyFill="1"/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left"/>
    </xf>
    <xf numFmtId="1" fontId="0" fillId="0" borderId="8" xfId="0" applyNumberFormat="1" applyBorder="1" applyAlignment="1">
      <alignment horizontal="left"/>
    </xf>
    <xf numFmtId="2" fontId="0" fillId="0" borderId="0" xfId="0" applyNumberFormat="1"/>
    <xf numFmtId="8" fontId="0" fillId="0" borderId="0" xfId="0" applyNumberFormat="1"/>
    <xf numFmtId="10" fontId="0" fillId="0" borderId="0" xfId="2" applyNumberFormat="1" applyFont="1"/>
    <xf numFmtId="0" fontId="8" fillId="0" borderId="0" xfId="0" applyFont="1"/>
    <xf numFmtId="0" fontId="0" fillId="0" borderId="15" xfId="0" applyBorder="1"/>
    <xf numFmtId="0" fontId="0" fillId="0" borderId="1" xfId="0" applyBorder="1"/>
    <xf numFmtId="8" fontId="0" fillId="0" borderId="17" xfId="0" applyNumberFormat="1" applyBorder="1"/>
    <xf numFmtId="8" fontId="0" fillId="0" borderId="2" xfId="0" applyNumberFormat="1" applyBorder="1"/>
    <xf numFmtId="6" fontId="0" fillId="0" borderId="0" xfId="0" applyNumberFormat="1"/>
    <xf numFmtId="164" fontId="0" fillId="0" borderId="0" xfId="2" applyNumberFormat="1" applyFont="1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  <xf numFmtId="164" fontId="0" fillId="0" borderId="0" xfId="2" applyNumberFormat="1" applyFont="1" applyAlignment="1">
      <alignment wrapText="1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9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Savings</a:t>
            </a:r>
            <a:r>
              <a:rPr lang="en-US" baseline="0"/>
              <a:t> Growth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'Excersize 4.1C #21'!$E$2</c:f>
              <c:strCache>
                <c:ptCount val="1"/>
                <c:pt idx="0">
                  <c:v>Ending Balance</c:v>
                </c:pt>
              </c:strCache>
            </c:strRef>
          </c:tx>
          <c:val>
            <c:numRef>
              <c:f>'Excersize 4.1C #21'!$E$3:$E$22</c:f>
              <c:numCache>
                <c:formatCode>"$"#,##0.00_);[Red]\("$"#,##0.00\)</c:formatCode>
                <c:ptCount val="20"/>
                <c:pt idx="0">
                  <c:v>6914.5210508239006</c:v>
                </c:pt>
                <c:pt idx="1">
                  <c:v>11963.388612420929</c:v>
                </c:pt>
                <c:pt idx="2">
                  <c:v>17150.275267484347</c:v>
                </c:pt>
                <c:pt idx="3">
                  <c:v>22478.953994791842</c:v>
                </c:pt>
                <c:pt idx="4">
                  <c:v>27953.300913697527</c:v>
                </c:pt>
                <c:pt idx="5">
                  <c:v>33577.298103649118</c:v>
                </c:pt>
                <c:pt idx="6">
                  <c:v>39355.036500781258</c:v>
                </c:pt>
                <c:pt idx="7">
                  <c:v>45290.718873691971</c:v>
                </c:pt>
                <c:pt idx="8">
                  <c:v>51388.662880566881</c:v>
                </c:pt>
                <c:pt idx="9">
                  <c:v>57653.304209874914</c:v>
                </c:pt>
                <c:pt idx="10">
                  <c:v>64089.1998069201</c:v>
                </c:pt>
                <c:pt idx="11">
                  <c:v>70701.031188596462</c:v>
                </c:pt>
                <c:pt idx="12">
                  <c:v>77493.607848757194</c:v>
                </c:pt>
                <c:pt idx="13">
                  <c:v>84471.870756675184</c:v>
                </c:pt>
                <c:pt idx="14">
                  <c:v>91640.895951139726</c:v>
                </c:pt>
                <c:pt idx="15">
                  <c:v>99005.898232803753</c:v>
                </c:pt>
                <c:pt idx="16">
                  <c:v>106572.23495746743</c:v>
                </c:pt>
                <c:pt idx="17">
                  <c:v>114345.40993305745</c:v>
                </c:pt>
                <c:pt idx="18">
                  <c:v>122331.07742313664</c:v>
                </c:pt>
                <c:pt idx="19">
                  <c:v>130535.04625985604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1-6D4A-9345-B7DAF061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8752"/>
        <c:axId val="53622656"/>
      </c:lineChart>
      <c:catAx>
        <c:axId val="510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3622656"/>
        <c:crosses val="autoZero"/>
        <c:auto val="1"/>
        <c:lblAlgn val="ctr"/>
        <c:lblOffset val="100"/>
        <c:noMultiLvlLbl val="0"/>
      </c:catAx>
      <c:valAx>
        <c:axId val="53622656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5101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2</xdr:row>
      <xdr:rowOff>4762</xdr:rowOff>
    </xdr:from>
    <xdr:to>
      <xdr:col>14</xdr:col>
      <xdr:colOff>561974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3"/>
  <sheetViews>
    <sheetView zoomScaleNormal="100" workbookViewId="0">
      <pane xSplit="2" ySplit="2" topLeftCell="P3" activePane="bottomRight" state="frozen"/>
      <selection pane="topRight" activeCell="B1" sqref="B1"/>
      <selection pane="bottomLeft" activeCell="A3" sqref="A3"/>
      <selection pane="bottomRight" activeCell="T21" sqref="T21"/>
    </sheetView>
  </sheetViews>
  <sheetFormatPr baseColWidth="10" defaultColWidth="11" defaultRowHeight="16" x14ac:dyDescent="0.2"/>
  <cols>
    <col min="1" max="1" width="7.5" bestFit="1" customWidth="1"/>
    <col min="2" max="2" width="20" bestFit="1" customWidth="1"/>
    <col min="3" max="3" width="15.6640625" customWidth="1"/>
    <col min="4" max="38" width="15.83203125" customWidth="1"/>
    <col min="39" max="39" width="14.33203125" bestFit="1" customWidth="1"/>
    <col min="40" max="40" width="11" bestFit="1" customWidth="1"/>
    <col min="41" max="41" width="14.33203125" bestFit="1" customWidth="1"/>
    <col min="42" max="42" width="11" bestFit="1" customWidth="1"/>
    <col min="43" max="43" width="14.33203125" bestFit="1" customWidth="1"/>
    <col min="44" max="44" width="11" bestFit="1" customWidth="1"/>
    <col min="45" max="45" width="14.33203125" bestFit="1" customWidth="1"/>
    <col min="46" max="46" width="11" bestFit="1" customWidth="1"/>
  </cols>
  <sheetData>
    <row r="1" spans="1:46" ht="62" x14ac:dyDescent="0.7">
      <c r="B1" s="65" t="s">
        <v>35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</row>
    <row r="2" spans="1:46" x14ac:dyDescent="0.2">
      <c r="C2" s="66" t="s">
        <v>26</v>
      </c>
      <c r="D2" s="66"/>
      <c r="E2" s="66"/>
      <c r="F2" s="66" t="s">
        <v>27</v>
      </c>
      <c r="G2" s="66"/>
      <c r="H2" s="66"/>
      <c r="I2" s="66" t="s">
        <v>28</v>
      </c>
      <c r="J2" s="66"/>
      <c r="K2" s="66"/>
      <c r="L2" s="66" t="s">
        <v>29</v>
      </c>
      <c r="M2" s="66"/>
      <c r="N2" s="66"/>
      <c r="O2" s="66" t="s">
        <v>18</v>
      </c>
      <c r="P2" s="66"/>
      <c r="Q2" s="66"/>
      <c r="R2" s="66" t="s">
        <v>19</v>
      </c>
      <c r="S2" s="66"/>
      <c r="T2" s="66"/>
      <c r="U2" s="66" t="s">
        <v>20</v>
      </c>
      <c r="V2" s="66"/>
      <c r="W2" s="66"/>
      <c r="X2" s="66" t="s">
        <v>21</v>
      </c>
      <c r="Y2" s="66"/>
      <c r="Z2" s="66"/>
      <c r="AA2" s="66" t="s">
        <v>22</v>
      </c>
      <c r="AB2" s="66"/>
      <c r="AC2" s="66"/>
      <c r="AD2" s="66" t="s">
        <v>23</v>
      </c>
      <c r="AE2" s="66"/>
      <c r="AF2" s="66"/>
      <c r="AG2" s="66" t="s">
        <v>24</v>
      </c>
      <c r="AH2" s="66"/>
      <c r="AI2" s="66"/>
      <c r="AJ2" s="66" t="s">
        <v>25</v>
      </c>
      <c r="AK2" s="66"/>
      <c r="AL2" s="66"/>
      <c r="AM2" s="66" t="s">
        <v>71</v>
      </c>
      <c r="AN2" s="66"/>
      <c r="AO2" s="66"/>
    </row>
    <row r="3" spans="1:46" ht="22" thickBot="1" x14ac:dyDescent="0.3">
      <c r="A3" t="s">
        <v>36</v>
      </c>
      <c r="B3" s="8" t="s">
        <v>0</v>
      </c>
      <c r="C3" s="23" t="s">
        <v>8</v>
      </c>
      <c r="D3" s="23" t="s">
        <v>9</v>
      </c>
      <c r="E3" s="23" t="s">
        <v>70</v>
      </c>
      <c r="F3" s="23" t="s">
        <v>8</v>
      </c>
      <c r="G3" s="23" t="s">
        <v>9</v>
      </c>
      <c r="H3" s="23" t="s">
        <v>70</v>
      </c>
      <c r="I3" s="23" t="s">
        <v>8</v>
      </c>
      <c r="J3" s="23" t="s">
        <v>9</v>
      </c>
      <c r="K3" s="23" t="s">
        <v>70</v>
      </c>
      <c r="L3" s="23" t="s">
        <v>8</v>
      </c>
      <c r="M3" s="23" t="s">
        <v>9</v>
      </c>
      <c r="N3" s="23" t="s">
        <v>70</v>
      </c>
      <c r="O3" s="23" t="s">
        <v>8</v>
      </c>
      <c r="P3" s="23" t="s">
        <v>9</v>
      </c>
      <c r="Q3" s="23" t="s">
        <v>70</v>
      </c>
      <c r="R3" s="23" t="s">
        <v>8</v>
      </c>
      <c r="S3" s="23" t="s">
        <v>9</v>
      </c>
      <c r="T3" s="23" t="s">
        <v>70</v>
      </c>
      <c r="U3" s="23" t="s">
        <v>8</v>
      </c>
      <c r="V3" s="23" t="s">
        <v>9</v>
      </c>
      <c r="W3" s="23" t="s">
        <v>70</v>
      </c>
      <c r="X3" s="23" t="s">
        <v>8</v>
      </c>
      <c r="Y3" s="23" t="s">
        <v>9</v>
      </c>
      <c r="Z3" s="23" t="s">
        <v>70</v>
      </c>
      <c r="AA3" s="23" t="s">
        <v>8</v>
      </c>
      <c r="AB3" s="23" t="s">
        <v>9</v>
      </c>
      <c r="AC3" s="23" t="s">
        <v>70</v>
      </c>
      <c r="AD3" s="23" t="s">
        <v>8</v>
      </c>
      <c r="AE3" s="23" t="s">
        <v>9</v>
      </c>
      <c r="AF3" s="23" t="s">
        <v>70</v>
      </c>
      <c r="AG3" s="23" t="s">
        <v>8</v>
      </c>
      <c r="AH3" s="23" t="s">
        <v>9</v>
      </c>
      <c r="AI3" s="23" t="s">
        <v>70</v>
      </c>
      <c r="AJ3" s="23" t="s">
        <v>8</v>
      </c>
      <c r="AK3" s="23" t="s">
        <v>9</v>
      </c>
      <c r="AL3" s="23" t="s">
        <v>70</v>
      </c>
      <c r="AM3" s="23" t="s">
        <v>72</v>
      </c>
      <c r="AN3" s="23" t="s">
        <v>73</v>
      </c>
      <c r="AO3" s="23" t="s">
        <v>74</v>
      </c>
    </row>
    <row r="4" spans="1:46" x14ac:dyDescent="0.2">
      <c r="A4" t="s">
        <v>41</v>
      </c>
      <c r="B4" s="24" t="s">
        <v>31</v>
      </c>
      <c r="C4" s="30">
        <v>6790</v>
      </c>
      <c r="D4" s="31">
        <f>SUMIFS(Transfers!$C$3:$C$86,Transfers!$D$3:$D$86,$A4,Transfers!$E$3:$E$86,C$2)</f>
        <v>0</v>
      </c>
      <c r="E4" s="32">
        <f>D4-C4</f>
        <v>-6790</v>
      </c>
      <c r="F4" s="5">
        <v>6790</v>
      </c>
      <c r="G4" s="14">
        <f>SUMIFS(Transfers!$C$3:$C$86,Transfers!$D$3:$D$86,$A4,Transfers!$E$3:$E$86,F$2)</f>
        <v>0</v>
      </c>
      <c r="H4" s="2">
        <f>G4-F4</f>
        <v>-6790</v>
      </c>
      <c r="I4" s="30">
        <v>6790</v>
      </c>
      <c r="J4" s="31">
        <f>SUMIFS(Transfers!$C$3:$C$86,Transfers!$D$3:$D$86,$A4,Transfers!$E$3:$E$86,I$2)</f>
        <v>0</v>
      </c>
      <c r="K4" s="32">
        <f>J4-I4</f>
        <v>-6790</v>
      </c>
      <c r="L4" s="5">
        <v>6790</v>
      </c>
      <c r="M4" s="14">
        <f>SUMIFS(Transfers!$C$3:$C$86,Transfers!$D$3:$D$86,$A4,Transfers!$E$3:$E$86,L$2)</f>
        <v>0</v>
      </c>
      <c r="N4" s="2">
        <f>M4-L4</f>
        <v>-6790</v>
      </c>
      <c r="O4" s="30">
        <v>6790</v>
      </c>
      <c r="P4" s="31">
        <f>SUMIFS(Transfers!$C$3:$C$86,Transfers!$D$3:$D$86,$A4,Transfers!$E$3:$E$86,O$2)</f>
        <v>6790.3</v>
      </c>
      <c r="Q4" s="32">
        <f>P4-O4</f>
        <v>0.3000000000001819</v>
      </c>
      <c r="R4" s="5">
        <v>6790</v>
      </c>
      <c r="S4" s="14">
        <f>SUMIFS(Transfers!$C$3:$C$86,Transfers!$D$3:$D$86,$A4,Transfers!$E$3:$E$86,R$2)</f>
        <v>6790.3</v>
      </c>
      <c r="T4" s="2">
        <f>S4-R4</f>
        <v>0.3000000000001819</v>
      </c>
      <c r="U4" s="30">
        <v>6790</v>
      </c>
      <c r="V4" s="31">
        <f>SUMIFS(Transfers!$C$3:$C$86,Transfers!$D$3:$D$86,$A4,Transfers!$E$3:$E$86,U$2)</f>
        <v>0</v>
      </c>
      <c r="W4" s="32">
        <f>V4-U4</f>
        <v>-6790</v>
      </c>
      <c r="X4" s="5">
        <v>6790</v>
      </c>
      <c r="Y4" s="14">
        <f>SUMIFS(Transfers!$C$3:$C$86,Transfers!$D$3:$D$86,$A4,Transfers!$E$3:$E$86,X$2)</f>
        <v>0</v>
      </c>
      <c r="Z4" s="2">
        <f>Y4-X4</f>
        <v>-6790</v>
      </c>
      <c r="AA4" s="30">
        <v>6790</v>
      </c>
      <c r="AB4" s="31">
        <f>SUMIFS(Transfers!$C$3:$C$86,Transfers!$D$3:$D$86,$A4,Transfers!$E$3:$E$86,AA$2)</f>
        <v>0</v>
      </c>
      <c r="AC4" s="32">
        <f>AB4-AA4</f>
        <v>-6790</v>
      </c>
      <c r="AD4" s="5">
        <v>6790</v>
      </c>
      <c r="AE4" s="14">
        <f>SUMIFS(Transfers!$C$3:$C$86,Transfers!$D$3:$D$86,$A4,Transfers!$E$3:$E$86,AD$2)</f>
        <v>0</v>
      </c>
      <c r="AF4" s="2">
        <f>AE4-AD4</f>
        <v>-6790</v>
      </c>
      <c r="AG4" s="30">
        <v>6790</v>
      </c>
      <c r="AH4" s="31">
        <f>SUMIFS(Transfers!$C$3:$C$86,Transfers!$D$3:$D$86,$A4,Transfers!$E$3:$E$86,AG$2)</f>
        <v>0</v>
      </c>
      <c r="AI4" s="32">
        <f>AH4-AG4</f>
        <v>-6790</v>
      </c>
      <c r="AJ4" s="5">
        <v>6790</v>
      </c>
      <c r="AK4" s="14">
        <f>SUMIFS(Transfers!$C$3:$C$86,Transfers!$D$3:$D$86,$A4,Transfers!$E$3:$E$86,AJ$2)</f>
        <v>0</v>
      </c>
      <c r="AL4" s="2">
        <f>AK4-AJ4</f>
        <v>-6790</v>
      </c>
      <c r="AM4" s="47">
        <f>C4+F4+I4+L4+O4+R4+U4+X4+AA4+AD4+AG4+AJ4</f>
        <v>81480</v>
      </c>
      <c r="AN4" s="47">
        <f>D4+G4+J4+M4+P4+S4+V4+Y4+AB4+AE4+AH4+AK4</f>
        <v>13580.6</v>
      </c>
      <c r="AO4" s="47">
        <f>E4+I4+L4+O4+R4+U4+X4+AA4+AD4+AG4+AJ4+AM4</f>
        <v>142590</v>
      </c>
    </row>
    <row r="5" spans="1:46" ht="17" thickBot="1" x14ac:dyDescent="0.25">
      <c r="A5" t="s">
        <v>40</v>
      </c>
      <c r="B5" s="25" t="s">
        <v>32</v>
      </c>
      <c r="C5" s="33">
        <v>0</v>
      </c>
      <c r="D5" s="34">
        <f>SUMIFS(Transfers!$C$3:$C$86,Transfers!$D$3:$D$86,$A5,Transfers!$E$3:$E$86,C$2)</f>
        <v>0</v>
      </c>
      <c r="E5" s="35">
        <f>D5-C5</f>
        <v>0</v>
      </c>
      <c r="F5" s="4">
        <v>0</v>
      </c>
      <c r="G5" s="16">
        <f>SUMIFS(Transfers!$C$3:$C$86,Transfers!$D$3:$D$86,$A5,Transfers!$E$3:$E$86,F$2)</f>
        <v>0</v>
      </c>
      <c r="H5" s="17">
        <f>G5-F5</f>
        <v>0</v>
      </c>
      <c r="I5" s="33">
        <v>0</v>
      </c>
      <c r="J5" s="34">
        <f>SUMIFS(Transfers!$C$3:$C$86,Transfers!$D$3:$D$86,$A5,Transfers!$E$3:$E$86,I$2)</f>
        <v>0</v>
      </c>
      <c r="K5" s="35">
        <f>J5-I5</f>
        <v>0</v>
      </c>
      <c r="L5" s="4">
        <v>0</v>
      </c>
      <c r="M5" s="16">
        <f>SUMIFS(Transfers!$C$3:$C$86,Transfers!$D$3:$D$86,$A5,Transfers!$E$3:$E$86,L$2)</f>
        <v>0</v>
      </c>
      <c r="N5" s="17">
        <f>M5-L5</f>
        <v>0</v>
      </c>
      <c r="O5" s="33">
        <v>0</v>
      </c>
      <c r="P5" s="34">
        <f>SUMIFS(Transfers!$C$3:$C$86,Transfers!$D$3:$D$86,$A5,Transfers!$E$3:$E$86,O$2)</f>
        <v>0</v>
      </c>
      <c r="Q5" s="35">
        <f>P5-O5</f>
        <v>0</v>
      </c>
      <c r="R5" s="4">
        <v>0</v>
      </c>
      <c r="S5" s="16">
        <f>SUMIFS(Transfers!$C$3:$C$86,Transfers!$D$3:$D$86,$A5,Transfers!$E$3:$E$86,R$2)</f>
        <v>0</v>
      </c>
      <c r="T5" s="17">
        <f>S5-R5</f>
        <v>0</v>
      </c>
      <c r="U5" s="33">
        <v>0</v>
      </c>
      <c r="V5" s="34">
        <f>SUMIFS(Transfers!$C$3:$C$86,Transfers!$D$3:$D$86,$A5,Transfers!$E$3:$E$86,U$2)</f>
        <v>0</v>
      </c>
      <c r="W5" s="35">
        <f>V5-U5</f>
        <v>0</v>
      </c>
      <c r="X5" s="4">
        <v>0</v>
      </c>
      <c r="Y5" s="16">
        <f>SUMIFS(Transfers!$C$3:$C$86,Transfers!$D$3:$D$86,$A5,Transfers!$E$3:$E$86,X$2)</f>
        <v>0</v>
      </c>
      <c r="Z5" s="17">
        <f>Y5-X5</f>
        <v>0</v>
      </c>
      <c r="AA5" s="33">
        <v>0</v>
      </c>
      <c r="AB5" s="34">
        <f>SUMIFS(Transfers!$C$3:$C$86,Transfers!$D$3:$D$86,$A5,Transfers!$E$3:$E$86,AA$2)</f>
        <v>0</v>
      </c>
      <c r="AC5" s="35">
        <f>AB5-AA5</f>
        <v>0</v>
      </c>
      <c r="AD5" s="4">
        <v>0</v>
      </c>
      <c r="AE5" s="16">
        <f>SUMIFS(Transfers!$C$3:$C$86,Transfers!$D$3:$D$86,$A5,Transfers!$E$3:$E$86,AD$2)</f>
        <v>0</v>
      </c>
      <c r="AF5" s="17">
        <f>AE5-AD5</f>
        <v>0</v>
      </c>
      <c r="AG5" s="33">
        <v>0</v>
      </c>
      <c r="AH5" s="34">
        <f>SUMIFS(Transfers!$C$3:$C$86,Transfers!$D$3:$D$86,$A5,Transfers!$E$3:$E$86,AG$2)</f>
        <v>0</v>
      </c>
      <c r="AI5" s="35">
        <f>AH5-AG5</f>
        <v>0</v>
      </c>
      <c r="AJ5" s="4">
        <v>0</v>
      </c>
      <c r="AK5" s="16">
        <f>SUMIFS(Transfers!$C$3:$C$86,Transfers!$D$3:$D$86,$A5,Transfers!$E$3:$E$86,AJ$2)</f>
        <v>0</v>
      </c>
      <c r="AL5" s="17">
        <f>AK5-AJ5</f>
        <v>0</v>
      </c>
      <c r="AM5" s="47">
        <f t="shared" ref="AM5" si="0">C5+F5+I5+L5+O5+R5+U5+X5+AA5+AD5+AG5+AJ5</f>
        <v>0</v>
      </c>
      <c r="AN5" s="47">
        <f t="shared" ref="AN5" si="1">D5+G5+J5+M5+P5+S5+V5+Y5+AB5+AE5+AH5+AK5</f>
        <v>0</v>
      </c>
      <c r="AO5" s="47">
        <f t="shared" ref="AO5" si="2">E5+I5+L5+O5+R5+U5+X5+AA5+AD5+AG5+AJ5+AM5</f>
        <v>0</v>
      </c>
    </row>
    <row r="6" spans="1:46" s="7" customFormat="1" ht="20" thickBot="1" x14ac:dyDescent="0.3">
      <c r="B6" s="26" t="s">
        <v>33</v>
      </c>
      <c r="C6" s="36">
        <f t="shared" ref="C6:Q6" si="3">SUM(C4:C5)</f>
        <v>6790</v>
      </c>
      <c r="D6" s="37">
        <f t="shared" si="3"/>
        <v>0</v>
      </c>
      <c r="E6" s="38">
        <f t="shared" si="3"/>
        <v>-6790</v>
      </c>
      <c r="F6" s="9">
        <f t="shared" si="3"/>
        <v>6790</v>
      </c>
      <c r="G6" s="18">
        <f t="shared" si="3"/>
        <v>0</v>
      </c>
      <c r="H6" s="13">
        <f t="shared" si="3"/>
        <v>-6790</v>
      </c>
      <c r="I6" s="36">
        <f t="shared" si="3"/>
        <v>6790</v>
      </c>
      <c r="J6" s="37">
        <f t="shared" si="3"/>
        <v>0</v>
      </c>
      <c r="K6" s="38">
        <f t="shared" si="3"/>
        <v>-6790</v>
      </c>
      <c r="L6" s="9">
        <f t="shared" si="3"/>
        <v>6790</v>
      </c>
      <c r="M6" s="18">
        <f t="shared" si="3"/>
        <v>0</v>
      </c>
      <c r="N6" s="13">
        <f t="shared" si="3"/>
        <v>-6790</v>
      </c>
      <c r="O6" s="36">
        <f t="shared" si="3"/>
        <v>6790</v>
      </c>
      <c r="P6" s="37">
        <f t="shared" si="3"/>
        <v>6790.3</v>
      </c>
      <c r="Q6" s="38">
        <f t="shared" si="3"/>
        <v>0.3000000000001819</v>
      </c>
      <c r="R6" s="9">
        <f t="shared" ref="R6:T6" si="4">SUM(R4:R5)</f>
        <v>6790</v>
      </c>
      <c r="S6" s="18">
        <f t="shared" si="4"/>
        <v>6790.3</v>
      </c>
      <c r="T6" s="13">
        <f t="shared" si="4"/>
        <v>0.3000000000001819</v>
      </c>
      <c r="U6" s="36">
        <f t="shared" ref="U6:AL6" si="5">SUM(U4:U5)</f>
        <v>6790</v>
      </c>
      <c r="V6" s="37">
        <f t="shared" si="5"/>
        <v>0</v>
      </c>
      <c r="W6" s="38">
        <f t="shared" si="5"/>
        <v>-6790</v>
      </c>
      <c r="X6" s="9">
        <f t="shared" si="5"/>
        <v>6790</v>
      </c>
      <c r="Y6" s="18">
        <f t="shared" si="5"/>
        <v>0</v>
      </c>
      <c r="Z6" s="13">
        <f t="shared" si="5"/>
        <v>-6790</v>
      </c>
      <c r="AA6" s="36">
        <f t="shared" si="5"/>
        <v>6790</v>
      </c>
      <c r="AB6" s="37">
        <f t="shared" si="5"/>
        <v>0</v>
      </c>
      <c r="AC6" s="38">
        <f t="shared" si="5"/>
        <v>-6790</v>
      </c>
      <c r="AD6" s="9">
        <f t="shared" si="5"/>
        <v>6790</v>
      </c>
      <c r="AE6" s="18">
        <f t="shared" si="5"/>
        <v>0</v>
      </c>
      <c r="AF6" s="13">
        <f t="shared" si="5"/>
        <v>-6790</v>
      </c>
      <c r="AG6" s="36">
        <f t="shared" si="5"/>
        <v>6790</v>
      </c>
      <c r="AH6" s="37">
        <f t="shared" si="5"/>
        <v>0</v>
      </c>
      <c r="AI6" s="38">
        <f t="shared" si="5"/>
        <v>-6790</v>
      </c>
      <c r="AJ6" s="9">
        <f t="shared" si="5"/>
        <v>6790</v>
      </c>
      <c r="AK6" s="18">
        <f t="shared" si="5"/>
        <v>0</v>
      </c>
      <c r="AL6" s="13">
        <f t="shared" si="5"/>
        <v>-6790</v>
      </c>
      <c r="AM6" s="47">
        <f>C6+F6+I6+L6+O6+R6+U6+X6+AA6+AD6+AG6+AJ6</f>
        <v>81480</v>
      </c>
      <c r="AN6" s="47">
        <f>D6+G6+J6+M6+P6+S6+V6+Y6+AB6+AE6+AH6+AK6</f>
        <v>13580.6</v>
      </c>
      <c r="AO6" s="47">
        <f>E6+H6+K6+N6+Q6+T6+W6+Z6+AC6+AF6+AI6+AL6</f>
        <v>-67899.399999999994</v>
      </c>
    </row>
    <row r="7" spans="1:46" x14ac:dyDescent="0.2">
      <c r="C7" s="39"/>
      <c r="D7" s="39"/>
      <c r="E7" s="39"/>
      <c r="F7" s="1"/>
      <c r="G7" s="1"/>
      <c r="H7" s="1"/>
      <c r="I7" s="39"/>
      <c r="J7" s="39"/>
      <c r="K7" s="39"/>
      <c r="L7" s="1"/>
      <c r="M7" s="1"/>
      <c r="N7" s="1"/>
      <c r="O7" s="39"/>
      <c r="P7" s="39"/>
      <c r="Q7" s="39"/>
      <c r="R7" s="1"/>
      <c r="S7" s="1"/>
      <c r="T7" s="1"/>
      <c r="U7" s="39"/>
      <c r="V7" s="39"/>
      <c r="W7" s="39"/>
      <c r="X7" s="1"/>
      <c r="Y7" s="1"/>
      <c r="Z7" s="1"/>
      <c r="AA7" s="39"/>
      <c r="AB7" s="39"/>
      <c r="AC7" s="39"/>
      <c r="AD7" s="1"/>
      <c r="AE7" s="1"/>
      <c r="AF7" s="1"/>
      <c r="AG7" s="39"/>
      <c r="AH7" s="39"/>
      <c r="AI7" s="39"/>
      <c r="AJ7" s="1"/>
      <c r="AK7" s="1"/>
      <c r="AL7" s="1"/>
      <c r="AM7" s="48"/>
      <c r="AN7" s="48"/>
      <c r="AO7" s="48"/>
    </row>
    <row r="8" spans="1:46" ht="22" thickBot="1" x14ac:dyDescent="0.3">
      <c r="B8" s="8" t="s">
        <v>30</v>
      </c>
      <c r="C8" s="39"/>
      <c r="D8" s="39"/>
      <c r="E8" s="39"/>
      <c r="F8" s="1"/>
      <c r="G8" s="1"/>
      <c r="H8" s="1"/>
      <c r="I8" s="39"/>
      <c r="J8" s="39"/>
      <c r="K8" s="39"/>
      <c r="L8" s="1"/>
      <c r="M8" s="1"/>
      <c r="N8" s="1"/>
      <c r="O8" s="39"/>
      <c r="P8" s="39"/>
      <c r="Q8" s="39"/>
      <c r="R8" s="1"/>
      <c r="S8" s="1"/>
      <c r="T8" s="1"/>
      <c r="U8" s="39"/>
      <c r="V8" s="39"/>
      <c r="W8" s="39"/>
      <c r="X8" s="1"/>
      <c r="Y8" s="1"/>
      <c r="Z8" s="1"/>
      <c r="AA8" s="39"/>
      <c r="AB8" s="39"/>
      <c r="AC8" s="39"/>
      <c r="AD8" s="1"/>
      <c r="AE8" s="1"/>
      <c r="AF8" s="1"/>
      <c r="AG8" s="39"/>
      <c r="AH8" s="39"/>
      <c r="AI8" s="39"/>
      <c r="AJ8" s="1"/>
      <c r="AK8" s="1"/>
      <c r="AL8" s="1"/>
      <c r="AM8" s="48"/>
      <c r="AN8" s="48"/>
      <c r="AO8" s="48"/>
    </row>
    <row r="9" spans="1:46" x14ac:dyDescent="0.2">
      <c r="A9" t="s">
        <v>42</v>
      </c>
      <c r="B9" s="24" t="s">
        <v>13</v>
      </c>
      <c r="C9" s="30">
        <f>ROUND(C4*0.1,0)</f>
        <v>679</v>
      </c>
      <c r="D9" s="31">
        <f>SUMIFS(Transfers!$C$3:$C$86,Transfers!$D$3:$D$86,$A9,Transfers!$E$3:$E$86,C$2)</f>
        <v>0</v>
      </c>
      <c r="E9" s="32">
        <f>D9-C9</f>
        <v>-679</v>
      </c>
      <c r="F9" s="5">
        <f>ROUND(F4*0.1,0)</f>
        <v>679</v>
      </c>
      <c r="G9" s="14">
        <f>SUMIFS(Transfers!$C$3:$C$86,Transfers!$D$3:$D$86,$A9,Transfers!$E$3:$E$86,F$2)</f>
        <v>0</v>
      </c>
      <c r="H9" s="2">
        <f>G9-F9</f>
        <v>-679</v>
      </c>
      <c r="I9" s="30">
        <f>ROUND(I4*0.1,0)</f>
        <v>679</v>
      </c>
      <c r="J9" s="31">
        <f>SUMIFS(Transfers!$C$3:$C$86,Transfers!$D$3:$D$86,$A9,Transfers!$E$3:$E$86,I$2)</f>
        <v>0</v>
      </c>
      <c r="K9" s="32">
        <f>J9-I9</f>
        <v>-679</v>
      </c>
      <c r="L9" s="5">
        <f>ROUND(L4*0.1,0)</f>
        <v>679</v>
      </c>
      <c r="M9" s="14">
        <f>SUMIFS(Transfers!$C$3:$C$86,Transfers!$D$3:$D$86,$A9,Transfers!$E$3:$E$86,L$2)</f>
        <v>0</v>
      </c>
      <c r="N9" s="2">
        <f>M9-L9</f>
        <v>-679</v>
      </c>
      <c r="O9" s="30">
        <f>ROUND(O4*0.1,0)</f>
        <v>679</v>
      </c>
      <c r="P9" s="31">
        <f>SUMIFS(Transfers!$C$3:$C$86,Transfers!$D$3:$D$86,$A9,Transfers!$E$3:$E$86,O$2)</f>
        <v>1012.76</v>
      </c>
      <c r="Q9" s="32">
        <f>P9-O9</f>
        <v>333.76</v>
      </c>
      <c r="R9" s="5">
        <f>ROUND(R4*0.1,0)</f>
        <v>679</v>
      </c>
      <c r="S9" s="14">
        <f>SUMIFS(Transfers!$C$3:$C$86,Transfers!$D$3:$D$86,$A9,Transfers!$E$3:$E$86,R$2)</f>
        <v>1012.74</v>
      </c>
      <c r="T9" s="2">
        <f>S9-R9</f>
        <v>333.74</v>
      </c>
      <c r="U9" s="30">
        <v>1013</v>
      </c>
      <c r="V9" s="31">
        <f>SUMIFS(Transfers!$C$3:$C$86,Transfers!$D$3:$D$86,$A9,Transfers!$E$3:$E$86,U$2)</f>
        <v>0</v>
      </c>
      <c r="W9" s="32">
        <f>V9-U9</f>
        <v>-1013</v>
      </c>
      <c r="X9" s="5">
        <f>ROUND(X4*0.1,0)</f>
        <v>679</v>
      </c>
      <c r="Y9" s="14">
        <f>SUMIFS(Transfers!$C$3:$C$86,Transfers!$D$3:$D$86,$A9,Transfers!$E$3:$E$86,X$2)</f>
        <v>0</v>
      </c>
      <c r="Z9" s="2">
        <f>Y9-X9</f>
        <v>-679</v>
      </c>
      <c r="AA9" s="30">
        <f>ROUND(AA4*0.1,0)</f>
        <v>679</v>
      </c>
      <c r="AB9" s="31">
        <f>SUMIFS(Transfers!$C$3:$C$86,Transfers!$D$3:$D$86,$A9,Transfers!$E$3:$E$86,AA$2)</f>
        <v>0</v>
      </c>
      <c r="AC9" s="32">
        <f>AB9-AA9</f>
        <v>-679</v>
      </c>
      <c r="AD9" s="5">
        <f>ROUND(AD4*0.1,0)</f>
        <v>679</v>
      </c>
      <c r="AE9" s="14">
        <f>SUMIFS(Transfers!$C$3:$C$86,Transfers!$D$3:$D$86,$A9,Transfers!$E$3:$E$86,AD$2)</f>
        <v>0</v>
      </c>
      <c r="AF9" s="2">
        <f>AE9-AD9</f>
        <v>-679</v>
      </c>
      <c r="AG9" s="30">
        <f>ROUND(AG4*0.1,0)</f>
        <v>679</v>
      </c>
      <c r="AH9" s="31">
        <f>SUMIFS(Transfers!$C$3:$C$86,Transfers!$D$3:$D$86,$A9,Transfers!$E$3:$E$86,AG$2)</f>
        <v>0</v>
      </c>
      <c r="AI9" s="32">
        <f>AH9-AG9</f>
        <v>-679</v>
      </c>
      <c r="AJ9" s="5">
        <f>ROUND(AJ4*0.1,0)</f>
        <v>679</v>
      </c>
      <c r="AK9" s="14">
        <f>SUMIFS(Transfers!$C$3:$C$86,Transfers!$D$3:$D$86,$A9,Transfers!$E$3:$E$86,AJ$2)</f>
        <v>0</v>
      </c>
      <c r="AL9" s="2">
        <f>AK9-AJ9</f>
        <v>-679</v>
      </c>
      <c r="AM9" s="47">
        <f t="shared" ref="AM9:AM21" si="6">C9+F9+I9+L9+O9+R9+U9+X9+AA9+AD9+AG9+AJ9</f>
        <v>8482</v>
      </c>
      <c r="AN9" s="47">
        <f t="shared" ref="AN9:AN21" si="7">D9+G9+J9+M9+P9+S9+V9+Y9+AB9+AE9+AH9+AK9</f>
        <v>2025.5</v>
      </c>
      <c r="AO9" s="47">
        <f t="shared" ref="AO9:AO21" si="8">E9+H9+K9+N9+Q9+T9+W9+Z9+AC9+AF9+AI9+AL9</f>
        <v>-6456.5</v>
      </c>
    </row>
    <row r="10" spans="1:46" x14ac:dyDescent="0.2">
      <c r="A10" t="s">
        <v>43</v>
      </c>
      <c r="B10" s="27" t="s">
        <v>10</v>
      </c>
      <c r="C10" s="40">
        <f>ROUND(C4*0.11,0)</f>
        <v>747</v>
      </c>
      <c r="D10" s="41">
        <f>SUMIFS(Transfers!$C$3:$C$86,Transfers!$D$3:$D$86,$A10,Transfers!$E$3:$E$86,C$2)</f>
        <v>0</v>
      </c>
      <c r="E10" s="42">
        <f t="shared" ref="E10:E20" si="9">D10-C10</f>
        <v>-747</v>
      </c>
      <c r="F10" s="3">
        <f>ROUND(F4*0.11,0)</f>
        <v>747</v>
      </c>
      <c r="G10" s="12">
        <f>SUMIFS(Transfers!$C$3:$C$86,Transfers!$D$3:$D$86,$A10,Transfers!$E$3:$E$86,F$2)</f>
        <v>0</v>
      </c>
      <c r="H10" s="15">
        <f t="shared" ref="H10:H20" si="10">G10-F10</f>
        <v>-747</v>
      </c>
      <c r="I10" s="40">
        <f>ROUND(I4*0.11,0)</f>
        <v>747</v>
      </c>
      <c r="J10" s="41">
        <f>SUMIFS(Transfers!$C$3:$C$86,Transfers!$D$3:$D$86,$A10,Transfers!$E$3:$E$86,I$2)</f>
        <v>0</v>
      </c>
      <c r="K10" s="42">
        <f t="shared" ref="K10:K20" si="11">J10-I10</f>
        <v>-747</v>
      </c>
      <c r="L10" s="3">
        <f>ROUND(L4*0.11,0)</f>
        <v>747</v>
      </c>
      <c r="M10" s="12">
        <f>SUMIFS(Transfers!$C$3:$C$86,Transfers!$D$3:$D$86,$A10,Transfers!$E$3:$E$86,L$2)</f>
        <v>0</v>
      </c>
      <c r="N10" s="15">
        <f t="shared" ref="N10:N20" si="12">M10-L10</f>
        <v>-747</v>
      </c>
      <c r="O10" s="40">
        <f>ROUND(O4*0.11,0)</f>
        <v>747</v>
      </c>
      <c r="P10" s="41">
        <f>SUMIFS(Transfers!$C$3:$C$86,Transfers!$D$3:$D$86,$A10,Transfers!$E$3:$E$86,O$2)</f>
        <v>679</v>
      </c>
      <c r="Q10" s="42">
        <f t="shared" ref="Q10:Q20" si="13">P10-O10</f>
        <v>-68</v>
      </c>
      <c r="R10" s="3">
        <f>ROUND(R4*0.11,0)</f>
        <v>747</v>
      </c>
      <c r="S10" s="12">
        <f>SUMIFS(Transfers!$C$3:$C$86,Transfers!$D$3:$D$86,$A10,Transfers!$E$3:$E$86,R$2)</f>
        <v>679</v>
      </c>
      <c r="T10" s="15">
        <f t="shared" ref="T10:T20" si="14">S10-R10</f>
        <v>-68</v>
      </c>
      <c r="U10" s="40">
        <f>ROUND(U4*0.11,0)</f>
        <v>747</v>
      </c>
      <c r="V10" s="41">
        <f>SUMIFS(Transfers!$C$3:$C$86,Transfers!$D$3:$D$86,$A10,Transfers!$E$3:$E$86,U$2)</f>
        <v>0</v>
      </c>
      <c r="W10" s="42">
        <f t="shared" ref="W10:W20" si="15">V10-U10</f>
        <v>-747</v>
      </c>
      <c r="X10" s="3">
        <f>ROUND(X4*0.11,0)</f>
        <v>747</v>
      </c>
      <c r="Y10" s="12">
        <f>SUMIFS(Transfers!$C$3:$C$86,Transfers!$D$3:$D$86,$A10,Transfers!$E$3:$E$86,X$2)</f>
        <v>0</v>
      </c>
      <c r="Z10" s="15">
        <f t="shared" ref="Z10:Z20" si="16">Y10-X10</f>
        <v>-747</v>
      </c>
      <c r="AA10" s="40">
        <f>ROUND(AA4*0.11,0)</f>
        <v>747</v>
      </c>
      <c r="AB10" s="41">
        <f>SUMIFS(Transfers!$C$3:$C$86,Transfers!$D$3:$D$86,$A10,Transfers!$E$3:$E$86,AA$2)</f>
        <v>0</v>
      </c>
      <c r="AC10" s="42">
        <f t="shared" ref="AC10:AC20" si="17">AB10-AA10</f>
        <v>-747</v>
      </c>
      <c r="AD10" s="3">
        <f>ROUND(AD4*0.11,0)</f>
        <v>747</v>
      </c>
      <c r="AE10" s="12">
        <f>SUMIFS(Transfers!$C$3:$C$86,Transfers!$D$3:$D$86,$A10,Transfers!$E$3:$E$86,AD$2)</f>
        <v>0</v>
      </c>
      <c r="AF10" s="15">
        <f t="shared" ref="AF10:AF20" si="18">AE10-AD10</f>
        <v>-747</v>
      </c>
      <c r="AG10" s="40">
        <f>ROUND(AG4*0.11,0)</f>
        <v>747</v>
      </c>
      <c r="AH10" s="41">
        <f>SUMIFS(Transfers!$C$3:$C$86,Transfers!$D$3:$D$86,$A10,Transfers!$E$3:$E$86,AG$2)</f>
        <v>0</v>
      </c>
      <c r="AI10" s="42">
        <f t="shared" ref="AI10:AI20" si="19">AH10-AG10</f>
        <v>-747</v>
      </c>
      <c r="AJ10" s="3">
        <f>ROUND(AJ4*0.11,0)</f>
        <v>747</v>
      </c>
      <c r="AK10" s="12">
        <f>SUMIFS(Transfers!$C$3:$C$86,Transfers!$D$3:$D$86,$A10,Transfers!$E$3:$E$86,AJ$2)</f>
        <v>0</v>
      </c>
      <c r="AL10" s="15">
        <f t="shared" ref="AL10:AL20" si="20">AK10-AJ10</f>
        <v>-747</v>
      </c>
      <c r="AM10" s="47">
        <f t="shared" si="6"/>
        <v>8964</v>
      </c>
      <c r="AN10" s="47">
        <f t="shared" si="7"/>
        <v>1358</v>
      </c>
      <c r="AO10" s="47">
        <f t="shared" si="8"/>
        <v>-7606</v>
      </c>
    </row>
    <row r="11" spans="1:46" x14ac:dyDescent="0.2">
      <c r="A11" t="s">
        <v>44</v>
      </c>
      <c r="B11" s="27" t="s">
        <v>67</v>
      </c>
      <c r="C11" s="40">
        <v>1560</v>
      </c>
      <c r="D11" s="41">
        <f>SUMIFS(Transfers!$C$3:$C$86,Transfers!$D$3:$D$86,$A11,Transfers!$E$3:$E$86,C$2)</f>
        <v>0</v>
      </c>
      <c r="E11" s="42">
        <f t="shared" si="9"/>
        <v>-1560</v>
      </c>
      <c r="F11" s="3">
        <v>1560</v>
      </c>
      <c r="G11" s="12">
        <f>SUMIFS(Transfers!$C$3:$C$86,Transfers!$D$3:$D$86,$A11,Transfers!$E$3:$E$86,F$2)</f>
        <v>0</v>
      </c>
      <c r="H11" s="15">
        <f t="shared" si="10"/>
        <v>-1560</v>
      </c>
      <c r="I11" s="40">
        <v>1560</v>
      </c>
      <c r="J11" s="41">
        <f>SUMIFS(Transfers!$C$3:$C$86,Transfers!$D$3:$D$86,$A11,Transfers!$E$3:$E$86,I$2)</f>
        <v>0</v>
      </c>
      <c r="K11" s="42">
        <f t="shared" si="11"/>
        <v>-1560</v>
      </c>
      <c r="L11" s="3">
        <v>1560</v>
      </c>
      <c r="M11" s="12">
        <f>SUMIFS(Transfers!$C$3:$C$86,Transfers!$D$3:$D$86,$A11,Transfers!$E$3:$E$86,L$2)</f>
        <v>0</v>
      </c>
      <c r="N11" s="15">
        <f t="shared" si="12"/>
        <v>-1560</v>
      </c>
      <c r="O11" s="40">
        <v>1560</v>
      </c>
      <c r="P11" s="41">
        <f>SUMIFS(Transfers!$C$3:$C$86,Transfers!$D$3:$D$86,$A11,Transfers!$E$3:$E$86,O$2)</f>
        <v>1560</v>
      </c>
      <c r="Q11" s="42">
        <f t="shared" si="13"/>
        <v>0</v>
      </c>
      <c r="R11" s="3">
        <v>1560</v>
      </c>
      <c r="S11" s="12">
        <f>SUMIFS(Transfers!$C$3:$C$86,Transfers!$D$3:$D$86,$A11,Transfers!$E$3:$E$86,R$2)</f>
        <v>1560</v>
      </c>
      <c r="T11" s="15">
        <f t="shared" si="14"/>
        <v>0</v>
      </c>
      <c r="U11" s="40">
        <v>1560</v>
      </c>
      <c r="V11" s="41">
        <f>SUMIFS(Transfers!$C$3:$C$86,Transfers!$D$3:$D$86,$A11,Transfers!$E$3:$E$86,U$2)</f>
        <v>0</v>
      </c>
      <c r="W11" s="42">
        <f t="shared" si="15"/>
        <v>-1560</v>
      </c>
      <c r="X11" s="3">
        <v>1560</v>
      </c>
      <c r="Y11" s="12">
        <f>SUMIFS(Transfers!$C$3:$C$86,Transfers!$D$3:$D$86,$A11,Transfers!$E$3:$E$86,X$2)</f>
        <v>0</v>
      </c>
      <c r="Z11" s="15">
        <f t="shared" si="16"/>
        <v>-1560</v>
      </c>
      <c r="AA11" s="40">
        <v>1560</v>
      </c>
      <c r="AB11" s="41">
        <f>SUMIFS(Transfers!$C$3:$C$86,Transfers!$D$3:$D$86,$A11,Transfers!$E$3:$E$86,AA$2)</f>
        <v>0</v>
      </c>
      <c r="AC11" s="42">
        <f t="shared" si="17"/>
        <v>-1560</v>
      </c>
      <c r="AD11" s="3">
        <v>1560</v>
      </c>
      <c r="AE11" s="12">
        <f>SUMIFS(Transfers!$C$3:$C$86,Transfers!$D$3:$D$86,$A11,Transfers!$E$3:$E$86,AD$2)</f>
        <v>0</v>
      </c>
      <c r="AF11" s="15">
        <f t="shared" si="18"/>
        <v>-1560</v>
      </c>
      <c r="AG11" s="40">
        <v>1560</v>
      </c>
      <c r="AH11" s="41">
        <f>SUMIFS(Transfers!$C$3:$C$86,Transfers!$D$3:$D$86,$A11,Transfers!$E$3:$E$86,AG$2)</f>
        <v>0</v>
      </c>
      <c r="AI11" s="42">
        <f t="shared" si="19"/>
        <v>-1560</v>
      </c>
      <c r="AJ11" s="3">
        <v>1560</v>
      </c>
      <c r="AK11" s="12">
        <f>SUMIFS(Transfers!$C$3:$C$86,Transfers!$D$3:$D$86,$A11,Transfers!$E$3:$E$86,AJ$2)</f>
        <v>0</v>
      </c>
      <c r="AL11" s="15">
        <f t="shared" si="20"/>
        <v>-1560</v>
      </c>
      <c r="AM11" s="47">
        <f t="shared" si="6"/>
        <v>18720</v>
      </c>
      <c r="AN11" s="47">
        <f t="shared" si="7"/>
        <v>3120</v>
      </c>
      <c r="AO11" s="47">
        <f t="shared" si="8"/>
        <v>-15600</v>
      </c>
    </row>
    <row r="12" spans="1:46" x14ac:dyDescent="0.2">
      <c r="A12" t="s">
        <v>45</v>
      </c>
      <c r="B12" s="27" t="s">
        <v>1</v>
      </c>
      <c r="C12" s="40">
        <v>80</v>
      </c>
      <c r="D12" s="41">
        <f>SUMIFS(Transfers!$C$3:$C$86,Transfers!$D$3:$D$86,$A12,Transfers!$E$3:$E$86,C$2)</f>
        <v>0</v>
      </c>
      <c r="E12" s="42">
        <f t="shared" si="9"/>
        <v>-80</v>
      </c>
      <c r="F12" s="3">
        <v>80</v>
      </c>
      <c r="G12" s="12">
        <f>SUMIFS(Transfers!$C$3:$C$86,Transfers!$D$3:$D$86,$A12,Transfers!$E$3:$E$86,F$2)</f>
        <v>0</v>
      </c>
      <c r="H12" s="15">
        <f t="shared" si="10"/>
        <v>-80</v>
      </c>
      <c r="I12" s="40">
        <v>80</v>
      </c>
      <c r="J12" s="41">
        <f>SUMIFS(Transfers!$C$3:$C$86,Transfers!$D$3:$D$86,$A12,Transfers!$E$3:$E$86,I$2)</f>
        <v>0</v>
      </c>
      <c r="K12" s="42">
        <f t="shared" si="11"/>
        <v>-80</v>
      </c>
      <c r="L12" s="3">
        <v>80</v>
      </c>
      <c r="M12" s="12">
        <f>SUMIFS(Transfers!$C$3:$C$86,Transfers!$D$3:$D$86,$A12,Transfers!$E$3:$E$86,L$2)</f>
        <v>0</v>
      </c>
      <c r="N12" s="15">
        <f t="shared" si="12"/>
        <v>-80</v>
      </c>
      <c r="O12" s="40">
        <v>80</v>
      </c>
      <c r="P12" s="41">
        <f>SUMIFS(Transfers!$C$3:$C$86,Transfers!$D$3:$D$86,$A12,Transfers!$E$3:$E$86,O$2)</f>
        <v>34.71</v>
      </c>
      <c r="Q12" s="42">
        <f t="shared" si="13"/>
        <v>-45.29</v>
      </c>
      <c r="R12" s="3">
        <v>80</v>
      </c>
      <c r="S12" s="12">
        <f>SUMIFS(Transfers!$C$3:$C$86,Transfers!$D$3:$D$86,$A12,Transfers!$E$3:$E$86,R$2)</f>
        <v>17.5</v>
      </c>
      <c r="T12" s="15">
        <f t="shared" si="14"/>
        <v>-62.5</v>
      </c>
      <c r="U12" s="40">
        <v>80</v>
      </c>
      <c r="V12" s="41">
        <f>SUMIFS(Transfers!$C$3:$C$86,Transfers!$D$3:$D$86,$A12,Transfers!$E$3:$E$86,U$2)</f>
        <v>0</v>
      </c>
      <c r="W12" s="42">
        <f t="shared" si="15"/>
        <v>-80</v>
      </c>
      <c r="X12" s="3">
        <v>80</v>
      </c>
      <c r="Y12" s="12">
        <f>SUMIFS(Transfers!$C$3:$C$86,Transfers!$D$3:$D$86,$A12,Transfers!$E$3:$E$86,X$2)</f>
        <v>0</v>
      </c>
      <c r="Z12" s="15">
        <f t="shared" si="16"/>
        <v>-80</v>
      </c>
      <c r="AA12" s="40">
        <v>80</v>
      </c>
      <c r="AB12" s="41">
        <f>SUMIFS(Transfers!$C$3:$C$86,Transfers!$D$3:$D$86,$A12,Transfers!$E$3:$E$86,AA$2)</f>
        <v>0</v>
      </c>
      <c r="AC12" s="42">
        <f t="shared" si="17"/>
        <v>-80</v>
      </c>
      <c r="AD12" s="3">
        <v>80</v>
      </c>
      <c r="AE12" s="12">
        <f>SUMIFS(Transfers!$C$3:$C$86,Transfers!$D$3:$D$86,$A12,Transfers!$E$3:$E$86,AD$2)</f>
        <v>0</v>
      </c>
      <c r="AF12" s="15">
        <f t="shared" si="18"/>
        <v>-80</v>
      </c>
      <c r="AG12" s="40">
        <v>80</v>
      </c>
      <c r="AH12" s="41">
        <f>SUMIFS(Transfers!$C$3:$C$86,Transfers!$D$3:$D$86,$A12,Transfers!$E$3:$E$86,AG$2)</f>
        <v>0</v>
      </c>
      <c r="AI12" s="42">
        <f t="shared" si="19"/>
        <v>-80</v>
      </c>
      <c r="AJ12" s="3">
        <v>80</v>
      </c>
      <c r="AK12" s="12">
        <f>SUMIFS(Transfers!$C$3:$C$86,Transfers!$D$3:$D$86,$A12,Transfers!$E$3:$E$86,AJ$2)</f>
        <v>0</v>
      </c>
      <c r="AL12" s="15">
        <f t="shared" si="20"/>
        <v>-80</v>
      </c>
      <c r="AM12" s="47">
        <f t="shared" si="6"/>
        <v>960</v>
      </c>
      <c r="AN12" s="47">
        <f t="shared" si="7"/>
        <v>52.21</v>
      </c>
      <c r="AO12" s="47">
        <f t="shared" si="8"/>
        <v>-907.79</v>
      </c>
    </row>
    <row r="13" spans="1:46" x14ac:dyDescent="0.2">
      <c r="A13" t="s">
        <v>46</v>
      </c>
      <c r="B13" s="27" t="s">
        <v>2</v>
      </c>
      <c r="C13" s="40">
        <v>120</v>
      </c>
      <c r="D13" s="41">
        <f>SUMIFS(Transfers!$C$3:$C$86,Transfers!$D$3:$D$86,$A13,Transfers!$E$3:$E$86,C$2)</f>
        <v>0</v>
      </c>
      <c r="E13" s="42">
        <f t="shared" si="9"/>
        <v>-120</v>
      </c>
      <c r="F13" s="3">
        <v>120</v>
      </c>
      <c r="G13" s="12">
        <f>SUMIFS(Transfers!$C$3:$C$86,Transfers!$D$3:$D$86,$A13,Transfers!$E$3:$E$86,F$2)</f>
        <v>0</v>
      </c>
      <c r="H13" s="15">
        <f t="shared" si="10"/>
        <v>-120</v>
      </c>
      <c r="I13" s="40">
        <v>120</v>
      </c>
      <c r="J13" s="41">
        <f>SUMIFS(Transfers!$C$3:$C$86,Transfers!$D$3:$D$86,$A13,Transfers!$E$3:$E$86,I$2)</f>
        <v>0</v>
      </c>
      <c r="K13" s="42">
        <f t="shared" si="11"/>
        <v>-120</v>
      </c>
      <c r="L13" s="3">
        <v>120</v>
      </c>
      <c r="M13" s="12">
        <f>SUMIFS(Transfers!$C$3:$C$86,Transfers!$D$3:$D$86,$A13,Transfers!$E$3:$E$86,L$2)</f>
        <v>0</v>
      </c>
      <c r="N13" s="15">
        <f t="shared" si="12"/>
        <v>-120</v>
      </c>
      <c r="O13" s="40">
        <v>120</v>
      </c>
      <c r="P13" s="41">
        <f>SUMIFS(Transfers!$C$3:$C$86,Transfers!$D$3:$D$86,$A13,Transfers!$E$3:$E$86,O$2)</f>
        <v>80</v>
      </c>
      <c r="Q13" s="42">
        <f t="shared" si="13"/>
        <v>-40</v>
      </c>
      <c r="R13" s="3">
        <v>120</v>
      </c>
      <c r="S13" s="12">
        <f>SUMIFS(Transfers!$C$3:$C$86,Transfers!$D$3:$D$86,$A13,Transfers!$E$3:$E$86,R$2)</f>
        <v>113.31</v>
      </c>
      <c r="T13" s="15">
        <f t="shared" si="14"/>
        <v>-6.6899999999999977</v>
      </c>
      <c r="U13" s="40">
        <v>120</v>
      </c>
      <c r="V13" s="41">
        <f>SUMIFS(Transfers!$C$3:$C$86,Transfers!$D$3:$D$86,$A13,Transfers!$E$3:$E$86,U$2)</f>
        <v>0</v>
      </c>
      <c r="W13" s="42">
        <f t="shared" si="15"/>
        <v>-120</v>
      </c>
      <c r="X13" s="3">
        <v>120</v>
      </c>
      <c r="Y13" s="12">
        <f>SUMIFS(Transfers!$C$3:$C$86,Transfers!$D$3:$D$86,$A13,Transfers!$E$3:$E$86,X$2)</f>
        <v>0</v>
      </c>
      <c r="Z13" s="15">
        <f t="shared" si="16"/>
        <v>-120</v>
      </c>
      <c r="AA13" s="40">
        <v>120</v>
      </c>
      <c r="AB13" s="41">
        <f>SUMIFS(Transfers!$C$3:$C$86,Transfers!$D$3:$D$86,$A13,Transfers!$E$3:$E$86,AA$2)</f>
        <v>0</v>
      </c>
      <c r="AC13" s="42">
        <f t="shared" si="17"/>
        <v>-120</v>
      </c>
      <c r="AD13" s="3">
        <v>120</v>
      </c>
      <c r="AE13" s="12">
        <f>SUMIFS(Transfers!$C$3:$C$86,Transfers!$D$3:$D$86,$A13,Transfers!$E$3:$E$86,AD$2)</f>
        <v>0</v>
      </c>
      <c r="AF13" s="15">
        <f t="shared" si="18"/>
        <v>-120</v>
      </c>
      <c r="AG13" s="40">
        <v>120</v>
      </c>
      <c r="AH13" s="41">
        <f>SUMIFS(Transfers!$C$3:$C$86,Transfers!$D$3:$D$86,$A13,Transfers!$E$3:$E$86,AG$2)</f>
        <v>0</v>
      </c>
      <c r="AI13" s="42">
        <f t="shared" si="19"/>
        <v>-120</v>
      </c>
      <c r="AJ13" s="3">
        <v>120</v>
      </c>
      <c r="AK13" s="12">
        <f>SUMIFS(Transfers!$C$3:$C$86,Transfers!$D$3:$D$86,$A13,Transfers!$E$3:$E$86,AJ$2)</f>
        <v>0</v>
      </c>
      <c r="AL13" s="15">
        <f t="shared" si="20"/>
        <v>-120</v>
      </c>
      <c r="AM13" s="47">
        <f t="shared" si="6"/>
        <v>1440</v>
      </c>
      <c r="AN13" s="47">
        <f t="shared" si="7"/>
        <v>193.31</v>
      </c>
      <c r="AO13" s="47">
        <f t="shared" si="8"/>
        <v>-1246.69</v>
      </c>
    </row>
    <row r="14" spans="1:46" x14ac:dyDescent="0.2">
      <c r="A14" t="s">
        <v>47</v>
      </c>
      <c r="B14" s="27" t="s">
        <v>3</v>
      </c>
      <c r="C14" s="40">
        <v>60</v>
      </c>
      <c r="D14" s="41">
        <f>SUMIFS(Transfers!$C$3:$C$86,Transfers!$D$3:$D$86,$A14,Transfers!$E$3:$E$86,C$2)</f>
        <v>0</v>
      </c>
      <c r="E14" s="42">
        <f t="shared" si="9"/>
        <v>-60</v>
      </c>
      <c r="F14" s="3">
        <v>60</v>
      </c>
      <c r="G14" s="12">
        <f>SUMIFS(Transfers!$C$3:$C$86,Transfers!$D$3:$D$86,$A14,Transfers!$E$3:$E$86,F$2)</f>
        <v>0</v>
      </c>
      <c r="H14" s="15">
        <f t="shared" si="10"/>
        <v>-60</v>
      </c>
      <c r="I14" s="40">
        <v>60</v>
      </c>
      <c r="J14" s="41">
        <f>SUMIFS(Transfers!$C$3:$C$86,Transfers!$D$3:$D$86,$A14,Transfers!$E$3:$E$86,I$2)</f>
        <v>0</v>
      </c>
      <c r="K14" s="42">
        <f t="shared" si="11"/>
        <v>-60</v>
      </c>
      <c r="L14" s="3">
        <v>60</v>
      </c>
      <c r="M14" s="12">
        <f>SUMIFS(Transfers!$C$3:$C$86,Transfers!$D$3:$D$86,$A14,Transfers!$E$3:$E$86,L$2)</f>
        <v>0</v>
      </c>
      <c r="N14" s="15">
        <f t="shared" si="12"/>
        <v>-60</v>
      </c>
      <c r="O14" s="40">
        <v>60</v>
      </c>
      <c r="P14" s="41">
        <f>SUMIFS(Transfers!$C$3:$C$86,Transfers!$D$3:$D$86,$A14,Transfers!$E$3:$E$86,O$2)</f>
        <v>212.10000000000002</v>
      </c>
      <c r="Q14" s="42">
        <f t="shared" si="13"/>
        <v>152.10000000000002</v>
      </c>
      <c r="R14" s="3">
        <v>60</v>
      </c>
      <c r="S14" s="12">
        <f>SUMIFS(Transfers!$C$3:$C$86,Transfers!$D$3:$D$86,$A14,Transfers!$E$3:$E$86,R$2)</f>
        <v>98.79</v>
      </c>
      <c r="T14" s="15">
        <f t="shared" si="14"/>
        <v>38.790000000000006</v>
      </c>
      <c r="U14" s="40">
        <v>100</v>
      </c>
      <c r="V14" s="41">
        <f>SUMIFS(Transfers!$C$3:$C$86,Transfers!$D$3:$D$86,$A14,Transfers!$E$3:$E$86,U$2)</f>
        <v>0</v>
      </c>
      <c r="W14" s="42">
        <f t="shared" si="15"/>
        <v>-100</v>
      </c>
      <c r="X14" s="3">
        <v>60</v>
      </c>
      <c r="Y14" s="12">
        <f>SUMIFS(Transfers!$C$3:$C$86,Transfers!$D$3:$D$86,$A14,Transfers!$E$3:$E$86,X$2)</f>
        <v>0</v>
      </c>
      <c r="Z14" s="15">
        <f t="shared" si="16"/>
        <v>-60</v>
      </c>
      <c r="AA14" s="40">
        <v>60</v>
      </c>
      <c r="AB14" s="41">
        <f>SUMIFS(Transfers!$C$3:$C$86,Transfers!$D$3:$D$86,$A14,Transfers!$E$3:$E$86,AA$2)</f>
        <v>0</v>
      </c>
      <c r="AC14" s="42">
        <f t="shared" si="17"/>
        <v>-60</v>
      </c>
      <c r="AD14" s="3">
        <v>60</v>
      </c>
      <c r="AE14" s="12">
        <f>SUMIFS(Transfers!$C$3:$C$86,Transfers!$D$3:$D$86,$A14,Transfers!$E$3:$E$86,AD$2)</f>
        <v>0</v>
      </c>
      <c r="AF14" s="15">
        <f t="shared" si="18"/>
        <v>-60</v>
      </c>
      <c r="AG14" s="40">
        <v>60</v>
      </c>
      <c r="AH14" s="41">
        <f>SUMIFS(Transfers!$C$3:$C$86,Transfers!$D$3:$D$86,$A14,Transfers!$E$3:$E$86,AG$2)</f>
        <v>0</v>
      </c>
      <c r="AI14" s="42">
        <f t="shared" si="19"/>
        <v>-60</v>
      </c>
      <c r="AJ14" s="3">
        <v>60</v>
      </c>
      <c r="AK14" s="12">
        <f>SUMIFS(Transfers!$C$3:$C$86,Transfers!$D$3:$D$86,$A14,Transfers!$E$3:$E$86,AJ$2)</f>
        <v>0</v>
      </c>
      <c r="AL14" s="15">
        <f t="shared" si="20"/>
        <v>-60</v>
      </c>
      <c r="AM14" s="47">
        <f t="shared" si="6"/>
        <v>760</v>
      </c>
      <c r="AN14" s="47">
        <f t="shared" si="7"/>
        <v>310.89000000000004</v>
      </c>
      <c r="AO14" s="47">
        <f t="shared" si="8"/>
        <v>-449.10999999999996</v>
      </c>
    </row>
    <row r="15" spans="1:46" x14ac:dyDescent="0.2">
      <c r="A15" t="s">
        <v>48</v>
      </c>
      <c r="B15" s="27" t="s">
        <v>4</v>
      </c>
      <c r="C15" s="40">
        <v>30</v>
      </c>
      <c r="D15" s="41">
        <f>SUMIFS(Transfers!$C$3:$C$86,Transfers!$D$3:$D$86,$A15,Transfers!$E$3:$E$86,C$2)</f>
        <v>0</v>
      </c>
      <c r="E15" s="42">
        <f t="shared" si="9"/>
        <v>-30</v>
      </c>
      <c r="F15" s="3">
        <v>30</v>
      </c>
      <c r="G15" s="12">
        <f>SUMIFS(Transfers!$C$3:$C$86,Transfers!$D$3:$D$86,$A15,Transfers!$E$3:$E$86,F$2)</f>
        <v>0</v>
      </c>
      <c r="H15" s="15">
        <f t="shared" si="10"/>
        <v>-30</v>
      </c>
      <c r="I15" s="40">
        <v>30</v>
      </c>
      <c r="J15" s="41">
        <f>SUMIFS(Transfers!$C$3:$C$86,Transfers!$D$3:$D$86,$A15,Transfers!$E$3:$E$86,I$2)</f>
        <v>0</v>
      </c>
      <c r="K15" s="42">
        <f t="shared" si="11"/>
        <v>-30</v>
      </c>
      <c r="L15" s="3">
        <v>30</v>
      </c>
      <c r="M15" s="12">
        <f>SUMIFS(Transfers!$C$3:$C$86,Transfers!$D$3:$D$86,$A15,Transfers!$E$3:$E$86,L$2)</f>
        <v>0</v>
      </c>
      <c r="N15" s="15">
        <f t="shared" si="12"/>
        <v>-30</v>
      </c>
      <c r="O15" s="40">
        <v>30</v>
      </c>
      <c r="P15" s="41">
        <f>SUMIFS(Transfers!$C$3:$C$86,Transfers!$D$3:$D$86,$A15,Transfers!$E$3:$E$86,O$2)</f>
        <v>58.73</v>
      </c>
      <c r="Q15" s="42">
        <f t="shared" si="13"/>
        <v>28.729999999999997</v>
      </c>
      <c r="R15" s="3">
        <v>30</v>
      </c>
      <c r="S15" s="12">
        <f>SUMIFS(Transfers!$C$3:$C$86,Transfers!$D$3:$D$86,$A15,Transfers!$E$3:$E$86,R$2)</f>
        <v>58.73</v>
      </c>
      <c r="T15" s="15">
        <f t="shared" si="14"/>
        <v>28.729999999999997</v>
      </c>
      <c r="U15" s="40">
        <v>60</v>
      </c>
      <c r="V15" s="41">
        <f>SUMIFS(Transfers!$C$3:$C$86,Transfers!$D$3:$D$86,$A15,Transfers!$E$3:$E$86,U$2)</f>
        <v>0</v>
      </c>
      <c r="W15" s="42">
        <f t="shared" si="15"/>
        <v>-60</v>
      </c>
      <c r="X15" s="3">
        <v>30</v>
      </c>
      <c r="Y15" s="12">
        <f>SUMIFS(Transfers!$C$3:$C$86,Transfers!$D$3:$D$86,$A15,Transfers!$E$3:$E$86,X$2)</f>
        <v>0</v>
      </c>
      <c r="Z15" s="15">
        <f t="shared" si="16"/>
        <v>-30</v>
      </c>
      <c r="AA15" s="40">
        <v>30</v>
      </c>
      <c r="AB15" s="41">
        <f>SUMIFS(Transfers!$C$3:$C$86,Transfers!$D$3:$D$86,$A15,Transfers!$E$3:$E$86,AA$2)</f>
        <v>0</v>
      </c>
      <c r="AC15" s="42">
        <f t="shared" si="17"/>
        <v>-30</v>
      </c>
      <c r="AD15" s="3">
        <v>30</v>
      </c>
      <c r="AE15" s="12">
        <f>SUMIFS(Transfers!$C$3:$C$86,Transfers!$D$3:$D$86,$A15,Transfers!$E$3:$E$86,AD$2)</f>
        <v>0</v>
      </c>
      <c r="AF15" s="15">
        <f t="shared" si="18"/>
        <v>-30</v>
      </c>
      <c r="AG15" s="40">
        <v>30</v>
      </c>
      <c r="AH15" s="41">
        <f>SUMIFS(Transfers!$C$3:$C$86,Transfers!$D$3:$D$86,$A15,Transfers!$E$3:$E$86,AG$2)</f>
        <v>0</v>
      </c>
      <c r="AI15" s="42">
        <f t="shared" si="19"/>
        <v>-30</v>
      </c>
      <c r="AJ15" s="3">
        <v>30</v>
      </c>
      <c r="AK15" s="12">
        <f>SUMIFS(Transfers!$C$3:$C$86,Transfers!$D$3:$D$86,$A15,Transfers!$E$3:$E$86,AJ$2)</f>
        <v>0</v>
      </c>
      <c r="AL15" s="15">
        <f t="shared" si="20"/>
        <v>-30</v>
      </c>
      <c r="AM15" s="47">
        <f t="shared" si="6"/>
        <v>390</v>
      </c>
      <c r="AN15" s="47">
        <f t="shared" si="7"/>
        <v>117.46</v>
      </c>
      <c r="AO15" s="47">
        <f t="shared" si="8"/>
        <v>-272.54000000000002</v>
      </c>
    </row>
    <row r="16" spans="1:46" x14ac:dyDescent="0.2">
      <c r="A16" t="s">
        <v>49</v>
      </c>
      <c r="B16" s="27" t="s">
        <v>5</v>
      </c>
      <c r="C16" s="40">
        <v>50</v>
      </c>
      <c r="D16" s="41">
        <f>SUMIFS(Transfers!$C$3:$C$86,Transfers!$D$3:$D$86,$A16,Transfers!$E$3:$E$86,C$2)</f>
        <v>0</v>
      </c>
      <c r="E16" s="42">
        <f t="shared" si="9"/>
        <v>-50</v>
      </c>
      <c r="F16" s="3">
        <v>50</v>
      </c>
      <c r="G16" s="12">
        <f>SUMIFS(Transfers!$C$3:$C$86,Transfers!$D$3:$D$86,$A16,Transfers!$E$3:$E$86,F$2)</f>
        <v>0</v>
      </c>
      <c r="H16" s="15">
        <f t="shared" si="10"/>
        <v>-50</v>
      </c>
      <c r="I16" s="40">
        <v>50</v>
      </c>
      <c r="J16" s="41">
        <f>SUMIFS(Transfers!$C$3:$C$86,Transfers!$D$3:$D$86,$A16,Transfers!$E$3:$E$86,I$2)</f>
        <v>0</v>
      </c>
      <c r="K16" s="42">
        <f t="shared" si="11"/>
        <v>-50</v>
      </c>
      <c r="L16" s="3">
        <v>50</v>
      </c>
      <c r="M16" s="12">
        <f>SUMIFS(Transfers!$C$3:$C$86,Transfers!$D$3:$D$86,$A16,Transfers!$E$3:$E$86,L$2)</f>
        <v>0</v>
      </c>
      <c r="N16" s="15">
        <f t="shared" si="12"/>
        <v>-50</v>
      </c>
      <c r="O16" s="40">
        <v>50</v>
      </c>
      <c r="P16" s="41">
        <f>SUMIFS(Transfers!$C$3:$C$86,Transfers!$D$3:$D$86,$A16,Transfers!$E$3:$E$86,O$2)</f>
        <v>55</v>
      </c>
      <c r="Q16" s="42">
        <f t="shared" si="13"/>
        <v>5</v>
      </c>
      <c r="R16" s="3">
        <v>50</v>
      </c>
      <c r="S16" s="12">
        <f>SUMIFS(Transfers!$C$3:$C$86,Transfers!$D$3:$D$86,$A16,Transfers!$E$3:$E$86,R$2)</f>
        <v>55</v>
      </c>
      <c r="T16" s="15">
        <f t="shared" si="14"/>
        <v>5</v>
      </c>
      <c r="U16" s="40">
        <v>55</v>
      </c>
      <c r="V16" s="41">
        <f>SUMIFS(Transfers!$C$3:$C$86,Transfers!$D$3:$D$86,$A16,Transfers!$E$3:$E$86,U$2)</f>
        <v>0</v>
      </c>
      <c r="W16" s="42">
        <f t="shared" si="15"/>
        <v>-55</v>
      </c>
      <c r="X16" s="3">
        <v>50</v>
      </c>
      <c r="Y16" s="12">
        <f>SUMIFS(Transfers!$C$3:$C$86,Transfers!$D$3:$D$86,$A16,Transfers!$E$3:$E$86,X$2)</f>
        <v>0</v>
      </c>
      <c r="Z16" s="15">
        <f t="shared" si="16"/>
        <v>-50</v>
      </c>
      <c r="AA16" s="40">
        <v>50</v>
      </c>
      <c r="AB16" s="41">
        <f>SUMIFS(Transfers!$C$3:$C$86,Transfers!$D$3:$D$86,$A16,Transfers!$E$3:$E$86,AA$2)</f>
        <v>0</v>
      </c>
      <c r="AC16" s="42">
        <f t="shared" si="17"/>
        <v>-50</v>
      </c>
      <c r="AD16" s="3">
        <v>50</v>
      </c>
      <c r="AE16" s="12">
        <f>SUMIFS(Transfers!$C$3:$C$86,Transfers!$D$3:$D$86,$A16,Transfers!$E$3:$E$86,AD$2)</f>
        <v>0</v>
      </c>
      <c r="AF16" s="15">
        <f t="shared" si="18"/>
        <v>-50</v>
      </c>
      <c r="AG16" s="40">
        <v>50</v>
      </c>
      <c r="AH16" s="41">
        <f>SUMIFS(Transfers!$C$3:$C$86,Transfers!$D$3:$D$86,$A16,Transfers!$E$3:$E$86,AG$2)</f>
        <v>0</v>
      </c>
      <c r="AI16" s="42">
        <f t="shared" si="19"/>
        <v>-50</v>
      </c>
      <c r="AJ16" s="3">
        <v>50</v>
      </c>
      <c r="AK16" s="12">
        <f>SUMIFS(Transfers!$C$3:$C$86,Transfers!$D$3:$D$86,$A16,Transfers!$E$3:$E$86,AJ$2)</f>
        <v>0</v>
      </c>
      <c r="AL16" s="15">
        <f t="shared" si="20"/>
        <v>-50</v>
      </c>
      <c r="AM16" s="47">
        <f t="shared" si="6"/>
        <v>605</v>
      </c>
      <c r="AN16" s="47">
        <f t="shared" si="7"/>
        <v>110</v>
      </c>
      <c r="AO16" s="47">
        <f t="shared" si="8"/>
        <v>-495</v>
      </c>
    </row>
    <row r="17" spans="1:41" x14ac:dyDescent="0.2">
      <c r="A17" t="s">
        <v>50</v>
      </c>
      <c r="B17" s="27" t="s">
        <v>6</v>
      </c>
      <c r="C17" s="40">
        <v>200</v>
      </c>
      <c r="D17" s="41">
        <f>SUMIFS(Transfers!$C$3:$C$86,Transfers!$D$3:$D$86,$A17,Transfers!$E$3:$E$86,C$2)</f>
        <v>0</v>
      </c>
      <c r="E17" s="42">
        <f t="shared" si="9"/>
        <v>-200</v>
      </c>
      <c r="F17" s="3">
        <v>200</v>
      </c>
      <c r="G17" s="12">
        <f>SUMIFS(Transfers!$C$3:$C$86,Transfers!$D$3:$D$86,$A17,Transfers!$E$3:$E$86,F$2)</f>
        <v>0</v>
      </c>
      <c r="H17" s="15">
        <f t="shared" si="10"/>
        <v>-200</v>
      </c>
      <c r="I17" s="40">
        <v>200</v>
      </c>
      <c r="J17" s="41">
        <f>SUMIFS(Transfers!$C$3:$C$86,Transfers!$D$3:$D$86,$A17,Transfers!$E$3:$E$86,I$2)</f>
        <v>0</v>
      </c>
      <c r="K17" s="42">
        <f t="shared" si="11"/>
        <v>-200</v>
      </c>
      <c r="L17" s="3">
        <v>200</v>
      </c>
      <c r="M17" s="12">
        <f>SUMIFS(Transfers!$C$3:$C$86,Transfers!$D$3:$D$86,$A17,Transfers!$E$3:$E$86,L$2)</f>
        <v>0</v>
      </c>
      <c r="N17" s="15">
        <f t="shared" si="12"/>
        <v>-200</v>
      </c>
      <c r="O17" s="40">
        <v>200</v>
      </c>
      <c r="P17" s="41">
        <f>SUMIFS(Transfers!$C$3:$C$86,Transfers!$D$3:$D$86,$A17,Transfers!$E$3:$E$86,O$2)</f>
        <v>189.47</v>
      </c>
      <c r="Q17" s="42">
        <f t="shared" si="13"/>
        <v>-10.530000000000001</v>
      </c>
      <c r="R17" s="3">
        <v>200</v>
      </c>
      <c r="S17" s="12">
        <f>SUMIFS(Transfers!$C$3:$C$86,Transfers!$D$3:$D$86,$A17,Transfers!$E$3:$E$86,R$2)</f>
        <v>189.47</v>
      </c>
      <c r="T17" s="15">
        <f t="shared" si="14"/>
        <v>-10.530000000000001</v>
      </c>
      <c r="U17" s="40">
        <v>200</v>
      </c>
      <c r="V17" s="41">
        <f>SUMIFS(Transfers!$C$3:$C$86,Transfers!$D$3:$D$86,$A17,Transfers!$E$3:$E$86,U$2)</f>
        <v>0</v>
      </c>
      <c r="W17" s="42">
        <f t="shared" si="15"/>
        <v>-200</v>
      </c>
      <c r="X17" s="3">
        <v>200</v>
      </c>
      <c r="Y17" s="12">
        <f>SUMIFS(Transfers!$C$3:$C$86,Transfers!$D$3:$D$86,$A17,Transfers!$E$3:$E$86,X$2)</f>
        <v>0</v>
      </c>
      <c r="Z17" s="15">
        <f t="shared" si="16"/>
        <v>-200</v>
      </c>
      <c r="AA17" s="40">
        <v>200</v>
      </c>
      <c r="AB17" s="41">
        <f>SUMIFS(Transfers!$C$3:$C$86,Transfers!$D$3:$D$86,$A17,Transfers!$E$3:$E$86,AA$2)</f>
        <v>0</v>
      </c>
      <c r="AC17" s="42">
        <f t="shared" si="17"/>
        <v>-200</v>
      </c>
      <c r="AD17" s="3">
        <v>200</v>
      </c>
      <c r="AE17" s="12">
        <f>SUMIFS(Transfers!$C$3:$C$86,Transfers!$D$3:$D$86,$A17,Transfers!$E$3:$E$86,AD$2)</f>
        <v>0</v>
      </c>
      <c r="AF17" s="15">
        <f t="shared" si="18"/>
        <v>-200</v>
      </c>
      <c r="AG17" s="40">
        <v>200</v>
      </c>
      <c r="AH17" s="41">
        <f>SUMIFS(Transfers!$C$3:$C$86,Transfers!$D$3:$D$86,$A17,Transfers!$E$3:$E$86,AG$2)</f>
        <v>0</v>
      </c>
      <c r="AI17" s="42">
        <f t="shared" si="19"/>
        <v>-200</v>
      </c>
      <c r="AJ17" s="3">
        <v>200</v>
      </c>
      <c r="AK17" s="12">
        <f>SUMIFS(Transfers!$C$3:$C$86,Transfers!$D$3:$D$86,$A17,Transfers!$E$3:$E$86,AJ$2)</f>
        <v>0</v>
      </c>
      <c r="AL17" s="15">
        <f t="shared" si="20"/>
        <v>-200</v>
      </c>
      <c r="AM17" s="47">
        <f t="shared" si="6"/>
        <v>2400</v>
      </c>
      <c r="AN17" s="47">
        <f t="shared" si="7"/>
        <v>378.94</v>
      </c>
      <c r="AO17" s="47">
        <f t="shared" si="8"/>
        <v>-2021.06</v>
      </c>
    </row>
    <row r="18" spans="1:41" x14ac:dyDescent="0.2">
      <c r="A18" t="s">
        <v>51</v>
      </c>
      <c r="B18" s="27" t="s">
        <v>11</v>
      </c>
      <c r="C18" s="40">
        <v>300</v>
      </c>
      <c r="D18" s="41">
        <f>SUMIFS(Transfers!$C$3:$C$86,Transfers!$D$3:$D$86,$A18,Transfers!$E$3:$E$86,C$2)</f>
        <v>0</v>
      </c>
      <c r="E18" s="42">
        <f t="shared" si="9"/>
        <v>-300</v>
      </c>
      <c r="F18" s="3">
        <v>300</v>
      </c>
      <c r="G18" s="12">
        <f>SUMIFS(Transfers!$C$3:$C$86,Transfers!$D$3:$D$86,$A18,Transfers!$E$3:$E$86,F$2)</f>
        <v>0</v>
      </c>
      <c r="H18" s="15">
        <f t="shared" si="10"/>
        <v>-300</v>
      </c>
      <c r="I18" s="40">
        <v>300</v>
      </c>
      <c r="J18" s="41">
        <f>SUMIFS(Transfers!$C$3:$C$86,Transfers!$D$3:$D$86,$A18,Transfers!$E$3:$E$86,I$2)</f>
        <v>0</v>
      </c>
      <c r="K18" s="42">
        <f t="shared" si="11"/>
        <v>-300</v>
      </c>
      <c r="L18" s="3">
        <v>300</v>
      </c>
      <c r="M18" s="12">
        <f>SUMIFS(Transfers!$C$3:$C$86,Transfers!$D$3:$D$86,$A18,Transfers!$E$3:$E$86,L$2)</f>
        <v>0</v>
      </c>
      <c r="N18" s="15">
        <f t="shared" si="12"/>
        <v>-300</v>
      </c>
      <c r="O18" s="40">
        <v>300</v>
      </c>
      <c r="P18" s="41">
        <f>SUMIFS(Transfers!$C$3:$C$86,Transfers!$D$3:$D$86,$A18,Transfers!$E$3:$E$86,O$2)</f>
        <v>403.4</v>
      </c>
      <c r="Q18" s="42">
        <f t="shared" si="13"/>
        <v>103.39999999999998</v>
      </c>
      <c r="R18" s="3">
        <v>300</v>
      </c>
      <c r="S18" s="12">
        <f>SUMIFS(Transfers!$C$3:$C$86,Transfers!$D$3:$D$86,$A18,Transfers!$E$3:$E$86,R$2)</f>
        <v>458</v>
      </c>
      <c r="T18" s="15">
        <f t="shared" si="14"/>
        <v>158</v>
      </c>
      <c r="U18" s="40">
        <v>450</v>
      </c>
      <c r="V18" s="41">
        <f>SUMIFS(Transfers!$C$3:$C$86,Transfers!$D$3:$D$86,$A18,Transfers!$E$3:$E$86,U$2)</f>
        <v>0</v>
      </c>
      <c r="W18" s="42">
        <f t="shared" si="15"/>
        <v>-450</v>
      </c>
      <c r="X18" s="3">
        <v>300</v>
      </c>
      <c r="Y18" s="12">
        <f>SUMIFS(Transfers!$C$3:$C$86,Transfers!$D$3:$D$86,$A18,Transfers!$E$3:$E$86,X$2)</f>
        <v>0</v>
      </c>
      <c r="Z18" s="15">
        <f t="shared" si="16"/>
        <v>-300</v>
      </c>
      <c r="AA18" s="40">
        <v>300</v>
      </c>
      <c r="AB18" s="41">
        <f>SUMIFS(Transfers!$C$3:$C$86,Transfers!$D$3:$D$86,$A18,Transfers!$E$3:$E$86,AA$2)</f>
        <v>0</v>
      </c>
      <c r="AC18" s="42">
        <f t="shared" si="17"/>
        <v>-300</v>
      </c>
      <c r="AD18" s="3">
        <v>300</v>
      </c>
      <c r="AE18" s="12">
        <f>SUMIFS(Transfers!$C$3:$C$86,Transfers!$D$3:$D$86,$A18,Transfers!$E$3:$E$86,AD$2)</f>
        <v>0</v>
      </c>
      <c r="AF18" s="15">
        <f t="shared" si="18"/>
        <v>-300</v>
      </c>
      <c r="AG18" s="40">
        <v>300</v>
      </c>
      <c r="AH18" s="41">
        <f>SUMIFS(Transfers!$C$3:$C$86,Transfers!$D$3:$D$86,$A18,Transfers!$E$3:$E$86,AG$2)</f>
        <v>0</v>
      </c>
      <c r="AI18" s="42">
        <f t="shared" si="19"/>
        <v>-300</v>
      </c>
      <c r="AJ18" s="3">
        <v>300</v>
      </c>
      <c r="AK18" s="12">
        <f>SUMIFS(Transfers!$C$3:$C$86,Transfers!$D$3:$D$86,$A18,Transfers!$E$3:$E$86,AJ$2)</f>
        <v>0</v>
      </c>
      <c r="AL18" s="15">
        <f t="shared" si="20"/>
        <v>-300</v>
      </c>
      <c r="AM18" s="47">
        <f t="shared" si="6"/>
        <v>3750</v>
      </c>
      <c r="AN18" s="47">
        <f t="shared" si="7"/>
        <v>861.4</v>
      </c>
      <c r="AO18" s="47">
        <f t="shared" si="8"/>
        <v>-2888.6</v>
      </c>
    </row>
    <row r="19" spans="1:41" x14ac:dyDescent="0.2">
      <c r="A19" t="s">
        <v>52</v>
      </c>
      <c r="B19" s="27" t="s">
        <v>12</v>
      </c>
      <c r="C19" s="40">
        <v>650</v>
      </c>
      <c r="D19" s="41">
        <f>SUMIFS(Transfers!$C$3:$C$86,Transfers!$D$3:$D$86,$A19,Transfers!$E$3:$E$86,C$2)</f>
        <v>0</v>
      </c>
      <c r="E19" s="42">
        <f t="shared" si="9"/>
        <v>-650</v>
      </c>
      <c r="F19" s="3">
        <v>650</v>
      </c>
      <c r="G19" s="12">
        <f>SUMIFS(Transfers!$C$3:$C$86,Transfers!$D$3:$D$86,$A19,Transfers!$E$3:$E$86,F$2)</f>
        <v>0</v>
      </c>
      <c r="H19" s="15">
        <f t="shared" si="10"/>
        <v>-650</v>
      </c>
      <c r="I19" s="40">
        <v>650</v>
      </c>
      <c r="J19" s="41">
        <f>SUMIFS(Transfers!$C$3:$C$86,Transfers!$D$3:$D$86,$A19,Transfers!$E$3:$E$86,I$2)</f>
        <v>0</v>
      </c>
      <c r="K19" s="42">
        <f t="shared" si="11"/>
        <v>-650</v>
      </c>
      <c r="L19" s="3">
        <v>650</v>
      </c>
      <c r="M19" s="12">
        <f>SUMIFS(Transfers!$C$3:$C$86,Transfers!$D$3:$D$86,$A19,Transfers!$E$3:$E$86,L$2)</f>
        <v>0</v>
      </c>
      <c r="N19" s="15">
        <f t="shared" si="12"/>
        <v>-650</v>
      </c>
      <c r="O19" s="40">
        <v>650</v>
      </c>
      <c r="P19" s="41">
        <f>SUMIFS(Transfers!$C$3:$C$86,Transfers!$D$3:$D$86,$A19,Transfers!$E$3:$E$86,O$2)</f>
        <v>799.46</v>
      </c>
      <c r="Q19" s="42">
        <f t="shared" si="13"/>
        <v>149.46000000000004</v>
      </c>
      <c r="R19" s="3">
        <v>650</v>
      </c>
      <c r="S19" s="12">
        <f>SUMIFS(Transfers!$C$3:$C$86,Transfers!$D$3:$D$86,$A19,Transfers!$E$3:$E$86,R$2)</f>
        <v>799.46</v>
      </c>
      <c r="T19" s="15">
        <f t="shared" si="14"/>
        <v>149.46000000000004</v>
      </c>
      <c r="U19" s="40">
        <v>800</v>
      </c>
      <c r="V19" s="41">
        <f>SUMIFS(Transfers!$C$3:$C$86,Transfers!$D$3:$D$86,$A19,Transfers!$E$3:$E$86,U$2)</f>
        <v>0</v>
      </c>
      <c r="W19" s="42">
        <f t="shared" si="15"/>
        <v>-800</v>
      </c>
      <c r="X19" s="3">
        <v>650</v>
      </c>
      <c r="Y19" s="12">
        <f>SUMIFS(Transfers!$C$3:$C$86,Transfers!$D$3:$D$86,$A19,Transfers!$E$3:$E$86,X$2)</f>
        <v>0</v>
      </c>
      <c r="Z19" s="15">
        <f t="shared" si="16"/>
        <v>-650</v>
      </c>
      <c r="AA19" s="40">
        <v>650</v>
      </c>
      <c r="AB19" s="41">
        <f>SUMIFS(Transfers!$C$3:$C$86,Transfers!$D$3:$D$86,$A19,Transfers!$E$3:$E$86,AA$2)</f>
        <v>0</v>
      </c>
      <c r="AC19" s="42">
        <f t="shared" si="17"/>
        <v>-650</v>
      </c>
      <c r="AD19" s="3">
        <v>650</v>
      </c>
      <c r="AE19" s="12">
        <f>SUMIFS(Transfers!$C$3:$C$86,Transfers!$D$3:$D$86,$A19,Transfers!$E$3:$E$86,AD$2)</f>
        <v>0</v>
      </c>
      <c r="AF19" s="15">
        <f t="shared" si="18"/>
        <v>-650</v>
      </c>
      <c r="AG19" s="40">
        <v>650</v>
      </c>
      <c r="AH19" s="41">
        <f>SUMIFS(Transfers!$C$3:$C$86,Transfers!$D$3:$D$86,$A19,Transfers!$E$3:$E$86,AG$2)</f>
        <v>0</v>
      </c>
      <c r="AI19" s="42">
        <f t="shared" si="19"/>
        <v>-650</v>
      </c>
      <c r="AJ19" s="3">
        <v>650</v>
      </c>
      <c r="AK19" s="12">
        <f>SUMIFS(Transfers!$C$3:$C$86,Transfers!$D$3:$D$86,$A19,Transfers!$E$3:$E$86,AJ$2)</f>
        <v>0</v>
      </c>
      <c r="AL19" s="15">
        <f t="shared" si="20"/>
        <v>-650</v>
      </c>
      <c r="AM19" s="47">
        <f t="shared" si="6"/>
        <v>7950</v>
      </c>
      <c r="AN19" s="47">
        <f t="shared" si="7"/>
        <v>1598.92</v>
      </c>
      <c r="AO19" s="47">
        <f t="shared" si="8"/>
        <v>-6351.08</v>
      </c>
    </row>
    <row r="20" spans="1:41" ht="17" thickBot="1" x14ac:dyDescent="0.25">
      <c r="A20" t="s">
        <v>53</v>
      </c>
      <c r="B20" s="25" t="s">
        <v>14</v>
      </c>
      <c r="C20" s="33">
        <v>120</v>
      </c>
      <c r="D20" s="34">
        <f>SUMIFS(Transfers!$C$3:$C$86,Transfers!$D$3:$D$86,$A20,Transfers!$E$3:$E$86,C$2)</f>
        <v>0</v>
      </c>
      <c r="E20" s="35">
        <f t="shared" si="9"/>
        <v>-120</v>
      </c>
      <c r="F20" s="4">
        <v>120</v>
      </c>
      <c r="G20" s="16">
        <f>SUMIFS(Transfers!$C$3:$C$86,Transfers!$D$3:$D$86,$A20,Transfers!$E$3:$E$86,F$2)</f>
        <v>0</v>
      </c>
      <c r="H20" s="17">
        <f t="shared" si="10"/>
        <v>-120</v>
      </c>
      <c r="I20" s="33">
        <v>120</v>
      </c>
      <c r="J20" s="34">
        <f>SUMIFS(Transfers!$C$3:$C$86,Transfers!$D$3:$D$86,$A20,Transfers!$E$3:$E$86,I$2)</f>
        <v>0</v>
      </c>
      <c r="K20" s="35">
        <f t="shared" si="11"/>
        <v>-120</v>
      </c>
      <c r="L20" s="4">
        <v>120</v>
      </c>
      <c r="M20" s="16">
        <f>SUMIFS(Transfers!$C$3:$C$86,Transfers!$D$3:$D$86,$A20,Transfers!$E$3:$E$86,L$2)</f>
        <v>0</v>
      </c>
      <c r="N20" s="17">
        <f t="shared" si="12"/>
        <v>-120</v>
      </c>
      <c r="O20" s="33">
        <v>120</v>
      </c>
      <c r="P20" s="41">
        <f>SUMIFS(Transfers!$C$3:$C$86,Transfers!$D$3:$D$86,$A20,Transfers!$E$3:$E$86,O$2)</f>
        <v>118.25</v>
      </c>
      <c r="Q20" s="35">
        <f t="shared" si="13"/>
        <v>-1.75</v>
      </c>
      <c r="R20" s="4">
        <v>120</v>
      </c>
      <c r="S20" s="16">
        <f>SUMIFS(Transfers!$C$3:$C$86,Transfers!$D$3:$D$86,$A20,Transfers!$E$3:$E$86,R$2)</f>
        <v>0</v>
      </c>
      <c r="T20" s="17">
        <f t="shared" si="14"/>
        <v>-120</v>
      </c>
      <c r="U20" s="33">
        <v>120</v>
      </c>
      <c r="V20" s="34">
        <f>SUMIFS(Transfers!$C$3:$C$86,Transfers!$D$3:$D$86,$A20,Transfers!$E$3:$E$86,U$2)</f>
        <v>0</v>
      </c>
      <c r="W20" s="35">
        <f t="shared" si="15"/>
        <v>-120</v>
      </c>
      <c r="X20" s="4">
        <v>120</v>
      </c>
      <c r="Y20" s="16">
        <f>SUMIFS(Transfers!$C$3:$C$86,Transfers!$D$3:$D$86,$A20,Transfers!$E$3:$E$86,X$2)</f>
        <v>0</v>
      </c>
      <c r="Z20" s="17">
        <f t="shared" si="16"/>
        <v>-120</v>
      </c>
      <c r="AA20" s="33">
        <v>120</v>
      </c>
      <c r="AB20" s="34">
        <f>SUMIFS(Transfers!$C$3:$C$86,Transfers!$D$3:$D$86,$A20,Transfers!$E$3:$E$86,AA$2)</f>
        <v>0</v>
      </c>
      <c r="AC20" s="35">
        <f t="shared" si="17"/>
        <v>-120</v>
      </c>
      <c r="AD20" s="4">
        <v>120</v>
      </c>
      <c r="AE20" s="16">
        <f>SUMIFS(Transfers!$C$3:$C$86,Transfers!$D$3:$D$86,$A20,Transfers!$E$3:$E$86,AD$2)</f>
        <v>0</v>
      </c>
      <c r="AF20" s="17">
        <f t="shared" si="18"/>
        <v>-120</v>
      </c>
      <c r="AG20" s="33">
        <v>120</v>
      </c>
      <c r="AH20" s="34">
        <f>SUMIFS(Transfers!$C$3:$C$86,Transfers!$D$3:$D$86,$A20,Transfers!$E$3:$E$86,AG$2)</f>
        <v>0</v>
      </c>
      <c r="AI20" s="35">
        <f t="shared" si="19"/>
        <v>-120</v>
      </c>
      <c r="AJ20" s="4">
        <v>120</v>
      </c>
      <c r="AK20" s="16">
        <f>SUMIFS(Transfers!$C$3:$C$86,Transfers!$D$3:$D$86,$A20,Transfers!$E$3:$E$86,AJ$2)</f>
        <v>0</v>
      </c>
      <c r="AL20" s="17">
        <f t="shared" si="20"/>
        <v>-120</v>
      </c>
      <c r="AM20" s="47">
        <f t="shared" si="6"/>
        <v>1440</v>
      </c>
      <c r="AN20" s="47">
        <f t="shared" si="7"/>
        <v>118.25</v>
      </c>
      <c r="AO20" s="47">
        <f t="shared" si="8"/>
        <v>-1321.75</v>
      </c>
    </row>
    <row r="21" spans="1:41" s="7" customFormat="1" ht="20" thickBot="1" x14ac:dyDescent="0.3">
      <c r="B21" s="26" t="s">
        <v>33</v>
      </c>
      <c r="C21" s="36">
        <f t="shared" ref="C21:Q21" si="21">SUM(C9:C20)</f>
        <v>4596</v>
      </c>
      <c r="D21" s="37">
        <f t="shared" si="21"/>
        <v>0</v>
      </c>
      <c r="E21" s="38">
        <f t="shared" si="21"/>
        <v>-4596</v>
      </c>
      <c r="F21" s="9">
        <f t="shared" si="21"/>
        <v>4596</v>
      </c>
      <c r="G21" s="18">
        <f t="shared" si="21"/>
        <v>0</v>
      </c>
      <c r="H21" s="13">
        <f t="shared" si="21"/>
        <v>-4596</v>
      </c>
      <c r="I21" s="36">
        <f t="shared" si="21"/>
        <v>4596</v>
      </c>
      <c r="J21" s="37">
        <f t="shared" si="21"/>
        <v>0</v>
      </c>
      <c r="K21" s="38">
        <f t="shared" si="21"/>
        <v>-4596</v>
      </c>
      <c r="L21" s="9">
        <f t="shared" si="21"/>
        <v>4596</v>
      </c>
      <c r="M21" s="18">
        <f t="shared" si="21"/>
        <v>0</v>
      </c>
      <c r="N21" s="13">
        <f t="shared" si="21"/>
        <v>-4596</v>
      </c>
      <c r="O21" s="36">
        <f t="shared" si="21"/>
        <v>4596</v>
      </c>
      <c r="P21" s="37">
        <f t="shared" si="21"/>
        <v>5202.88</v>
      </c>
      <c r="Q21" s="38">
        <f t="shared" si="21"/>
        <v>606.88000000000011</v>
      </c>
      <c r="R21" s="9">
        <f t="shared" ref="R21:T21" si="22">SUM(R9:R20)</f>
        <v>4596</v>
      </c>
      <c r="S21" s="18">
        <f t="shared" si="22"/>
        <v>5041.9999999999991</v>
      </c>
      <c r="T21" s="13">
        <f t="shared" si="22"/>
        <v>446.00000000000011</v>
      </c>
      <c r="U21" s="36">
        <f t="shared" ref="U21:AL21" si="23">SUM(U9:U20)</f>
        <v>5305</v>
      </c>
      <c r="V21" s="37">
        <f t="shared" si="23"/>
        <v>0</v>
      </c>
      <c r="W21" s="38">
        <f t="shared" si="23"/>
        <v>-5305</v>
      </c>
      <c r="X21" s="9">
        <f t="shared" si="23"/>
        <v>4596</v>
      </c>
      <c r="Y21" s="18">
        <f t="shared" si="23"/>
        <v>0</v>
      </c>
      <c r="Z21" s="13">
        <f t="shared" si="23"/>
        <v>-4596</v>
      </c>
      <c r="AA21" s="36">
        <f t="shared" si="23"/>
        <v>4596</v>
      </c>
      <c r="AB21" s="37">
        <f t="shared" si="23"/>
        <v>0</v>
      </c>
      <c r="AC21" s="38">
        <f t="shared" si="23"/>
        <v>-4596</v>
      </c>
      <c r="AD21" s="9">
        <f t="shared" si="23"/>
        <v>4596</v>
      </c>
      <c r="AE21" s="18">
        <f t="shared" si="23"/>
        <v>0</v>
      </c>
      <c r="AF21" s="13">
        <f t="shared" si="23"/>
        <v>-4596</v>
      </c>
      <c r="AG21" s="36">
        <f t="shared" si="23"/>
        <v>4596</v>
      </c>
      <c r="AH21" s="37">
        <f t="shared" si="23"/>
        <v>0</v>
      </c>
      <c r="AI21" s="38">
        <f t="shared" si="23"/>
        <v>-4596</v>
      </c>
      <c r="AJ21" s="9">
        <f t="shared" si="23"/>
        <v>4596</v>
      </c>
      <c r="AK21" s="18">
        <f t="shared" si="23"/>
        <v>0</v>
      </c>
      <c r="AL21" s="13">
        <f t="shared" si="23"/>
        <v>-4596</v>
      </c>
      <c r="AM21" s="47">
        <f t="shared" si="6"/>
        <v>55861</v>
      </c>
      <c r="AN21" s="47">
        <f t="shared" si="7"/>
        <v>10244.879999999999</v>
      </c>
      <c r="AO21" s="47">
        <f t="shared" si="8"/>
        <v>-45616.119999999995</v>
      </c>
    </row>
    <row r="22" spans="1:41" x14ac:dyDescent="0.2">
      <c r="C22" s="39"/>
      <c r="D22" s="39"/>
      <c r="E22" s="39"/>
      <c r="F22" s="1"/>
      <c r="G22" s="1"/>
      <c r="H22" s="1"/>
      <c r="I22" s="39"/>
      <c r="J22" s="39"/>
      <c r="K22" s="39"/>
      <c r="L22" s="1"/>
      <c r="M22" s="1"/>
      <c r="N22" s="1"/>
      <c r="O22" s="39"/>
      <c r="P22" s="39"/>
      <c r="Q22" s="39"/>
      <c r="R22" s="1"/>
      <c r="S22" s="1"/>
      <c r="T22" s="1"/>
      <c r="U22" s="39"/>
      <c r="V22" s="39"/>
      <c r="W22" s="39"/>
      <c r="X22" s="1"/>
      <c r="Y22" s="1"/>
      <c r="Z22" s="1"/>
      <c r="AA22" s="39"/>
      <c r="AB22" s="39"/>
      <c r="AC22" s="39"/>
      <c r="AD22" s="1"/>
      <c r="AE22" s="1"/>
      <c r="AF22" s="1"/>
      <c r="AG22" s="39"/>
      <c r="AH22" s="39"/>
      <c r="AI22" s="39"/>
      <c r="AJ22" s="1"/>
      <c r="AK22" s="1"/>
      <c r="AL22" s="1"/>
      <c r="AM22" s="48"/>
      <c r="AN22" s="48"/>
      <c r="AO22" s="48"/>
    </row>
    <row r="23" spans="1:41" ht="22" thickBot="1" x14ac:dyDescent="0.3">
      <c r="B23" s="8" t="s">
        <v>7</v>
      </c>
      <c r="C23" s="39"/>
      <c r="D23" s="39"/>
      <c r="E23" s="39"/>
      <c r="F23" s="1"/>
      <c r="G23" s="1"/>
      <c r="H23" s="1"/>
      <c r="I23" s="39"/>
      <c r="J23" s="39"/>
      <c r="K23" s="39"/>
      <c r="L23" s="1"/>
      <c r="M23" s="1"/>
      <c r="N23" s="1"/>
      <c r="O23" s="39"/>
      <c r="P23" s="39"/>
      <c r="Q23" s="39"/>
      <c r="R23" s="1"/>
      <c r="S23" s="1"/>
      <c r="T23" s="1"/>
      <c r="U23" s="39"/>
      <c r="V23" s="39"/>
      <c r="W23" s="39"/>
      <c r="X23" s="1"/>
      <c r="Y23" s="1"/>
      <c r="Z23" s="1"/>
      <c r="AA23" s="39"/>
      <c r="AB23" s="39"/>
      <c r="AC23" s="39"/>
      <c r="AD23" s="1"/>
      <c r="AE23" s="1"/>
      <c r="AF23" s="1"/>
      <c r="AG23" s="39"/>
      <c r="AH23" s="39"/>
      <c r="AI23" s="39"/>
      <c r="AJ23" s="1"/>
      <c r="AK23" s="1"/>
      <c r="AL23" s="1"/>
      <c r="AM23" s="48"/>
      <c r="AN23" s="48"/>
      <c r="AO23" s="48"/>
    </row>
    <row r="24" spans="1:41" ht="17" thickBot="1" x14ac:dyDescent="0.25">
      <c r="A24" t="s">
        <v>54</v>
      </c>
      <c r="B24" s="28" t="s">
        <v>7</v>
      </c>
      <c r="C24" s="43">
        <v>2194</v>
      </c>
      <c r="D24" s="44">
        <f>SUMIFS(Transfers!$C$3:$C$86,Transfers!$D$3:$D$86,$A24,Transfers!$E$3:$E$86,C$2)</f>
        <v>0</v>
      </c>
      <c r="E24" s="45">
        <f>D24-C24</f>
        <v>-2194</v>
      </c>
      <c r="F24" s="6">
        <v>2194</v>
      </c>
      <c r="G24" s="19">
        <f>SUMIFS(Transfers!$C$3:$C$86,Transfers!$D$3:$D$86,$A24,Transfers!$E$3:$E$86,F$2)</f>
        <v>0</v>
      </c>
      <c r="H24" s="20">
        <f>G24-F24</f>
        <v>-2194</v>
      </c>
      <c r="I24" s="43">
        <v>2194</v>
      </c>
      <c r="J24" s="44">
        <f>SUMIFS(Transfers!$C$3:$C$86,Transfers!$D$3:$D$86,$A24,Transfers!$E$3:$E$86,I$2)</f>
        <v>0</v>
      </c>
      <c r="K24" s="45">
        <f>J24-I24</f>
        <v>-2194</v>
      </c>
      <c r="L24" s="6">
        <v>2194</v>
      </c>
      <c r="M24" s="19">
        <f>SUMIFS(Transfers!$C$3:$C$86,Transfers!$D$3:$D$86,$A24,Transfers!$E$3:$E$86,L$2)</f>
        <v>0</v>
      </c>
      <c r="N24" s="20">
        <f>M24-L24</f>
        <v>-2194</v>
      </c>
      <c r="O24" s="43">
        <v>2194</v>
      </c>
      <c r="P24" s="44">
        <f>SUMIFS(Transfers!$C$3:$C$86,Transfers!$D$3:$D$86,$A24,Transfers!$E$3:$E$86,O$2)</f>
        <v>1587.42</v>
      </c>
      <c r="Q24" s="45">
        <f>P24-O24</f>
        <v>-606.57999999999993</v>
      </c>
      <c r="R24" s="6">
        <v>2194</v>
      </c>
      <c r="S24" s="19">
        <f>SUMIFS(Transfers!$C$3:$C$86,Transfers!$D$3:$D$86,$A24,Transfers!$E$3:$E$86,R$2)</f>
        <v>1748.3</v>
      </c>
      <c r="T24" s="20">
        <f>S24-R24</f>
        <v>-445.70000000000005</v>
      </c>
      <c r="U24" s="43">
        <v>1485</v>
      </c>
      <c r="V24" s="44">
        <f>SUMIFS(Transfers!$C$3:$C$86,Transfers!$D$3:$D$86,$A24,Transfers!$E$3:$E$86,U$2)</f>
        <v>0</v>
      </c>
      <c r="W24" s="45">
        <f>V24-U24</f>
        <v>-1485</v>
      </c>
      <c r="X24" s="6">
        <v>2194</v>
      </c>
      <c r="Y24" s="19">
        <f>SUMIFS(Transfers!$C$3:$C$86,Transfers!$D$3:$D$86,$A24,Transfers!$E$3:$E$86,X$2)</f>
        <v>0</v>
      </c>
      <c r="Z24" s="20">
        <f>Y24-X24</f>
        <v>-2194</v>
      </c>
      <c r="AA24" s="43">
        <v>2194</v>
      </c>
      <c r="AB24" s="44">
        <f>SUMIFS(Transfers!$C$3:$C$86,Transfers!$D$3:$D$86,$A24,Transfers!$E$3:$E$86,AA$2)</f>
        <v>0</v>
      </c>
      <c r="AC24" s="45">
        <f>AB24-AA24</f>
        <v>-2194</v>
      </c>
      <c r="AD24" s="6">
        <v>2194</v>
      </c>
      <c r="AE24" s="19">
        <f>SUMIFS(Transfers!$C$3:$C$86,Transfers!$D$3:$D$86,$A24,Transfers!$E$3:$E$86,AD$2)</f>
        <v>0</v>
      </c>
      <c r="AF24" s="20">
        <f>AE24-AD24</f>
        <v>-2194</v>
      </c>
      <c r="AG24" s="43">
        <v>2194</v>
      </c>
      <c r="AH24" s="44">
        <f>SUMIFS(Transfers!$C$3:$C$86,Transfers!$D$3:$D$86,$A24,Transfers!$E$3:$E$86,AG$2)</f>
        <v>0</v>
      </c>
      <c r="AI24" s="45">
        <f>AH24-AG24</f>
        <v>-2194</v>
      </c>
      <c r="AJ24" s="6">
        <v>2194</v>
      </c>
      <c r="AK24" s="19">
        <f>SUMIFS(Transfers!$C$3:$C$86,Transfers!$D$3:$D$86,$A24,Transfers!$E$3:$E$86,AJ$2)</f>
        <v>0</v>
      </c>
      <c r="AL24" s="20">
        <f>AK24-AJ24</f>
        <v>-2194</v>
      </c>
      <c r="AM24" s="47">
        <f t="shared" ref="AM24:AO25" si="24">C24+F24+I24+L24+O24+R24+U24+X24+AA24+AD24+AG24+AJ24</f>
        <v>25619</v>
      </c>
      <c r="AN24" s="47">
        <f t="shared" si="24"/>
        <v>3335.7200000000003</v>
      </c>
      <c r="AO24" s="47">
        <f t="shared" si="24"/>
        <v>-22283.279999999999</v>
      </c>
    </row>
    <row r="25" spans="1:41" s="7" customFormat="1" ht="20" thickBot="1" x14ac:dyDescent="0.3">
      <c r="B25" s="26" t="s">
        <v>33</v>
      </c>
      <c r="C25" s="36">
        <f t="shared" ref="C25:AL25" si="25">SUM(C24)</f>
        <v>2194</v>
      </c>
      <c r="D25" s="37">
        <f t="shared" si="25"/>
        <v>0</v>
      </c>
      <c r="E25" s="38">
        <f t="shared" si="25"/>
        <v>-2194</v>
      </c>
      <c r="F25" s="9">
        <f t="shared" si="25"/>
        <v>2194</v>
      </c>
      <c r="G25" s="18">
        <f t="shared" si="25"/>
        <v>0</v>
      </c>
      <c r="H25" s="13">
        <f t="shared" si="25"/>
        <v>-2194</v>
      </c>
      <c r="I25" s="36">
        <f t="shared" si="25"/>
        <v>2194</v>
      </c>
      <c r="J25" s="37">
        <f t="shared" si="25"/>
        <v>0</v>
      </c>
      <c r="K25" s="38">
        <f t="shared" si="25"/>
        <v>-2194</v>
      </c>
      <c r="L25" s="9">
        <f t="shared" si="25"/>
        <v>2194</v>
      </c>
      <c r="M25" s="18">
        <f t="shared" si="25"/>
        <v>0</v>
      </c>
      <c r="N25" s="13">
        <f t="shared" si="25"/>
        <v>-2194</v>
      </c>
      <c r="O25" s="36">
        <f t="shared" si="25"/>
        <v>2194</v>
      </c>
      <c r="P25" s="37">
        <f t="shared" si="25"/>
        <v>1587.42</v>
      </c>
      <c r="Q25" s="37">
        <f t="shared" si="25"/>
        <v>-606.57999999999993</v>
      </c>
      <c r="R25" s="9">
        <f t="shared" si="25"/>
        <v>2194</v>
      </c>
      <c r="S25" s="18">
        <f t="shared" si="25"/>
        <v>1748.3</v>
      </c>
      <c r="T25" s="13">
        <f t="shared" si="25"/>
        <v>-445.70000000000005</v>
      </c>
      <c r="U25" s="36">
        <f t="shared" si="25"/>
        <v>1485</v>
      </c>
      <c r="V25" s="37">
        <f t="shared" si="25"/>
        <v>0</v>
      </c>
      <c r="W25" s="38">
        <f t="shared" si="25"/>
        <v>-1485</v>
      </c>
      <c r="X25" s="9">
        <f t="shared" si="25"/>
        <v>2194</v>
      </c>
      <c r="Y25" s="18">
        <f t="shared" si="25"/>
        <v>0</v>
      </c>
      <c r="Z25" s="13">
        <f t="shared" si="25"/>
        <v>-2194</v>
      </c>
      <c r="AA25" s="36">
        <f t="shared" si="25"/>
        <v>2194</v>
      </c>
      <c r="AB25" s="37">
        <f t="shared" si="25"/>
        <v>0</v>
      </c>
      <c r="AC25" s="38">
        <f t="shared" si="25"/>
        <v>-2194</v>
      </c>
      <c r="AD25" s="9">
        <f t="shared" si="25"/>
        <v>2194</v>
      </c>
      <c r="AE25" s="18">
        <f t="shared" si="25"/>
        <v>0</v>
      </c>
      <c r="AF25" s="13">
        <f t="shared" si="25"/>
        <v>-2194</v>
      </c>
      <c r="AG25" s="36">
        <f t="shared" si="25"/>
        <v>2194</v>
      </c>
      <c r="AH25" s="37">
        <f t="shared" si="25"/>
        <v>0</v>
      </c>
      <c r="AI25" s="38">
        <f t="shared" si="25"/>
        <v>-2194</v>
      </c>
      <c r="AJ25" s="9">
        <f t="shared" si="25"/>
        <v>2194</v>
      </c>
      <c r="AK25" s="18">
        <f t="shared" si="25"/>
        <v>0</v>
      </c>
      <c r="AL25" s="13">
        <f t="shared" si="25"/>
        <v>-2194</v>
      </c>
      <c r="AM25" s="47">
        <f t="shared" si="24"/>
        <v>25619</v>
      </c>
      <c r="AN25" s="47">
        <f t="shared" si="24"/>
        <v>3335.7200000000003</v>
      </c>
      <c r="AO25" s="47">
        <f t="shared" si="24"/>
        <v>-22283.279999999999</v>
      </c>
    </row>
    <row r="26" spans="1:41" ht="17" thickBot="1" x14ac:dyDescent="0.25">
      <c r="C26" s="39"/>
      <c r="D26" s="39"/>
      <c r="E26" s="39"/>
      <c r="F26" s="1"/>
      <c r="G26" s="1"/>
      <c r="H26" s="1"/>
      <c r="I26" s="39"/>
      <c r="J26" s="39"/>
      <c r="K26" s="39"/>
      <c r="L26" s="1"/>
      <c r="M26" s="1"/>
      <c r="N26" s="1"/>
      <c r="O26" s="39"/>
      <c r="P26" s="39"/>
      <c r="Q26" s="39"/>
      <c r="R26" s="1"/>
      <c r="S26" s="1"/>
      <c r="T26" s="1"/>
      <c r="U26" s="39"/>
      <c r="V26" s="39"/>
      <c r="W26" s="39"/>
      <c r="X26" s="1"/>
      <c r="Y26" s="1"/>
      <c r="Z26" s="1"/>
      <c r="AA26" s="39"/>
      <c r="AB26" s="39"/>
      <c r="AC26" s="39"/>
      <c r="AD26" s="1"/>
      <c r="AE26" s="1"/>
      <c r="AF26" s="1"/>
      <c r="AG26" s="39"/>
      <c r="AH26" s="39"/>
      <c r="AI26" s="39"/>
      <c r="AJ26" s="1"/>
      <c r="AK26" s="1"/>
      <c r="AL26" s="1"/>
      <c r="AM26" s="48"/>
      <c r="AN26" s="48"/>
      <c r="AO26" s="48"/>
    </row>
    <row r="27" spans="1:41" x14ac:dyDescent="0.2">
      <c r="B27" s="24" t="s">
        <v>17</v>
      </c>
      <c r="C27" s="30">
        <f t="shared" ref="C27:AL27" si="26">C6</f>
        <v>6790</v>
      </c>
      <c r="D27" s="31">
        <f t="shared" si="26"/>
        <v>0</v>
      </c>
      <c r="E27" s="32">
        <f t="shared" si="26"/>
        <v>-6790</v>
      </c>
      <c r="F27" s="5">
        <f t="shared" si="26"/>
        <v>6790</v>
      </c>
      <c r="G27" s="14">
        <f t="shared" si="26"/>
        <v>0</v>
      </c>
      <c r="H27" s="2">
        <f t="shared" si="26"/>
        <v>-6790</v>
      </c>
      <c r="I27" s="30">
        <f t="shared" si="26"/>
        <v>6790</v>
      </c>
      <c r="J27" s="31">
        <f t="shared" si="26"/>
        <v>0</v>
      </c>
      <c r="K27" s="32">
        <f t="shared" si="26"/>
        <v>-6790</v>
      </c>
      <c r="L27" s="5">
        <f t="shared" si="26"/>
        <v>6790</v>
      </c>
      <c r="M27" s="14">
        <f t="shared" si="26"/>
        <v>0</v>
      </c>
      <c r="N27" s="2">
        <f t="shared" si="26"/>
        <v>-6790</v>
      </c>
      <c r="O27" s="30">
        <f t="shared" si="26"/>
        <v>6790</v>
      </c>
      <c r="P27" s="31">
        <f t="shared" si="26"/>
        <v>6790.3</v>
      </c>
      <c r="Q27" s="32">
        <f t="shared" si="26"/>
        <v>0.3000000000001819</v>
      </c>
      <c r="R27" s="5">
        <f t="shared" si="26"/>
        <v>6790</v>
      </c>
      <c r="S27" s="14">
        <f t="shared" si="26"/>
        <v>6790.3</v>
      </c>
      <c r="T27" s="2">
        <f t="shared" si="26"/>
        <v>0.3000000000001819</v>
      </c>
      <c r="U27" s="30">
        <f t="shared" si="26"/>
        <v>6790</v>
      </c>
      <c r="V27" s="31">
        <f t="shared" si="26"/>
        <v>0</v>
      </c>
      <c r="W27" s="32">
        <f t="shared" si="26"/>
        <v>-6790</v>
      </c>
      <c r="X27" s="5">
        <f t="shared" si="26"/>
        <v>6790</v>
      </c>
      <c r="Y27" s="14">
        <f t="shared" si="26"/>
        <v>0</v>
      </c>
      <c r="Z27" s="2">
        <f t="shared" si="26"/>
        <v>-6790</v>
      </c>
      <c r="AA27" s="30">
        <f t="shared" si="26"/>
        <v>6790</v>
      </c>
      <c r="AB27" s="31">
        <f t="shared" si="26"/>
        <v>0</v>
      </c>
      <c r="AC27" s="32">
        <f t="shared" si="26"/>
        <v>-6790</v>
      </c>
      <c r="AD27" s="5">
        <f t="shared" si="26"/>
        <v>6790</v>
      </c>
      <c r="AE27" s="14">
        <f t="shared" si="26"/>
        <v>0</v>
      </c>
      <c r="AF27" s="2">
        <f t="shared" si="26"/>
        <v>-6790</v>
      </c>
      <c r="AG27" s="30">
        <f t="shared" si="26"/>
        <v>6790</v>
      </c>
      <c r="AH27" s="31">
        <f t="shared" si="26"/>
        <v>0</v>
      </c>
      <c r="AI27" s="32">
        <f t="shared" si="26"/>
        <v>-6790</v>
      </c>
      <c r="AJ27" s="5">
        <f t="shared" si="26"/>
        <v>6790</v>
      </c>
      <c r="AK27" s="14">
        <f t="shared" si="26"/>
        <v>0</v>
      </c>
      <c r="AL27" s="2">
        <f t="shared" si="26"/>
        <v>-6790</v>
      </c>
      <c r="AM27" s="47">
        <f t="shared" ref="AM27:AO30" si="27">C27+F27+I27+L27+O27+R27+U27+X27+AA27+AD27+AG27+AJ27</f>
        <v>81480</v>
      </c>
      <c r="AN27" s="47">
        <f t="shared" si="27"/>
        <v>13580.6</v>
      </c>
      <c r="AO27" s="47">
        <f t="shared" si="27"/>
        <v>-67899.399999999994</v>
      </c>
    </row>
    <row r="28" spans="1:41" ht="17" thickBot="1" x14ac:dyDescent="0.25">
      <c r="B28" s="27" t="s">
        <v>15</v>
      </c>
      <c r="C28" s="40">
        <f>C21*-1</f>
        <v>-4596</v>
      </c>
      <c r="D28" s="41">
        <f>D21*-1</f>
        <v>0</v>
      </c>
      <c r="E28" s="42">
        <f>E21</f>
        <v>-4596</v>
      </c>
      <c r="F28" s="3">
        <f>F21*-1</f>
        <v>-4596</v>
      </c>
      <c r="G28" s="12">
        <f>G21*-1</f>
        <v>0</v>
      </c>
      <c r="H28" s="15">
        <f>H21</f>
        <v>-4596</v>
      </c>
      <c r="I28" s="40">
        <f>I21*-1</f>
        <v>-4596</v>
      </c>
      <c r="J28" s="41">
        <f>J21*-1</f>
        <v>0</v>
      </c>
      <c r="K28" s="42">
        <f>K21</f>
        <v>-4596</v>
      </c>
      <c r="L28" s="3">
        <f>L21*-1</f>
        <v>-4596</v>
      </c>
      <c r="M28" s="12">
        <f>M21*-1</f>
        <v>0</v>
      </c>
      <c r="N28" s="15">
        <f>N21</f>
        <v>-4596</v>
      </c>
      <c r="O28" s="40">
        <f>O21*-1</f>
        <v>-4596</v>
      </c>
      <c r="P28" s="41">
        <f>P21*-1</f>
        <v>-5202.88</v>
      </c>
      <c r="Q28" s="42">
        <f>Q21</f>
        <v>606.88000000000011</v>
      </c>
      <c r="R28" s="3">
        <f>R21*-1</f>
        <v>-4596</v>
      </c>
      <c r="S28" s="12">
        <f>S21*-1</f>
        <v>-5041.9999999999991</v>
      </c>
      <c r="T28" s="15">
        <f>T21</f>
        <v>446.00000000000011</v>
      </c>
      <c r="U28" s="40">
        <f>U21*-1</f>
        <v>-5305</v>
      </c>
      <c r="V28" s="41">
        <f>V21*-1</f>
        <v>0</v>
      </c>
      <c r="W28" s="42">
        <f>W21</f>
        <v>-5305</v>
      </c>
      <c r="X28" s="3">
        <f>X21*-1</f>
        <v>-4596</v>
      </c>
      <c r="Y28" s="12">
        <f>Y21*-1</f>
        <v>0</v>
      </c>
      <c r="Z28" s="15">
        <f>Z21</f>
        <v>-4596</v>
      </c>
      <c r="AA28" s="40">
        <f>AA21*-1</f>
        <v>-4596</v>
      </c>
      <c r="AB28" s="41">
        <f>AB21*-1</f>
        <v>0</v>
      </c>
      <c r="AC28" s="42">
        <f>AC21</f>
        <v>-4596</v>
      </c>
      <c r="AD28" s="3">
        <f>AD21*-1</f>
        <v>-4596</v>
      </c>
      <c r="AE28" s="12">
        <f>AE21*-1</f>
        <v>0</v>
      </c>
      <c r="AF28" s="15">
        <f>AF21</f>
        <v>-4596</v>
      </c>
      <c r="AG28" s="40">
        <f>AG21*-1</f>
        <v>-4596</v>
      </c>
      <c r="AH28" s="41">
        <f>AH21*-1</f>
        <v>0</v>
      </c>
      <c r="AI28" s="42">
        <f>AI21</f>
        <v>-4596</v>
      </c>
      <c r="AJ28" s="3">
        <f>AJ21*-1</f>
        <v>-4596</v>
      </c>
      <c r="AK28" s="12">
        <f>AK21*-1</f>
        <v>0</v>
      </c>
      <c r="AL28" s="15">
        <f>AL21</f>
        <v>-4596</v>
      </c>
      <c r="AM28" s="47">
        <f t="shared" si="27"/>
        <v>-55861</v>
      </c>
      <c r="AN28" s="47">
        <f t="shared" si="27"/>
        <v>-10244.879999999999</v>
      </c>
      <c r="AO28" s="47">
        <f t="shared" si="27"/>
        <v>-45616.119999999995</v>
      </c>
    </row>
    <row r="29" spans="1:41" s="7" customFormat="1" ht="20" thickBot="1" x14ac:dyDescent="0.3">
      <c r="B29" s="29" t="s">
        <v>16</v>
      </c>
      <c r="C29" s="36">
        <f>C25*-1</f>
        <v>-2194</v>
      </c>
      <c r="D29" s="37">
        <f>D25*-1</f>
        <v>0</v>
      </c>
      <c r="E29" s="38">
        <f>E25</f>
        <v>-2194</v>
      </c>
      <c r="F29" s="9">
        <f>F25*-1</f>
        <v>-2194</v>
      </c>
      <c r="G29" s="18">
        <f>G25*-1</f>
        <v>0</v>
      </c>
      <c r="H29" s="13">
        <f>H25</f>
        <v>-2194</v>
      </c>
      <c r="I29" s="36">
        <f>I25*-1</f>
        <v>-2194</v>
      </c>
      <c r="J29" s="37">
        <f>J25*-1</f>
        <v>0</v>
      </c>
      <c r="K29" s="38">
        <f>K25</f>
        <v>-2194</v>
      </c>
      <c r="L29" s="9">
        <f>L25*-1</f>
        <v>-2194</v>
      </c>
      <c r="M29" s="18">
        <f>M25*-1</f>
        <v>0</v>
      </c>
      <c r="N29" s="13">
        <f>N25</f>
        <v>-2194</v>
      </c>
      <c r="O29" s="36">
        <f>O25*-1</f>
        <v>-2194</v>
      </c>
      <c r="P29" s="37">
        <f>P25*-1</f>
        <v>-1587.42</v>
      </c>
      <c r="Q29" s="38">
        <f>Q25</f>
        <v>-606.57999999999993</v>
      </c>
      <c r="R29" s="9">
        <f>R25*-1</f>
        <v>-2194</v>
      </c>
      <c r="S29" s="18">
        <f>S25*-1</f>
        <v>-1748.3</v>
      </c>
      <c r="T29" s="13">
        <f>T25</f>
        <v>-445.70000000000005</v>
      </c>
      <c r="U29" s="36">
        <f>U25*-1</f>
        <v>-1485</v>
      </c>
      <c r="V29" s="37">
        <f>V25*-1</f>
        <v>0</v>
      </c>
      <c r="W29" s="38">
        <f>W25</f>
        <v>-1485</v>
      </c>
      <c r="X29" s="9">
        <f>X25*-1</f>
        <v>-2194</v>
      </c>
      <c r="Y29" s="18">
        <f>Y25*-1</f>
        <v>0</v>
      </c>
      <c r="Z29" s="13">
        <f>Z25</f>
        <v>-2194</v>
      </c>
      <c r="AA29" s="36">
        <f>AA25*-1</f>
        <v>-2194</v>
      </c>
      <c r="AB29" s="37">
        <f>AB25*-1</f>
        <v>0</v>
      </c>
      <c r="AC29" s="38">
        <f>AC25</f>
        <v>-2194</v>
      </c>
      <c r="AD29" s="9">
        <f>AD25*-1</f>
        <v>-2194</v>
      </c>
      <c r="AE29" s="18">
        <f>AE25*-1</f>
        <v>0</v>
      </c>
      <c r="AF29" s="13">
        <f>AF25</f>
        <v>-2194</v>
      </c>
      <c r="AG29" s="36">
        <f>AG25*-1</f>
        <v>-2194</v>
      </c>
      <c r="AH29" s="37">
        <f>AH25*-1</f>
        <v>0</v>
      </c>
      <c r="AI29" s="38">
        <f>AI25</f>
        <v>-2194</v>
      </c>
      <c r="AJ29" s="9">
        <f>AJ25*-1</f>
        <v>-2194</v>
      </c>
      <c r="AK29" s="18">
        <f>AK25*-1</f>
        <v>0</v>
      </c>
      <c r="AL29" s="13">
        <f>AL25</f>
        <v>-2194</v>
      </c>
      <c r="AM29" s="47">
        <f t="shared" si="27"/>
        <v>-25619</v>
      </c>
      <c r="AN29" s="47">
        <f t="shared" si="27"/>
        <v>-3335.7200000000003</v>
      </c>
      <c r="AO29" s="47">
        <f t="shared" si="27"/>
        <v>-22283.279999999999</v>
      </c>
    </row>
    <row r="30" spans="1:41" x14ac:dyDescent="0.2">
      <c r="B30" t="s">
        <v>34</v>
      </c>
      <c r="C30" s="39">
        <f>SUM(C27:C29)</f>
        <v>0</v>
      </c>
      <c r="D30" s="39">
        <f>SUM(D27:D29)</f>
        <v>0</v>
      </c>
      <c r="E30" s="46">
        <f>C30-D30</f>
        <v>0</v>
      </c>
      <c r="F30" s="1">
        <f>SUM(F27:F29)</f>
        <v>0</v>
      </c>
      <c r="G30" s="1">
        <f>SUM(G27:G29)</f>
        <v>0</v>
      </c>
      <c r="H30" s="21">
        <f>F30-G30</f>
        <v>0</v>
      </c>
      <c r="I30" s="39">
        <f>SUM(I27:I29)</f>
        <v>0</v>
      </c>
      <c r="J30" s="39">
        <f>SUM(J27:J29)</f>
        <v>0</v>
      </c>
      <c r="K30" s="46">
        <f>I30-J30</f>
        <v>0</v>
      </c>
      <c r="L30" s="1">
        <f>SUM(L27:L29)</f>
        <v>0</v>
      </c>
      <c r="M30" s="1">
        <f>SUM(M27:M29)</f>
        <v>0</v>
      </c>
      <c r="N30" s="21">
        <f>L30-M30</f>
        <v>0</v>
      </c>
      <c r="O30" s="39">
        <f>SUM(O27:O29)</f>
        <v>0</v>
      </c>
      <c r="P30" s="39">
        <f>SUM(P27:P29)</f>
        <v>0</v>
      </c>
      <c r="Q30" s="46">
        <f>O30-P30</f>
        <v>0</v>
      </c>
      <c r="R30" s="1">
        <f>SUM(R27:R29)</f>
        <v>0</v>
      </c>
      <c r="S30" s="1">
        <f>SUM(S27:S29)</f>
        <v>0</v>
      </c>
      <c r="T30" s="21">
        <f>R30-S30</f>
        <v>0</v>
      </c>
      <c r="U30" s="39">
        <f>SUM(U27:U29)</f>
        <v>0</v>
      </c>
      <c r="V30" s="39">
        <f>SUM(V27:V29)</f>
        <v>0</v>
      </c>
      <c r="W30" s="46">
        <f>U30-V30</f>
        <v>0</v>
      </c>
      <c r="X30" s="1">
        <f>SUM(X27:X29)</f>
        <v>0</v>
      </c>
      <c r="Y30" s="1">
        <f>SUM(Y27:Y29)</f>
        <v>0</v>
      </c>
      <c r="Z30" s="21">
        <f>X30-Y30</f>
        <v>0</v>
      </c>
      <c r="AA30" s="39">
        <f>SUM(AA27:AA29)</f>
        <v>0</v>
      </c>
      <c r="AB30" s="39">
        <f>SUM(AB27:AB29)</f>
        <v>0</v>
      </c>
      <c r="AC30" s="46">
        <f>AA30-AB30</f>
        <v>0</v>
      </c>
      <c r="AD30" s="1">
        <f>SUM(AD27:AD29)</f>
        <v>0</v>
      </c>
      <c r="AE30" s="1">
        <f>SUM(AE27:AE29)</f>
        <v>0</v>
      </c>
      <c r="AF30" s="21">
        <f>AD30-AE30</f>
        <v>0</v>
      </c>
      <c r="AG30" s="39">
        <f>SUM(AG27:AG29)</f>
        <v>0</v>
      </c>
      <c r="AH30" s="39">
        <f>SUM(AH27:AH29)</f>
        <v>0</v>
      </c>
      <c r="AI30" s="46">
        <f>AG30-AH30</f>
        <v>0</v>
      </c>
      <c r="AJ30" s="1">
        <f>SUM(AJ27:AJ29)</f>
        <v>0</v>
      </c>
      <c r="AK30" s="1">
        <f>SUM(AK27:AK29)</f>
        <v>0</v>
      </c>
      <c r="AL30" s="21">
        <f>AJ30-AK30</f>
        <v>0</v>
      </c>
      <c r="AM30" s="47">
        <f t="shared" si="27"/>
        <v>0</v>
      </c>
      <c r="AN30" s="47">
        <f t="shared" si="27"/>
        <v>0</v>
      </c>
      <c r="AO30" s="47">
        <f t="shared" si="27"/>
        <v>0</v>
      </c>
    </row>
    <row r="31" spans="1:41" x14ac:dyDescent="0.2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 x14ac:dyDescent="0.2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2:41" x14ac:dyDescent="0.2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</sheetData>
  <mergeCells count="14">
    <mergeCell ref="B1:AT1"/>
    <mergeCell ref="C2:E2"/>
    <mergeCell ref="AM2:AO2"/>
    <mergeCell ref="F2:H2"/>
    <mergeCell ref="AJ2:AL2"/>
    <mergeCell ref="AG2:AI2"/>
    <mergeCell ref="AD2:AF2"/>
    <mergeCell ref="AA2:AC2"/>
    <mergeCell ref="X2:Z2"/>
    <mergeCell ref="U2:W2"/>
    <mergeCell ref="R2:T2"/>
    <mergeCell ref="O2:Q2"/>
    <mergeCell ref="L2:N2"/>
    <mergeCell ref="I2:K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86"/>
  <sheetViews>
    <sheetView topLeftCell="A41" workbookViewId="0">
      <selection activeCell="B74" sqref="B74"/>
    </sheetView>
  </sheetViews>
  <sheetFormatPr baseColWidth="10" defaultColWidth="8.83203125" defaultRowHeight="16" x14ac:dyDescent="0.2"/>
  <cols>
    <col min="1" max="1" width="14.1640625" bestFit="1" customWidth="1"/>
    <col min="2" max="2" width="8.33203125" bestFit="1" customWidth="1"/>
    <col min="3" max="3" width="11.5" bestFit="1" customWidth="1"/>
    <col min="4" max="4" width="11.83203125" bestFit="1" customWidth="1"/>
    <col min="5" max="5" width="7" bestFit="1" customWidth="1"/>
    <col min="8" max="8" width="7.83203125" bestFit="1" customWidth="1"/>
    <col min="9" max="9" width="19.5" bestFit="1" customWidth="1"/>
  </cols>
  <sheetData>
    <row r="1" spans="1:9" ht="29" x14ac:dyDescent="0.35">
      <c r="A1" s="67" t="s">
        <v>37</v>
      </c>
      <c r="B1" s="67"/>
      <c r="C1" s="67"/>
      <c r="D1" s="67"/>
      <c r="E1" s="67"/>
    </row>
    <row r="2" spans="1:9" x14ac:dyDescent="0.2">
      <c r="A2" s="10" t="s">
        <v>36</v>
      </c>
      <c r="B2" s="10" t="s">
        <v>39</v>
      </c>
      <c r="C2" s="10" t="s">
        <v>38</v>
      </c>
      <c r="D2" s="10" t="s">
        <v>55</v>
      </c>
      <c r="E2" s="10" t="s">
        <v>56</v>
      </c>
      <c r="H2" t="s">
        <v>36</v>
      </c>
      <c r="I2" t="s">
        <v>0</v>
      </c>
    </row>
    <row r="3" spans="1:9" x14ac:dyDescent="0.2">
      <c r="A3" s="10" t="s">
        <v>41</v>
      </c>
      <c r="B3" s="11">
        <v>43595</v>
      </c>
      <c r="C3" s="12">
        <v>3395.15</v>
      </c>
      <c r="D3" s="10" t="str">
        <f>IF(A3&lt;&gt;"",CONCATENATE(MID(A3,1,4), "-00"),"")</f>
        <v>1000-00</v>
      </c>
      <c r="E3" s="10" t="str">
        <f>IF(B3&lt;&gt;"",TEXT(B3, "mmmm"),"")</f>
        <v>May</v>
      </c>
      <c r="H3" t="s">
        <v>41</v>
      </c>
      <c r="I3" t="s">
        <v>31</v>
      </c>
    </row>
    <row r="4" spans="1:9" x14ac:dyDescent="0.2">
      <c r="A4" s="10" t="s">
        <v>76</v>
      </c>
      <c r="B4" s="11">
        <v>43595</v>
      </c>
      <c r="C4" s="12">
        <v>193.14</v>
      </c>
      <c r="D4" s="10" t="str">
        <f t="shared" ref="D4:D24" si="0">IF(A4&lt;&gt;"",CONCATENATE(MID(A4,1,4), "-00"),"")</f>
        <v>2000-00</v>
      </c>
      <c r="E4" s="10" t="str">
        <f t="shared" ref="E4:E24" si="1">IF(B4&lt;&gt;"",TEXT(B4, "mmmm"),"")</f>
        <v>May</v>
      </c>
      <c r="H4" t="s">
        <v>40</v>
      </c>
      <c r="I4" t="s">
        <v>32</v>
      </c>
    </row>
    <row r="5" spans="1:9" x14ac:dyDescent="0.2">
      <c r="A5" s="10" t="s">
        <v>81</v>
      </c>
      <c r="B5" s="11">
        <v>43595</v>
      </c>
      <c r="C5" s="12">
        <v>84</v>
      </c>
      <c r="D5" s="10" t="str">
        <f t="shared" si="0"/>
        <v>2000-00</v>
      </c>
      <c r="E5" s="10" t="str">
        <f t="shared" si="1"/>
        <v>May</v>
      </c>
      <c r="H5" t="s">
        <v>42</v>
      </c>
      <c r="I5" t="s">
        <v>13</v>
      </c>
    </row>
    <row r="6" spans="1:9" x14ac:dyDescent="0.2">
      <c r="A6" s="10" t="s">
        <v>82</v>
      </c>
      <c r="B6" s="11">
        <v>43595</v>
      </c>
      <c r="C6" s="12">
        <v>43.45</v>
      </c>
      <c r="D6" s="10" t="str">
        <f t="shared" si="0"/>
        <v>2000-00</v>
      </c>
      <c r="E6" s="10" t="str">
        <f t="shared" si="1"/>
        <v>May</v>
      </c>
      <c r="H6" t="s">
        <v>57</v>
      </c>
      <c r="I6" t="s">
        <v>77</v>
      </c>
    </row>
    <row r="7" spans="1:9" x14ac:dyDescent="0.2">
      <c r="A7" s="10" t="s">
        <v>83</v>
      </c>
      <c r="B7" s="11">
        <v>43595</v>
      </c>
      <c r="C7" s="12">
        <v>185.79</v>
      </c>
      <c r="D7" s="10" t="str">
        <f t="shared" si="0"/>
        <v>2000-00</v>
      </c>
      <c r="E7" s="10" t="str">
        <f t="shared" si="1"/>
        <v>May</v>
      </c>
      <c r="H7" t="s">
        <v>81</v>
      </c>
      <c r="I7" t="s">
        <v>78</v>
      </c>
    </row>
    <row r="8" spans="1:9" x14ac:dyDescent="0.2">
      <c r="A8" s="10" t="s">
        <v>84</v>
      </c>
      <c r="B8" s="11">
        <v>43595</v>
      </c>
      <c r="C8" s="12">
        <v>34.520000000000003</v>
      </c>
      <c r="D8" s="10" t="str">
        <f t="shared" si="0"/>
        <v>2010-00</v>
      </c>
      <c r="E8" s="10" t="str">
        <f t="shared" si="1"/>
        <v>May</v>
      </c>
      <c r="H8" t="s">
        <v>82</v>
      </c>
      <c r="I8" t="s">
        <v>79</v>
      </c>
    </row>
    <row r="9" spans="1:9" x14ac:dyDescent="0.2">
      <c r="A9" s="10" t="s">
        <v>89</v>
      </c>
      <c r="B9" s="11">
        <v>43595</v>
      </c>
      <c r="C9" s="12">
        <v>83.33</v>
      </c>
      <c r="D9" s="10" t="str">
        <f t="shared" si="0"/>
        <v>2010-00</v>
      </c>
      <c r="E9" s="10" t="str">
        <f t="shared" si="1"/>
        <v>May</v>
      </c>
      <c r="H9" t="s">
        <v>83</v>
      </c>
      <c r="I9" t="s">
        <v>80</v>
      </c>
    </row>
    <row r="10" spans="1:9" x14ac:dyDescent="0.2">
      <c r="A10" s="10" t="s">
        <v>90</v>
      </c>
      <c r="B10" s="11">
        <v>43595</v>
      </c>
      <c r="C10" s="12">
        <v>1.1499999999999999</v>
      </c>
      <c r="D10" s="10" t="str">
        <f t="shared" si="0"/>
        <v>2010-00</v>
      </c>
      <c r="E10" s="10" t="str">
        <f t="shared" si="1"/>
        <v>May</v>
      </c>
      <c r="H10" t="s">
        <v>43</v>
      </c>
      <c r="I10" t="s">
        <v>10</v>
      </c>
    </row>
    <row r="11" spans="1:9" x14ac:dyDescent="0.2">
      <c r="A11" s="10" t="s">
        <v>91</v>
      </c>
      <c r="B11" s="11">
        <v>43595</v>
      </c>
      <c r="C11" s="12">
        <v>280.73</v>
      </c>
      <c r="D11" s="10" t="str">
        <f t="shared" si="0"/>
        <v>2010-00</v>
      </c>
      <c r="E11" s="10" t="str">
        <f t="shared" si="1"/>
        <v>May</v>
      </c>
      <c r="H11" t="s">
        <v>62</v>
      </c>
      <c r="I11" t="s">
        <v>63</v>
      </c>
    </row>
    <row r="12" spans="1:9" x14ac:dyDescent="0.2">
      <c r="A12" s="10" t="s">
        <v>47</v>
      </c>
      <c r="B12" s="11">
        <v>43595</v>
      </c>
      <c r="C12" s="12">
        <v>113.31</v>
      </c>
      <c r="D12" s="10" t="str">
        <f t="shared" si="0"/>
        <v>2005-00</v>
      </c>
      <c r="E12" s="10" t="str">
        <f t="shared" si="1"/>
        <v>May</v>
      </c>
      <c r="H12" t="s">
        <v>64</v>
      </c>
      <c r="I12" t="s">
        <v>65</v>
      </c>
    </row>
    <row r="13" spans="1:9" x14ac:dyDescent="0.2">
      <c r="A13" s="10" t="s">
        <v>45</v>
      </c>
      <c r="B13" s="11">
        <v>43595</v>
      </c>
      <c r="C13" s="12">
        <v>17.12</v>
      </c>
      <c r="D13" s="10" t="str">
        <f t="shared" si="0"/>
        <v>2003-00</v>
      </c>
      <c r="E13" s="10" t="str">
        <f t="shared" si="1"/>
        <v>May</v>
      </c>
      <c r="H13" t="s">
        <v>44</v>
      </c>
      <c r="I13" t="s">
        <v>67</v>
      </c>
    </row>
    <row r="14" spans="1:9" x14ac:dyDescent="0.2">
      <c r="A14" s="10" t="s">
        <v>45</v>
      </c>
      <c r="B14" s="11">
        <v>43595</v>
      </c>
      <c r="C14" s="12">
        <v>17.59</v>
      </c>
      <c r="D14" s="10" t="str">
        <f t="shared" si="0"/>
        <v>2003-00</v>
      </c>
      <c r="E14" s="10" t="str">
        <f t="shared" si="1"/>
        <v>May</v>
      </c>
      <c r="H14" t="s">
        <v>66</v>
      </c>
      <c r="I14" t="s">
        <v>68</v>
      </c>
    </row>
    <row r="15" spans="1:9" x14ac:dyDescent="0.2">
      <c r="A15" s="10" t="s">
        <v>48</v>
      </c>
      <c r="B15" s="11">
        <v>43595</v>
      </c>
      <c r="C15" s="12">
        <v>58.73</v>
      </c>
      <c r="D15" s="10" t="str">
        <f t="shared" si="0"/>
        <v>2006-00</v>
      </c>
      <c r="E15" s="10" t="str">
        <f t="shared" si="1"/>
        <v>May</v>
      </c>
      <c r="H15" t="s">
        <v>45</v>
      </c>
      <c r="I15" t="s">
        <v>1</v>
      </c>
    </row>
    <row r="16" spans="1:9" x14ac:dyDescent="0.2">
      <c r="A16" s="10" t="s">
        <v>53</v>
      </c>
      <c r="B16" s="11">
        <v>43595</v>
      </c>
      <c r="C16" s="12">
        <v>32</v>
      </c>
      <c r="D16" s="10" t="str">
        <f t="shared" si="0"/>
        <v>2111-00</v>
      </c>
      <c r="E16" s="10" t="str">
        <f t="shared" si="1"/>
        <v>May</v>
      </c>
      <c r="H16" t="s">
        <v>46</v>
      </c>
      <c r="I16" t="s">
        <v>98</v>
      </c>
    </row>
    <row r="17" spans="1:9" x14ac:dyDescent="0.2">
      <c r="A17" s="10" t="s">
        <v>66</v>
      </c>
      <c r="B17" s="11">
        <v>43588</v>
      </c>
      <c r="C17" s="12">
        <v>1560</v>
      </c>
      <c r="D17" s="10" t="str">
        <f t="shared" ref="D17" si="2">IF(A17&lt;&gt;"",CONCATENATE(MID(A17,1,4), "-00"),"")</f>
        <v>2002-00</v>
      </c>
      <c r="E17" s="10" t="str">
        <f t="shared" ref="E17" si="3">IF(B17&lt;&gt;"",TEXT(B17, "mmmm"),"")</f>
        <v>May</v>
      </c>
      <c r="H17" t="s">
        <v>46</v>
      </c>
      <c r="I17" t="s">
        <v>2</v>
      </c>
    </row>
    <row r="18" spans="1:9" x14ac:dyDescent="0.2">
      <c r="A18" s="10" t="s">
        <v>47</v>
      </c>
      <c r="B18" s="11">
        <v>43596</v>
      </c>
      <c r="C18" s="12">
        <v>98.79</v>
      </c>
      <c r="D18" s="10" t="str">
        <f t="shared" ref="D18" si="4">IF(A18&lt;&gt;"",CONCATENATE(MID(A18,1,4), "-00"),"")</f>
        <v>2005-00</v>
      </c>
      <c r="E18" s="10" t="str">
        <f t="shared" ref="E18" si="5">IF(B18&lt;&gt;"",TEXT(B18, "mmmm"),"")</f>
        <v>May</v>
      </c>
      <c r="H18" t="s">
        <v>47</v>
      </c>
      <c r="I18" t="s">
        <v>3</v>
      </c>
    </row>
    <row r="19" spans="1:9" x14ac:dyDescent="0.2">
      <c r="A19" s="10" t="s">
        <v>49</v>
      </c>
      <c r="B19" s="11">
        <v>43596</v>
      </c>
      <c r="C19" s="12">
        <v>55</v>
      </c>
      <c r="D19" s="10" t="str">
        <f t="shared" si="0"/>
        <v>2100-00</v>
      </c>
      <c r="E19" s="10" t="str">
        <f t="shared" si="1"/>
        <v>May</v>
      </c>
      <c r="H19" t="s">
        <v>48</v>
      </c>
      <c r="I19" t="s">
        <v>4</v>
      </c>
    </row>
    <row r="20" spans="1:9" x14ac:dyDescent="0.2">
      <c r="A20" s="10" t="s">
        <v>50</v>
      </c>
      <c r="B20" s="11">
        <v>43599</v>
      </c>
      <c r="C20" s="12">
        <v>189.47</v>
      </c>
      <c r="D20" s="10" t="str">
        <f t="shared" si="0"/>
        <v>2108-00</v>
      </c>
      <c r="E20" s="10" t="str">
        <f t="shared" si="1"/>
        <v>May</v>
      </c>
      <c r="H20" t="s">
        <v>49</v>
      </c>
      <c r="I20" t="s">
        <v>5</v>
      </c>
    </row>
    <row r="21" spans="1:9" x14ac:dyDescent="0.2">
      <c r="A21" s="10" t="s">
        <v>118</v>
      </c>
      <c r="B21" s="11">
        <v>43592</v>
      </c>
      <c r="C21" s="12">
        <v>33.799999999999997</v>
      </c>
      <c r="D21" s="10" t="str">
        <f t="shared" si="0"/>
        <v>2112-00</v>
      </c>
      <c r="E21" s="10" t="str">
        <f t="shared" si="1"/>
        <v>May</v>
      </c>
      <c r="H21" t="s">
        <v>50</v>
      </c>
      <c r="I21" t="s">
        <v>6</v>
      </c>
    </row>
    <row r="22" spans="1:9" x14ac:dyDescent="0.2">
      <c r="A22" s="10" t="s">
        <v>51</v>
      </c>
      <c r="B22" s="11">
        <v>43592</v>
      </c>
      <c r="C22" s="12">
        <v>26.4</v>
      </c>
      <c r="D22" s="10" t="str">
        <f t="shared" si="0"/>
        <v>2009-00</v>
      </c>
      <c r="E22" s="10" t="str">
        <f t="shared" si="1"/>
        <v>May</v>
      </c>
      <c r="H22" t="s">
        <v>51</v>
      </c>
      <c r="I22" t="s">
        <v>11</v>
      </c>
    </row>
    <row r="23" spans="1:9" x14ac:dyDescent="0.2">
      <c r="A23" s="10" t="s">
        <v>53</v>
      </c>
      <c r="B23" s="11">
        <v>43593</v>
      </c>
      <c r="C23" s="12">
        <v>4.26</v>
      </c>
      <c r="D23" s="10" t="str">
        <f t="shared" si="0"/>
        <v>2111-00</v>
      </c>
      <c r="E23" s="10" t="str">
        <f t="shared" si="1"/>
        <v>May</v>
      </c>
      <c r="H23" t="s">
        <v>52</v>
      </c>
      <c r="I23" t="s">
        <v>12</v>
      </c>
    </row>
    <row r="24" spans="1:9" x14ac:dyDescent="0.2">
      <c r="A24" s="10" t="s">
        <v>53</v>
      </c>
      <c r="B24" s="11">
        <v>43595</v>
      </c>
      <c r="C24" s="12">
        <v>32</v>
      </c>
      <c r="D24" s="10" t="str">
        <f t="shared" si="0"/>
        <v>2111-00</v>
      </c>
      <c r="E24" s="10" t="str">
        <f t="shared" si="1"/>
        <v>May</v>
      </c>
      <c r="H24" t="s">
        <v>84</v>
      </c>
      <c r="I24" t="s">
        <v>88</v>
      </c>
    </row>
    <row r="25" spans="1:9" x14ac:dyDescent="0.2">
      <c r="A25" s="10" t="s">
        <v>51</v>
      </c>
      <c r="B25" s="11">
        <v>43596</v>
      </c>
      <c r="C25" s="12">
        <v>279.99</v>
      </c>
      <c r="D25" s="10" t="str">
        <f t="shared" ref="D25:D31" si="6">IF(A25&lt;&gt;"",CONCATENATE(MID(A25,1,4), "-00"),"")</f>
        <v>2009-00</v>
      </c>
      <c r="E25" s="10" t="str">
        <f t="shared" ref="E25:E31" si="7">IF(B25&lt;&gt;"",TEXT(B25, "mmmm"),"")</f>
        <v>May</v>
      </c>
      <c r="H25" t="s">
        <v>89</v>
      </c>
      <c r="I25" t="s">
        <v>86</v>
      </c>
    </row>
    <row r="26" spans="1:9" x14ac:dyDescent="0.2">
      <c r="A26" s="10" t="s">
        <v>51</v>
      </c>
      <c r="B26" s="11">
        <v>43603</v>
      </c>
      <c r="C26" s="12">
        <v>45.53</v>
      </c>
      <c r="D26" s="10" t="str">
        <f t="shared" si="6"/>
        <v>2009-00</v>
      </c>
      <c r="E26" s="10" t="str">
        <f t="shared" si="7"/>
        <v>May</v>
      </c>
      <c r="H26" t="s">
        <v>90</v>
      </c>
      <c r="I26" t="s">
        <v>85</v>
      </c>
    </row>
    <row r="27" spans="1:9" x14ac:dyDescent="0.2">
      <c r="A27" s="10" t="s">
        <v>51</v>
      </c>
      <c r="B27" s="11">
        <v>43604</v>
      </c>
      <c r="C27" s="12">
        <v>51.48</v>
      </c>
      <c r="D27" s="10" t="str">
        <f t="shared" si="6"/>
        <v>2009-00</v>
      </c>
      <c r="E27" s="10" t="str">
        <f t="shared" si="7"/>
        <v>May</v>
      </c>
      <c r="H27" t="s">
        <v>91</v>
      </c>
      <c r="I27" t="s">
        <v>87</v>
      </c>
    </row>
    <row r="28" spans="1:9" x14ac:dyDescent="0.2">
      <c r="A28" s="10" t="s">
        <v>53</v>
      </c>
      <c r="B28" s="11">
        <v>43605</v>
      </c>
      <c r="C28" s="12">
        <v>49.99</v>
      </c>
      <c r="D28" s="10" t="str">
        <f t="shared" si="6"/>
        <v>2111-00</v>
      </c>
      <c r="E28" s="10" t="str">
        <f t="shared" si="7"/>
        <v>May</v>
      </c>
      <c r="H28" t="s">
        <v>119</v>
      </c>
      <c r="I28" t="s">
        <v>120</v>
      </c>
    </row>
    <row r="29" spans="1:9" x14ac:dyDescent="0.2">
      <c r="A29" s="10" t="s">
        <v>60</v>
      </c>
      <c r="B29" s="11">
        <v>43605</v>
      </c>
      <c r="C29" s="12">
        <v>-142.62</v>
      </c>
      <c r="D29" s="10" t="str">
        <f t="shared" si="6"/>
        <v>3100-00</v>
      </c>
      <c r="E29" s="10" t="str">
        <f t="shared" si="7"/>
        <v>May</v>
      </c>
      <c r="H29" t="s">
        <v>121</v>
      </c>
      <c r="I29" t="s">
        <v>59</v>
      </c>
    </row>
    <row r="30" spans="1:9" x14ac:dyDescent="0.2">
      <c r="A30" s="10" t="s">
        <v>41</v>
      </c>
      <c r="B30" s="11">
        <v>43609</v>
      </c>
      <c r="C30" s="12">
        <v>3395.15</v>
      </c>
      <c r="D30" s="10" t="str">
        <f t="shared" si="6"/>
        <v>1000-00</v>
      </c>
      <c r="E30" s="10" t="str">
        <f t="shared" si="7"/>
        <v>May</v>
      </c>
      <c r="H30" t="s">
        <v>53</v>
      </c>
      <c r="I30" t="s">
        <v>14</v>
      </c>
    </row>
    <row r="31" spans="1:9" x14ac:dyDescent="0.2">
      <c r="A31" s="10" t="s">
        <v>57</v>
      </c>
      <c r="B31" s="11">
        <v>43609</v>
      </c>
      <c r="C31" s="12">
        <v>193.14</v>
      </c>
      <c r="D31" s="10" t="str">
        <f t="shared" si="6"/>
        <v>2000-00</v>
      </c>
      <c r="E31" s="10" t="str">
        <f t="shared" si="7"/>
        <v>May</v>
      </c>
      <c r="H31" t="s">
        <v>92</v>
      </c>
      <c r="I31" t="s">
        <v>93</v>
      </c>
    </row>
    <row r="32" spans="1:9" x14ac:dyDescent="0.2">
      <c r="A32" s="10" t="s">
        <v>81</v>
      </c>
      <c r="B32" s="11">
        <v>43609</v>
      </c>
      <c r="C32" s="12">
        <v>84</v>
      </c>
      <c r="D32" s="10" t="str">
        <f t="shared" ref="D32:D36" si="8">IF(A32&lt;&gt;"",CONCATENATE(MID(A32,1,4), "-00"),"")</f>
        <v>2000-00</v>
      </c>
      <c r="E32" s="10" t="str">
        <f t="shared" ref="E32:E36" si="9">IF(B32&lt;&gt;"",TEXT(B32, "mmmm"),"")</f>
        <v>May</v>
      </c>
      <c r="H32" t="s">
        <v>96</v>
      </c>
      <c r="I32" t="s">
        <v>94</v>
      </c>
    </row>
    <row r="33" spans="1:9" x14ac:dyDescent="0.2">
      <c r="A33" s="10" t="s">
        <v>82</v>
      </c>
      <c r="B33" s="11">
        <v>43609</v>
      </c>
      <c r="C33" s="12">
        <v>43.45</v>
      </c>
      <c r="D33" s="10" t="str">
        <f t="shared" si="8"/>
        <v>2000-00</v>
      </c>
      <c r="E33" s="10" t="str">
        <f t="shared" si="9"/>
        <v>May</v>
      </c>
      <c r="H33" t="s">
        <v>97</v>
      </c>
      <c r="I33" t="s">
        <v>95</v>
      </c>
    </row>
    <row r="34" spans="1:9" x14ac:dyDescent="0.2">
      <c r="A34" s="10" t="s">
        <v>83</v>
      </c>
      <c r="B34" s="11">
        <v>43609</v>
      </c>
      <c r="C34" s="12">
        <v>185.79</v>
      </c>
      <c r="D34" s="10" t="str">
        <f t="shared" si="8"/>
        <v>2000-00</v>
      </c>
      <c r="E34" s="10" t="str">
        <f t="shared" si="9"/>
        <v>May</v>
      </c>
      <c r="H34" t="s">
        <v>54</v>
      </c>
      <c r="I34" t="s">
        <v>7</v>
      </c>
    </row>
    <row r="35" spans="1:9" x14ac:dyDescent="0.2">
      <c r="A35" s="10" t="s">
        <v>84</v>
      </c>
      <c r="B35" s="11">
        <v>43609</v>
      </c>
      <c r="C35" s="12">
        <v>34.520000000000003</v>
      </c>
      <c r="D35" s="10" t="str">
        <f t="shared" si="8"/>
        <v>2010-00</v>
      </c>
      <c r="E35" s="10" t="str">
        <f t="shared" si="9"/>
        <v>May</v>
      </c>
      <c r="H35" t="s">
        <v>58</v>
      </c>
      <c r="I35" t="s">
        <v>7</v>
      </c>
    </row>
    <row r="36" spans="1:9" x14ac:dyDescent="0.2">
      <c r="A36" s="10" t="s">
        <v>89</v>
      </c>
      <c r="B36" s="11">
        <v>43609</v>
      </c>
      <c r="C36" s="12">
        <v>83.33</v>
      </c>
      <c r="D36" s="10" t="str">
        <f t="shared" si="8"/>
        <v>2010-00</v>
      </c>
      <c r="E36" s="10" t="str">
        <f t="shared" si="9"/>
        <v>May</v>
      </c>
      <c r="H36" t="s">
        <v>60</v>
      </c>
      <c r="I36" t="s">
        <v>99</v>
      </c>
    </row>
    <row r="37" spans="1:9" x14ac:dyDescent="0.2">
      <c r="A37" s="10" t="s">
        <v>90</v>
      </c>
      <c r="B37" s="11">
        <v>43609</v>
      </c>
      <c r="C37" s="12">
        <v>1.1499999999999999</v>
      </c>
      <c r="D37" s="10" t="str">
        <f t="shared" ref="D37:D43" si="10">IF(A37&lt;&gt;"",CONCATENATE(MID(A37,1,4), "-00"),"")</f>
        <v>2010-00</v>
      </c>
      <c r="E37" s="10" t="str">
        <f t="shared" ref="E37:E43" si="11">IF(B37&lt;&gt;"",TEXT(B37, "mmmm"),"")</f>
        <v>May</v>
      </c>
      <c r="H37" t="s">
        <v>69</v>
      </c>
      <c r="I37" t="s">
        <v>59</v>
      </c>
    </row>
    <row r="38" spans="1:9" x14ac:dyDescent="0.2">
      <c r="A38" s="10" t="s">
        <v>91</v>
      </c>
      <c r="B38" s="11">
        <v>43609</v>
      </c>
      <c r="C38" s="12">
        <v>280.73</v>
      </c>
      <c r="D38" s="10" t="str">
        <f t="shared" si="10"/>
        <v>2010-00</v>
      </c>
      <c r="E38" s="10" t="str">
        <f t="shared" si="11"/>
        <v>May</v>
      </c>
      <c r="H38" t="s">
        <v>100</v>
      </c>
      <c r="I38" t="s">
        <v>61</v>
      </c>
    </row>
    <row r="39" spans="1:9" x14ac:dyDescent="0.2">
      <c r="A39" s="10" t="s">
        <v>69</v>
      </c>
      <c r="B39" s="11">
        <v>43609</v>
      </c>
      <c r="C39" s="12">
        <v>500</v>
      </c>
      <c r="D39" s="10" t="str">
        <f t="shared" si="10"/>
        <v>3100-00</v>
      </c>
      <c r="E39" s="10" t="str">
        <f t="shared" si="11"/>
        <v>May</v>
      </c>
      <c r="H39" t="s">
        <v>101</v>
      </c>
      <c r="I39" t="s">
        <v>102</v>
      </c>
    </row>
    <row r="40" spans="1:9" x14ac:dyDescent="0.2">
      <c r="A40" s="10" t="s">
        <v>46</v>
      </c>
      <c r="B40" s="11">
        <v>43609</v>
      </c>
      <c r="C40" s="12">
        <v>80</v>
      </c>
      <c r="D40" s="10" t="str">
        <f t="shared" si="10"/>
        <v>2004-00</v>
      </c>
      <c r="E40" s="10" t="str">
        <f t="shared" si="11"/>
        <v>May</v>
      </c>
    </row>
    <row r="41" spans="1:9" x14ac:dyDescent="0.2">
      <c r="A41" s="10" t="s">
        <v>43</v>
      </c>
      <c r="B41" s="11">
        <v>43609</v>
      </c>
      <c r="C41" s="12">
        <v>679</v>
      </c>
      <c r="D41" s="10" t="str">
        <f t="shared" si="10"/>
        <v>2101-00</v>
      </c>
      <c r="E41" s="10" t="str">
        <f t="shared" si="11"/>
        <v>May</v>
      </c>
    </row>
    <row r="42" spans="1:9" x14ac:dyDescent="0.2">
      <c r="A42" s="10" t="s">
        <v>60</v>
      </c>
      <c r="B42" s="11">
        <v>43609</v>
      </c>
      <c r="C42" s="12">
        <v>1230.04</v>
      </c>
      <c r="D42" s="10" t="str">
        <f t="shared" si="10"/>
        <v>3100-00</v>
      </c>
      <c r="E42" s="10" t="str">
        <f t="shared" si="11"/>
        <v>May</v>
      </c>
    </row>
    <row r="43" spans="1:9" x14ac:dyDescent="0.2">
      <c r="A43" s="10" t="s">
        <v>41</v>
      </c>
      <c r="B43" s="11">
        <v>43623</v>
      </c>
      <c r="C43" s="12">
        <v>3395.15</v>
      </c>
      <c r="D43" s="10" t="str">
        <f t="shared" si="10"/>
        <v>1000-00</v>
      </c>
      <c r="E43" s="10" t="str">
        <f t="shared" si="11"/>
        <v>June</v>
      </c>
    </row>
    <row r="44" spans="1:9" x14ac:dyDescent="0.2">
      <c r="A44" s="10" t="s">
        <v>57</v>
      </c>
      <c r="B44" s="11">
        <v>43623</v>
      </c>
      <c r="C44" s="12">
        <v>193.14</v>
      </c>
      <c r="D44" s="10" t="str">
        <f t="shared" ref="D44:D61" si="12">IF(A44&lt;&gt;"",CONCATENATE(MID(A44,1,4), "-00"),"")</f>
        <v>2000-00</v>
      </c>
      <c r="E44" s="10" t="str">
        <f t="shared" ref="E44:E61" si="13">IF(B44&lt;&gt;"",TEXT(B44, "mmmm"),"")</f>
        <v>June</v>
      </c>
    </row>
    <row r="45" spans="1:9" x14ac:dyDescent="0.2">
      <c r="A45" s="10" t="s">
        <v>81</v>
      </c>
      <c r="B45" s="11">
        <v>43623</v>
      </c>
      <c r="C45" s="12">
        <v>84</v>
      </c>
      <c r="D45" s="10" t="str">
        <f t="shared" si="12"/>
        <v>2000-00</v>
      </c>
      <c r="E45" s="10" t="str">
        <f t="shared" si="13"/>
        <v>June</v>
      </c>
    </row>
    <row r="46" spans="1:9" x14ac:dyDescent="0.2">
      <c r="A46" s="10" t="s">
        <v>82</v>
      </c>
      <c r="B46" s="11">
        <v>43623</v>
      </c>
      <c r="C46" s="12">
        <v>43.45</v>
      </c>
      <c r="D46" s="10" t="str">
        <f t="shared" si="12"/>
        <v>2000-00</v>
      </c>
      <c r="E46" s="10" t="str">
        <f t="shared" si="13"/>
        <v>June</v>
      </c>
    </row>
    <row r="47" spans="1:9" x14ac:dyDescent="0.2">
      <c r="A47" s="10" t="s">
        <v>83</v>
      </c>
      <c r="B47" s="11">
        <v>43623</v>
      </c>
      <c r="C47" s="12">
        <v>185.78</v>
      </c>
      <c r="D47" s="10" t="str">
        <f t="shared" si="12"/>
        <v>2000-00</v>
      </c>
      <c r="E47" s="10" t="str">
        <f t="shared" si="13"/>
        <v>June</v>
      </c>
    </row>
    <row r="48" spans="1:9" x14ac:dyDescent="0.2">
      <c r="A48" s="10" t="s">
        <v>84</v>
      </c>
      <c r="B48" s="11">
        <v>43623</v>
      </c>
      <c r="C48" s="12">
        <v>34.520000000000003</v>
      </c>
      <c r="D48" s="10" t="str">
        <f t="shared" si="12"/>
        <v>2010-00</v>
      </c>
      <c r="E48" s="10" t="str">
        <f t="shared" si="13"/>
        <v>June</v>
      </c>
    </row>
    <row r="49" spans="1:5" x14ac:dyDescent="0.2">
      <c r="A49" s="10" t="s">
        <v>89</v>
      </c>
      <c r="B49" s="11">
        <v>43623</v>
      </c>
      <c r="C49" s="12">
        <v>83.33</v>
      </c>
      <c r="D49" s="10" t="str">
        <f t="shared" si="12"/>
        <v>2010-00</v>
      </c>
      <c r="E49" s="10" t="str">
        <f t="shared" si="13"/>
        <v>June</v>
      </c>
    </row>
    <row r="50" spans="1:5" x14ac:dyDescent="0.2">
      <c r="A50" s="10" t="s">
        <v>90</v>
      </c>
      <c r="B50" s="11">
        <v>43623</v>
      </c>
      <c r="C50" s="12">
        <v>1.1499999999999999</v>
      </c>
      <c r="D50" s="10" t="str">
        <f t="shared" si="12"/>
        <v>2010-00</v>
      </c>
      <c r="E50" s="10" t="str">
        <f t="shared" si="13"/>
        <v>June</v>
      </c>
    </row>
    <row r="51" spans="1:5" x14ac:dyDescent="0.2">
      <c r="A51" s="10" t="s">
        <v>91</v>
      </c>
      <c r="B51" s="11">
        <v>43623</v>
      </c>
      <c r="C51" s="12">
        <v>280.73</v>
      </c>
      <c r="D51" s="10" t="str">
        <f t="shared" si="12"/>
        <v>2010-00</v>
      </c>
      <c r="E51" s="10" t="str">
        <f t="shared" si="13"/>
        <v>June</v>
      </c>
    </row>
    <row r="52" spans="1:5" x14ac:dyDescent="0.2">
      <c r="A52" s="10" t="s">
        <v>41</v>
      </c>
      <c r="B52" s="11">
        <v>43637</v>
      </c>
      <c r="C52" s="12">
        <v>3395.15</v>
      </c>
      <c r="D52" s="10" t="str">
        <f t="shared" si="12"/>
        <v>1000-00</v>
      </c>
      <c r="E52" s="10" t="str">
        <f t="shared" si="13"/>
        <v>June</v>
      </c>
    </row>
    <row r="53" spans="1:5" x14ac:dyDescent="0.2">
      <c r="A53" s="10" t="s">
        <v>57</v>
      </c>
      <c r="B53" s="11">
        <v>43637</v>
      </c>
      <c r="C53" s="12">
        <v>193.14</v>
      </c>
      <c r="D53" s="10" t="str">
        <f t="shared" si="12"/>
        <v>2000-00</v>
      </c>
      <c r="E53" s="10" t="str">
        <f t="shared" si="13"/>
        <v>June</v>
      </c>
    </row>
    <row r="54" spans="1:5" x14ac:dyDescent="0.2">
      <c r="A54" s="10" t="s">
        <v>81</v>
      </c>
      <c r="B54" s="11">
        <v>43637</v>
      </c>
      <c r="C54" s="12">
        <v>84</v>
      </c>
      <c r="D54" s="10" t="str">
        <f t="shared" si="12"/>
        <v>2000-00</v>
      </c>
      <c r="E54" s="10" t="str">
        <f t="shared" si="13"/>
        <v>June</v>
      </c>
    </row>
    <row r="55" spans="1:5" x14ac:dyDescent="0.2">
      <c r="A55" s="10" t="s">
        <v>82</v>
      </c>
      <c r="B55" s="11">
        <v>43637</v>
      </c>
      <c r="C55" s="12">
        <v>43.45</v>
      </c>
      <c r="D55" s="10" t="str">
        <f t="shared" si="12"/>
        <v>2000-00</v>
      </c>
      <c r="E55" s="10" t="str">
        <f t="shared" si="13"/>
        <v>June</v>
      </c>
    </row>
    <row r="56" spans="1:5" x14ac:dyDescent="0.2">
      <c r="A56" s="10" t="s">
        <v>83</v>
      </c>
      <c r="B56" s="11">
        <v>43637</v>
      </c>
      <c r="C56" s="12">
        <v>185.78</v>
      </c>
      <c r="D56" s="10" t="str">
        <f t="shared" si="12"/>
        <v>2000-00</v>
      </c>
      <c r="E56" s="10" t="str">
        <f t="shared" si="13"/>
        <v>June</v>
      </c>
    </row>
    <row r="57" spans="1:5" x14ac:dyDescent="0.2">
      <c r="A57" s="10" t="s">
        <v>84</v>
      </c>
      <c r="B57" s="11">
        <v>43637</v>
      </c>
      <c r="C57" s="12">
        <v>34.520000000000003</v>
      </c>
      <c r="D57" s="10" t="str">
        <f t="shared" si="12"/>
        <v>2010-00</v>
      </c>
      <c r="E57" s="10" t="str">
        <f t="shared" si="13"/>
        <v>June</v>
      </c>
    </row>
    <row r="58" spans="1:5" x14ac:dyDescent="0.2">
      <c r="A58" s="10" t="s">
        <v>89</v>
      </c>
      <c r="B58" s="11">
        <v>43637</v>
      </c>
      <c r="C58" s="12">
        <v>83.33</v>
      </c>
      <c r="D58" s="10" t="str">
        <f t="shared" si="12"/>
        <v>2010-00</v>
      </c>
      <c r="E58" s="10" t="str">
        <f t="shared" si="13"/>
        <v>June</v>
      </c>
    </row>
    <row r="59" spans="1:5" x14ac:dyDescent="0.2">
      <c r="A59" s="10" t="s">
        <v>90</v>
      </c>
      <c r="B59" s="11">
        <v>43637</v>
      </c>
      <c r="C59" s="12">
        <v>1.1499999999999999</v>
      </c>
      <c r="D59" s="10" t="str">
        <f t="shared" si="12"/>
        <v>2010-00</v>
      </c>
      <c r="E59" s="10" t="str">
        <f t="shared" si="13"/>
        <v>June</v>
      </c>
    </row>
    <row r="60" spans="1:5" x14ac:dyDescent="0.2">
      <c r="A60" s="10" t="s">
        <v>91</v>
      </c>
      <c r="B60" s="11">
        <v>43637</v>
      </c>
      <c r="C60" s="12">
        <v>280.73</v>
      </c>
      <c r="D60" s="10" t="str">
        <f t="shared" si="12"/>
        <v>2010-00</v>
      </c>
      <c r="E60" s="10" t="str">
        <f t="shared" si="13"/>
        <v>June</v>
      </c>
    </row>
    <row r="61" spans="1:5" x14ac:dyDescent="0.2">
      <c r="A61" s="10" t="s">
        <v>62</v>
      </c>
      <c r="B61" s="11">
        <v>43637</v>
      </c>
      <c r="C61" s="12">
        <v>679</v>
      </c>
      <c r="D61" s="10" t="str">
        <f t="shared" si="12"/>
        <v>2101-00</v>
      </c>
      <c r="E61" s="10" t="str">
        <f t="shared" si="13"/>
        <v>June</v>
      </c>
    </row>
    <row r="62" spans="1:5" x14ac:dyDescent="0.2">
      <c r="A62" s="10" t="s">
        <v>66</v>
      </c>
      <c r="B62" s="11">
        <v>43619</v>
      </c>
      <c r="C62" s="12">
        <v>1560</v>
      </c>
      <c r="D62" s="10" t="str">
        <f t="shared" ref="D62:D86" si="14">IF(A62&lt;&gt;"",CONCATENATE(MID(A62,1,4), "-00"),"")</f>
        <v>2002-00</v>
      </c>
      <c r="E62" s="10" t="str">
        <f t="shared" ref="E62:E86" si="15">IF(B62&lt;&gt;"",TEXT(B62, "mmmm"),"")</f>
        <v>June</v>
      </c>
    </row>
    <row r="63" spans="1:5" x14ac:dyDescent="0.2">
      <c r="A63" s="10" t="s">
        <v>45</v>
      </c>
      <c r="B63" s="11">
        <v>43626</v>
      </c>
      <c r="C63" s="12">
        <v>17.5</v>
      </c>
      <c r="D63" s="10" t="str">
        <f t="shared" si="14"/>
        <v>2003-00</v>
      </c>
      <c r="E63" s="10" t="str">
        <f t="shared" si="15"/>
        <v>June</v>
      </c>
    </row>
    <row r="64" spans="1:5" x14ac:dyDescent="0.2">
      <c r="A64" s="10" t="s">
        <v>46</v>
      </c>
      <c r="B64" s="11">
        <v>43640</v>
      </c>
      <c r="C64" s="12">
        <v>113.31</v>
      </c>
      <c r="D64" s="10" t="str">
        <f t="shared" si="14"/>
        <v>2004-00</v>
      </c>
      <c r="E64" s="10" t="str">
        <f t="shared" si="15"/>
        <v>June</v>
      </c>
    </row>
    <row r="65" spans="1:5" x14ac:dyDescent="0.2">
      <c r="A65" s="10" t="s">
        <v>47</v>
      </c>
      <c r="B65" s="11">
        <v>43627</v>
      </c>
      <c r="C65" s="12">
        <v>98.79</v>
      </c>
      <c r="D65" s="10" t="str">
        <f t="shared" si="14"/>
        <v>2005-00</v>
      </c>
      <c r="E65" s="10" t="str">
        <f t="shared" si="15"/>
        <v>June</v>
      </c>
    </row>
    <row r="66" spans="1:5" x14ac:dyDescent="0.2">
      <c r="A66" s="10" t="s">
        <v>48</v>
      </c>
      <c r="B66" s="11">
        <v>43626</v>
      </c>
      <c r="C66" s="12">
        <v>58.73</v>
      </c>
      <c r="D66" s="10" t="str">
        <f t="shared" si="14"/>
        <v>2006-00</v>
      </c>
      <c r="E66" s="10" t="str">
        <f t="shared" si="15"/>
        <v>June</v>
      </c>
    </row>
    <row r="67" spans="1:5" x14ac:dyDescent="0.2">
      <c r="A67" s="10" t="s">
        <v>49</v>
      </c>
      <c r="B67" s="11">
        <v>43627</v>
      </c>
      <c r="C67" s="12">
        <v>55</v>
      </c>
      <c r="D67" s="10" t="str">
        <f t="shared" si="14"/>
        <v>2100-00</v>
      </c>
      <c r="E67" s="10" t="str">
        <f t="shared" si="15"/>
        <v>June</v>
      </c>
    </row>
    <row r="68" spans="1:5" x14ac:dyDescent="0.2">
      <c r="A68" s="10" t="s">
        <v>50</v>
      </c>
      <c r="B68" s="11">
        <v>43630</v>
      </c>
      <c r="C68" s="12">
        <v>189.47</v>
      </c>
      <c r="D68" s="10" t="str">
        <f t="shared" si="14"/>
        <v>2108-00</v>
      </c>
      <c r="E68" s="10" t="str">
        <f t="shared" si="15"/>
        <v>June</v>
      </c>
    </row>
    <row r="69" spans="1:5" x14ac:dyDescent="0.2">
      <c r="A69" s="10" t="s">
        <v>69</v>
      </c>
      <c r="B69" s="11">
        <v>43637</v>
      </c>
      <c r="C69" s="12">
        <v>500</v>
      </c>
      <c r="D69" s="10" t="str">
        <f t="shared" si="14"/>
        <v>3100-00</v>
      </c>
      <c r="E69" s="10" t="str">
        <f t="shared" si="15"/>
        <v>June</v>
      </c>
    </row>
    <row r="70" spans="1:5" x14ac:dyDescent="0.2">
      <c r="A70" s="10" t="s">
        <v>51</v>
      </c>
      <c r="B70" s="11">
        <v>43620</v>
      </c>
      <c r="C70" s="12">
        <v>230</v>
      </c>
      <c r="D70" s="10" t="str">
        <f t="shared" si="14"/>
        <v>2009-00</v>
      </c>
      <c r="E70" s="10" t="str">
        <f t="shared" si="15"/>
        <v>June</v>
      </c>
    </row>
    <row r="71" spans="1:5" x14ac:dyDescent="0.2">
      <c r="A71" s="10" t="s">
        <v>51</v>
      </c>
      <c r="B71" s="11">
        <v>43630</v>
      </c>
      <c r="C71" s="12">
        <v>98</v>
      </c>
      <c r="D71" s="10" t="str">
        <f t="shared" si="14"/>
        <v>2009-00</v>
      </c>
      <c r="E71" s="10" t="str">
        <f t="shared" si="15"/>
        <v>June</v>
      </c>
    </row>
    <row r="72" spans="1:5" x14ac:dyDescent="0.2">
      <c r="A72" s="10" t="s">
        <v>51</v>
      </c>
      <c r="B72" s="11">
        <v>43637</v>
      </c>
      <c r="C72" s="12">
        <v>130</v>
      </c>
      <c r="D72" s="10" t="str">
        <f t="shared" si="14"/>
        <v>2009-00</v>
      </c>
      <c r="E72" s="10" t="str">
        <f t="shared" si="15"/>
        <v>June</v>
      </c>
    </row>
    <row r="73" spans="1:5" x14ac:dyDescent="0.2">
      <c r="A73" s="10" t="s">
        <v>60</v>
      </c>
      <c r="B73" s="11">
        <v>43637</v>
      </c>
      <c r="C73" s="12">
        <v>1248.3</v>
      </c>
      <c r="D73" s="10" t="str">
        <f t="shared" si="14"/>
        <v>3100-00</v>
      </c>
      <c r="E73" s="10" t="str">
        <f t="shared" si="15"/>
        <v>June</v>
      </c>
    </row>
    <row r="74" spans="1:5" x14ac:dyDescent="0.2">
      <c r="A74" s="10"/>
      <c r="B74" s="11"/>
      <c r="C74" s="12"/>
      <c r="D74" s="10" t="str">
        <f t="shared" si="14"/>
        <v/>
      </c>
      <c r="E74" s="10" t="str">
        <f t="shared" si="15"/>
        <v/>
      </c>
    </row>
    <row r="75" spans="1:5" x14ac:dyDescent="0.2">
      <c r="A75" s="10"/>
      <c r="B75" s="11"/>
      <c r="C75" s="12"/>
      <c r="D75" s="10" t="str">
        <f t="shared" si="14"/>
        <v/>
      </c>
      <c r="E75" s="10" t="str">
        <f t="shared" si="15"/>
        <v/>
      </c>
    </row>
    <row r="76" spans="1:5" x14ac:dyDescent="0.2">
      <c r="A76" s="10"/>
      <c r="B76" s="11"/>
      <c r="C76" s="12"/>
      <c r="D76" s="10" t="str">
        <f t="shared" si="14"/>
        <v/>
      </c>
      <c r="E76" s="10" t="str">
        <f t="shared" si="15"/>
        <v/>
      </c>
    </row>
    <row r="77" spans="1:5" x14ac:dyDescent="0.2">
      <c r="A77" s="10"/>
      <c r="B77" s="11"/>
      <c r="C77" s="12"/>
      <c r="D77" s="10" t="str">
        <f t="shared" si="14"/>
        <v/>
      </c>
      <c r="E77" s="10" t="str">
        <f t="shared" si="15"/>
        <v/>
      </c>
    </row>
    <row r="78" spans="1:5" x14ac:dyDescent="0.2">
      <c r="A78" s="10"/>
      <c r="B78" s="11"/>
      <c r="C78" s="12"/>
      <c r="D78" s="10" t="str">
        <f t="shared" si="14"/>
        <v/>
      </c>
      <c r="E78" s="10" t="str">
        <f t="shared" si="15"/>
        <v/>
      </c>
    </row>
    <row r="79" spans="1:5" x14ac:dyDescent="0.2">
      <c r="A79" s="10"/>
      <c r="B79" s="11"/>
      <c r="C79" s="12"/>
      <c r="D79" s="10" t="str">
        <f t="shared" si="14"/>
        <v/>
      </c>
      <c r="E79" s="10" t="str">
        <f t="shared" si="15"/>
        <v/>
      </c>
    </row>
    <row r="80" spans="1:5" x14ac:dyDescent="0.2">
      <c r="A80" s="10"/>
      <c r="B80" s="11"/>
      <c r="C80" s="12"/>
      <c r="D80" s="10" t="str">
        <f t="shared" si="14"/>
        <v/>
      </c>
      <c r="E80" s="10" t="str">
        <f t="shared" si="15"/>
        <v/>
      </c>
    </row>
    <row r="81" spans="1:5" x14ac:dyDescent="0.2">
      <c r="A81" s="10"/>
      <c r="B81" s="11"/>
      <c r="C81" s="12"/>
      <c r="D81" s="10" t="str">
        <f t="shared" si="14"/>
        <v/>
      </c>
      <c r="E81" s="10" t="str">
        <f t="shared" si="15"/>
        <v/>
      </c>
    </row>
    <row r="82" spans="1:5" x14ac:dyDescent="0.2">
      <c r="A82" s="10"/>
      <c r="B82" s="11"/>
      <c r="C82" s="12"/>
      <c r="D82" s="10" t="str">
        <f t="shared" si="14"/>
        <v/>
      </c>
      <c r="E82" s="10" t="str">
        <f t="shared" si="15"/>
        <v/>
      </c>
    </row>
    <row r="83" spans="1:5" x14ac:dyDescent="0.2">
      <c r="A83" s="10"/>
      <c r="B83" s="11"/>
      <c r="C83" s="12"/>
      <c r="D83" s="10" t="str">
        <f t="shared" si="14"/>
        <v/>
      </c>
      <c r="E83" s="10" t="str">
        <f t="shared" si="15"/>
        <v/>
      </c>
    </row>
    <row r="84" spans="1:5" x14ac:dyDescent="0.2">
      <c r="A84" s="10"/>
      <c r="B84" s="11"/>
      <c r="C84" s="12"/>
      <c r="D84" s="10" t="str">
        <f t="shared" si="14"/>
        <v/>
      </c>
      <c r="E84" s="10" t="str">
        <f t="shared" si="15"/>
        <v/>
      </c>
    </row>
    <row r="85" spans="1:5" x14ac:dyDescent="0.2">
      <c r="A85" s="10"/>
      <c r="B85" s="10"/>
      <c r="C85" s="12"/>
      <c r="D85" s="10" t="str">
        <f t="shared" si="14"/>
        <v/>
      </c>
      <c r="E85" s="10" t="str">
        <f t="shared" si="15"/>
        <v/>
      </c>
    </row>
    <row r="86" spans="1:5" x14ac:dyDescent="0.2">
      <c r="A86" s="10" t="s">
        <v>75</v>
      </c>
      <c r="B86" s="10"/>
      <c r="C86" s="12">
        <f>SUM(C3:C85)</f>
        <v>27195.000000000011</v>
      </c>
      <c r="D86" s="10" t="str">
        <f t="shared" si="14"/>
        <v>Tota-00</v>
      </c>
      <c r="E86" s="10" t="str">
        <f t="shared" si="15"/>
        <v/>
      </c>
    </row>
  </sheetData>
  <mergeCells count="1">
    <mergeCell ref="A1:E1"/>
  </mergeCells>
  <phoneticPr fontId="7" type="noConversion"/>
  <dataValidations count="1">
    <dataValidation type="list" allowBlank="1" showInputMessage="1" showErrorMessage="1" sqref="A18:A86" xr:uid="{00000000-0002-0000-0100-000000000000}">
      <formula1>$H$3:$H$39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B18" sqref="B18"/>
    </sheetView>
  </sheetViews>
  <sheetFormatPr baseColWidth="10" defaultColWidth="11" defaultRowHeight="16" x14ac:dyDescent="0.2"/>
  <cols>
    <col min="2" max="2" width="16.5" bestFit="1" customWidth="1"/>
    <col min="3" max="3" width="19.6640625" bestFit="1" customWidth="1"/>
    <col min="6" max="6" width="16.5" bestFit="1" customWidth="1"/>
    <col min="7" max="7" width="23.83203125" bestFit="1" customWidth="1"/>
  </cols>
  <sheetData>
    <row r="1" spans="1:7" x14ac:dyDescent="0.2">
      <c r="A1" s="10" t="s">
        <v>117</v>
      </c>
      <c r="B1" s="10" t="s">
        <v>116</v>
      </c>
      <c r="C1" s="10" t="s">
        <v>115</v>
      </c>
      <c r="E1" s="10" t="s">
        <v>117</v>
      </c>
      <c r="F1" s="10" t="s">
        <v>116</v>
      </c>
      <c r="G1" s="10" t="s">
        <v>115</v>
      </c>
    </row>
    <row r="2" spans="1:7" x14ac:dyDescent="0.2">
      <c r="A2" s="10" t="s">
        <v>114</v>
      </c>
      <c r="B2" s="51">
        <v>350</v>
      </c>
      <c r="C2" s="10" t="str">
        <f t="shared" ref="C2:C13" si="0">CONCATENATE(ROUND(B2,2)," x 1.05 = ", ROUND(B2 * 1.05,2) )</f>
        <v>350 x 1.05 = 367.5</v>
      </c>
      <c r="E2" s="10" t="s">
        <v>114</v>
      </c>
      <c r="F2" s="49">
        <v>100</v>
      </c>
      <c r="G2" s="49" t="str">
        <f t="shared" ref="G2:G13" si="1">CONCATENATE(ROUND(F2,2), " x 1.06 + 25 = ", ROUND(F2 * 1.06 +25,2))</f>
        <v>100 x 1.06 + 25 = 131</v>
      </c>
    </row>
    <row r="3" spans="1:7" x14ac:dyDescent="0.2">
      <c r="A3" s="10" t="s">
        <v>113</v>
      </c>
      <c r="B3" s="50">
        <f t="shared" ref="B3:B13" si="2">B2*1.05</f>
        <v>367.5</v>
      </c>
      <c r="C3" s="10" t="str">
        <f t="shared" si="0"/>
        <v>367.5 x 1.05 = 385.88</v>
      </c>
      <c r="E3" s="10" t="s">
        <v>113</v>
      </c>
      <c r="F3" s="50">
        <f t="shared" ref="F3:F13" si="3">F2*1.06+25</f>
        <v>131</v>
      </c>
      <c r="G3" s="49" t="str">
        <f t="shared" si="1"/>
        <v>131 x 1.06 + 25 = 163.86</v>
      </c>
    </row>
    <row r="4" spans="1:7" x14ac:dyDescent="0.2">
      <c r="A4" s="10" t="s">
        <v>112</v>
      </c>
      <c r="B4" s="50">
        <f t="shared" si="2"/>
        <v>385.875</v>
      </c>
      <c r="C4" s="10" t="str">
        <f t="shared" si="0"/>
        <v>385.88 x 1.05 = 405.17</v>
      </c>
      <c r="E4" s="10" t="s">
        <v>112</v>
      </c>
      <c r="F4" s="50">
        <f t="shared" si="3"/>
        <v>163.86</v>
      </c>
      <c r="G4" s="49" t="str">
        <f t="shared" si="1"/>
        <v>163.86 x 1.06 + 25 = 198.69</v>
      </c>
    </row>
    <row r="5" spans="1:7" x14ac:dyDescent="0.2">
      <c r="A5" s="10" t="s">
        <v>111</v>
      </c>
      <c r="B5" s="50">
        <f t="shared" si="2"/>
        <v>405.16875000000005</v>
      </c>
      <c r="C5" s="10" t="str">
        <f t="shared" si="0"/>
        <v>405.17 x 1.05 = 425.43</v>
      </c>
      <c r="E5" s="10" t="s">
        <v>111</v>
      </c>
      <c r="F5" s="50">
        <f t="shared" si="3"/>
        <v>198.69160000000002</v>
      </c>
      <c r="G5" s="49" t="str">
        <f t="shared" si="1"/>
        <v>198.69 x 1.06 + 25 = 235.61</v>
      </c>
    </row>
    <row r="6" spans="1:7" x14ac:dyDescent="0.2">
      <c r="A6" s="10" t="s">
        <v>110</v>
      </c>
      <c r="B6" s="50">
        <f t="shared" si="2"/>
        <v>425.42718750000006</v>
      </c>
      <c r="C6" s="10" t="str">
        <f t="shared" si="0"/>
        <v>425.43 x 1.05 = 446.7</v>
      </c>
      <c r="E6" s="10" t="s">
        <v>110</v>
      </c>
      <c r="F6" s="50">
        <f t="shared" si="3"/>
        <v>235.61309600000004</v>
      </c>
      <c r="G6" s="49" t="str">
        <f t="shared" si="1"/>
        <v>235.61 x 1.06 + 25 = 274.75</v>
      </c>
    </row>
    <row r="7" spans="1:7" x14ac:dyDescent="0.2">
      <c r="A7" s="10" t="s">
        <v>109</v>
      </c>
      <c r="B7" s="50">
        <f t="shared" si="2"/>
        <v>446.69854687500009</v>
      </c>
      <c r="C7" s="10" t="str">
        <f t="shared" si="0"/>
        <v>446.7 x 1.05 = 469.03</v>
      </c>
      <c r="E7" s="10" t="s">
        <v>109</v>
      </c>
      <c r="F7" s="50">
        <f t="shared" si="3"/>
        <v>274.74988176000005</v>
      </c>
      <c r="G7" s="49" t="str">
        <f t="shared" si="1"/>
        <v>274.75 x 1.06 + 25 = 316.23</v>
      </c>
    </row>
    <row r="8" spans="1:7" x14ac:dyDescent="0.2">
      <c r="A8" s="10" t="s">
        <v>108</v>
      </c>
      <c r="B8" s="50">
        <f t="shared" si="2"/>
        <v>469.03347421875009</v>
      </c>
      <c r="C8" s="10" t="str">
        <f t="shared" si="0"/>
        <v>469.03 x 1.05 = 492.49</v>
      </c>
      <c r="E8" s="10" t="s">
        <v>108</v>
      </c>
      <c r="F8" s="50">
        <f t="shared" si="3"/>
        <v>316.23487466560005</v>
      </c>
      <c r="G8" s="49" t="str">
        <f t="shared" si="1"/>
        <v>316.23 x 1.06 + 25 = 360.21</v>
      </c>
    </row>
    <row r="9" spans="1:7" x14ac:dyDescent="0.2">
      <c r="A9" s="10" t="s">
        <v>107</v>
      </c>
      <c r="B9" s="50">
        <f t="shared" si="2"/>
        <v>492.48514792968763</v>
      </c>
      <c r="C9" s="10" t="str">
        <f t="shared" si="0"/>
        <v>492.49 x 1.05 = 517.11</v>
      </c>
      <c r="E9" s="10" t="s">
        <v>107</v>
      </c>
      <c r="F9" s="50">
        <f t="shared" si="3"/>
        <v>360.20896714553606</v>
      </c>
      <c r="G9" s="49" t="str">
        <f t="shared" si="1"/>
        <v>360.21 x 1.06 + 25 = 406.82</v>
      </c>
    </row>
    <row r="10" spans="1:7" x14ac:dyDescent="0.2">
      <c r="A10" s="10" t="s">
        <v>106</v>
      </c>
      <c r="B10" s="50">
        <f t="shared" si="2"/>
        <v>517.10940532617201</v>
      </c>
      <c r="C10" s="10" t="str">
        <f t="shared" si="0"/>
        <v>517.11 x 1.05 = 542.96</v>
      </c>
      <c r="E10" s="10" t="s">
        <v>106</v>
      </c>
      <c r="F10" s="50">
        <f t="shared" si="3"/>
        <v>406.82150517426822</v>
      </c>
      <c r="G10" s="49" t="str">
        <f t="shared" si="1"/>
        <v>406.82 x 1.06 + 25 = 456.23</v>
      </c>
    </row>
    <row r="11" spans="1:7" x14ac:dyDescent="0.2">
      <c r="A11" s="10" t="s">
        <v>105</v>
      </c>
      <c r="B11" s="50">
        <f t="shared" si="2"/>
        <v>542.96487559248067</v>
      </c>
      <c r="C11" s="10" t="str">
        <f t="shared" si="0"/>
        <v>542.96 x 1.05 = 570.11</v>
      </c>
      <c r="E11" s="10" t="s">
        <v>105</v>
      </c>
      <c r="F11" s="50">
        <f t="shared" si="3"/>
        <v>456.23079548472435</v>
      </c>
      <c r="G11" s="49" t="str">
        <f t="shared" si="1"/>
        <v>456.23 x 1.06 + 25 = 508.6</v>
      </c>
    </row>
    <row r="12" spans="1:7" x14ac:dyDescent="0.2">
      <c r="A12" s="10" t="s">
        <v>104</v>
      </c>
      <c r="B12" s="50">
        <f t="shared" si="2"/>
        <v>570.11311937210473</v>
      </c>
      <c r="C12" s="10" t="str">
        <f t="shared" si="0"/>
        <v>570.11 x 1.05 = 598.62</v>
      </c>
      <c r="E12" s="10" t="s">
        <v>104</v>
      </c>
      <c r="F12" s="50">
        <f t="shared" si="3"/>
        <v>508.60464321380783</v>
      </c>
      <c r="G12" s="49" t="str">
        <f t="shared" si="1"/>
        <v>508.6 x 1.06 + 25 = 564.12</v>
      </c>
    </row>
    <row r="13" spans="1:7" x14ac:dyDescent="0.2">
      <c r="A13" s="10" t="s">
        <v>103</v>
      </c>
      <c r="B13" s="50">
        <f t="shared" si="2"/>
        <v>598.61877534071004</v>
      </c>
      <c r="C13" s="10" t="str">
        <f t="shared" si="0"/>
        <v>598.62 x 1.05 = 628.55</v>
      </c>
      <c r="E13" s="10" t="s">
        <v>103</v>
      </c>
      <c r="F13" s="50">
        <f t="shared" si="3"/>
        <v>564.12092180663637</v>
      </c>
      <c r="G13" s="49" t="str">
        <f t="shared" si="1"/>
        <v>564.12 x 1.06 + 25 = 622.97</v>
      </c>
    </row>
    <row r="18" spans="2:2" x14ac:dyDescent="0.2">
      <c r="B18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G16" sqref="G16"/>
    </sheetView>
  </sheetViews>
  <sheetFormatPr baseColWidth="10" defaultColWidth="11" defaultRowHeight="16" x14ac:dyDescent="0.2"/>
  <cols>
    <col min="2" max="2" width="25.6640625" customWidth="1"/>
    <col min="3" max="3" width="15" bestFit="1" customWidth="1"/>
    <col min="4" max="4" width="15.5" bestFit="1" customWidth="1"/>
    <col min="5" max="5" width="14" bestFit="1" customWidth="1"/>
    <col min="6" max="6" width="12.5" bestFit="1" customWidth="1"/>
    <col min="7" max="8" width="13.33203125" bestFit="1" customWidth="1"/>
  </cols>
  <sheetData>
    <row r="1" spans="1:9" x14ac:dyDescent="0.2">
      <c r="B1" t="s">
        <v>122</v>
      </c>
      <c r="C1" t="s">
        <v>123</v>
      </c>
      <c r="D1" t="s">
        <v>126</v>
      </c>
      <c r="E1" t="s">
        <v>124</v>
      </c>
      <c r="F1" t="s">
        <v>125</v>
      </c>
      <c r="G1" t="s">
        <v>133</v>
      </c>
      <c r="H1" t="s">
        <v>142</v>
      </c>
    </row>
    <row r="2" spans="1:9" x14ac:dyDescent="0.2">
      <c r="A2" t="s">
        <v>131</v>
      </c>
      <c r="B2" s="53">
        <v>310000</v>
      </c>
      <c r="C2">
        <v>30</v>
      </c>
      <c r="D2">
        <v>12</v>
      </c>
      <c r="E2" s="54">
        <v>3.9E-2</v>
      </c>
      <c r="F2" s="53">
        <f>PMT(E2/D2,C2*D2,B2,0,0)</f>
        <v>-1462.1714333240459</v>
      </c>
      <c r="G2" s="53">
        <f>-1*F2*C2*D2</f>
        <v>526381.71599665657</v>
      </c>
      <c r="H2" s="53">
        <f>G2-B2</f>
        <v>216381.71599665657</v>
      </c>
    </row>
    <row r="3" spans="1:9" x14ac:dyDescent="0.2">
      <c r="B3" s="53"/>
    </row>
    <row r="4" spans="1:9" x14ac:dyDescent="0.2">
      <c r="B4" s="53"/>
    </row>
    <row r="5" spans="1:9" x14ac:dyDescent="0.2">
      <c r="B5" s="53"/>
    </row>
    <row r="6" spans="1:9" x14ac:dyDescent="0.2">
      <c r="A6" t="s">
        <v>128</v>
      </c>
      <c r="B6" s="53">
        <v>45000</v>
      </c>
      <c r="C6">
        <v>4</v>
      </c>
      <c r="D6">
        <v>12</v>
      </c>
      <c r="E6" s="54">
        <v>2.9899999999999999E-2</v>
      </c>
      <c r="F6" s="53">
        <f>PMT(E6/D6,C6*D6,B6,0,0)</f>
        <v>-995.8458415609</v>
      </c>
      <c r="G6" s="53">
        <f>-1*F6*D6*C6</f>
        <v>47800.600394923196</v>
      </c>
      <c r="H6" s="53">
        <f>G6-B6</f>
        <v>2800.6003949231963</v>
      </c>
    </row>
    <row r="7" spans="1:9" x14ac:dyDescent="0.2">
      <c r="A7" t="s">
        <v>129</v>
      </c>
      <c r="B7" s="53">
        <v>40000</v>
      </c>
      <c r="C7">
        <v>4</v>
      </c>
      <c r="D7">
        <v>12</v>
      </c>
      <c r="E7" s="54">
        <v>2.9899999999999999E-2</v>
      </c>
      <c r="F7" s="53">
        <f>PMT(E7/D7,C7*D7,B7,0,0)</f>
        <v>-885.19630360968893</v>
      </c>
      <c r="G7" s="53">
        <f>-1*F7*D7*C7</f>
        <v>42489.422573265067</v>
      </c>
      <c r="H7" s="53">
        <f>G7-B7</f>
        <v>2489.4225732650666</v>
      </c>
    </row>
    <row r="8" spans="1:9" x14ac:dyDescent="0.2">
      <c r="A8" t="s">
        <v>127</v>
      </c>
      <c r="B8" s="53">
        <v>16000</v>
      </c>
      <c r="C8">
        <v>4</v>
      </c>
      <c r="D8">
        <v>12</v>
      </c>
      <c r="E8" s="54">
        <v>2.9899999999999999E-2</v>
      </c>
      <c r="F8" s="53">
        <f>PMT(E8/D8,C8*D8,B8,0,0)</f>
        <v>-354.07852144387556</v>
      </c>
      <c r="G8" s="53">
        <f>-1*F8*D8*C8</f>
        <v>16995.769029306026</v>
      </c>
      <c r="H8" s="53">
        <f>G8-B8</f>
        <v>995.76902930602591</v>
      </c>
    </row>
    <row r="9" spans="1:9" x14ac:dyDescent="0.2">
      <c r="A9" t="s">
        <v>130</v>
      </c>
      <c r="B9" s="53">
        <v>22000</v>
      </c>
      <c r="C9">
        <v>4</v>
      </c>
      <c r="D9">
        <v>12</v>
      </c>
      <c r="E9" s="54">
        <v>2.9899999999999999E-2</v>
      </c>
      <c r="F9" s="53">
        <f>PMT(E9/D9,C9*D9,B9,0,0)</f>
        <v>-486.85796698532886</v>
      </c>
      <c r="G9" s="53">
        <f>-1*F9*D9*C9</f>
        <v>23369.182415295785</v>
      </c>
      <c r="H9" s="53">
        <f>G9-B9</f>
        <v>1369.1824152957852</v>
      </c>
    </row>
    <row r="11" spans="1:9" x14ac:dyDescent="0.2">
      <c r="B11" t="s">
        <v>145</v>
      </c>
      <c r="C11" t="s">
        <v>123</v>
      </c>
      <c r="D11" t="s">
        <v>126</v>
      </c>
      <c r="E11" t="s">
        <v>124</v>
      </c>
      <c r="F11" t="s">
        <v>132</v>
      </c>
      <c r="G11" t="s">
        <v>144</v>
      </c>
      <c r="H11" t="s">
        <v>143</v>
      </c>
    </row>
    <row r="12" spans="1:9" x14ac:dyDescent="0.2">
      <c r="A12" t="s">
        <v>7</v>
      </c>
      <c r="B12" s="53">
        <v>-500</v>
      </c>
      <c r="C12">
        <v>4</v>
      </c>
      <c r="D12">
        <v>12</v>
      </c>
      <c r="E12" s="54">
        <v>1E-3</v>
      </c>
      <c r="F12" s="53">
        <f>FV(E12/D12,C12*D12,B12)</f>
        <v>24047.060111914041</v>
      </c>
      <c r="G12" s="53">
        <f>B12*-1*D12*C12</f>
        <v>24000</v>
      </c>
      <c r="H12" s="53">
        <f>F12-G12</f>
        <v>47.060111914041045</v>
      </c>
    </row>
    <row r="13" spans="1:9" x14ac:dyDescent="0.2">
      <c r="B13" t="s">
        <v>152</v>
      </c>
      <c r="C13" t="s">
        <v>123</v>
      </c>
      <c r="D13" t="s">
        <v>126</v>
      </c>
      <c r="E13" t="s">
        <v>124</v>
      </c>
      <c r="F13" t="s">
        <v>153</v>
      </c>
      <c r="G13" s="53" t="s">
        <v>154</v>
      </c>
      <c r="H13" s="53"/>
    </row>
    <row r="14" spans="1:9" x14ac:dyDescent="0.2">
      <c r="A14" t="s">
        <v>146</v>
      </c>
      <c r="B14" s="53">
        <f>2000</f>
        <v>2000</v>
      </c>
      <c r="C14">
        <v>1</v>
      </c>
      <c r="D14">
        <v>12</v>
      </c>
      <c r="E14" s="54">
        <v>2.75E-2</v>
      </c>
      <c r="F14" s="53">
        <f>FV(E14/D14,C14*D14,0,B14*-1)</f>
        <v>2055.6985520725548</v>
      </c>
      <c r="G14" s="53">
        <v>5000</v>
      </c>
      <c r="H14" s="53">
        <f>F14-B14</f>
        <v>55.698552072554776</v>
      </c>
      <c r="I14" t="s">
        <v>151</v>
      </c>
    </row>
    <row r="15" spans="1:9" x14ac:dyDescent="0.2">
      <c r="A15" t="s">
        <v>147</v>
      </c>
      <c r="B15" s="53">
        <f>G14+F14</f>
        <v>7055.6985520725548</v>
      </c>
      <c r="C15">
        <v>1</v>
      </c>
      <c r="D15">
        <v>12</v>
      </c>
      <c r="E15" s="54">
        <v>2.75E-2</v>
      </c>
      <c r="F15" s="53">
        <f>FV(E15/D15,C15*D15,0,B15*-1)</f>
        <v>7252.1946486779862</v>
      </c>
      <c r="G15" s="53">
        <v>5000</v>
      </c>
      <c r="H15" s="53">
        <f>F15-B15</f>
        <v>196.49609660543138</v>
      </c>
      <c r="I15" t="s">
        <v>150</v>
      </c>
    </row>
    <row r="16" spans="1:9" x14ac:dyDescent="0.2">
      <c r="A16" t="s">
        <v>148</v>
      </c>
      <c r="B16" s="53">
        <f t="shared" ref="B16:B17" si="0">G15+F15</f>
        <v>12252.194648677985</v>
      </c>
      <c r="C16">
        <v>1</v>
      </c>
      <c r="D16">
        <v>12</v>
      </c>
      <c r="E16" s="54">
        <v>2.75E-2</v>
      </c>
      <c r="F16" s="53">
        <f>FV(E16/D16,C16*D16,0,B16*-1)</f>
        <v>12593.40939949922</v>
      </c>
      <c r="G16" s="53">
        <v>5000</v>
      </c>
      <c r="H16" s="53">
        <f>F16-B16</f>
        <v>341.2147508212347</v>
      </c>
      <c r="I16" t="s">
        <v>150</v>
      </c>
    </row>
    <row r="17" spans="1:9" x14ac:dyDescent="0.2">
      <c r="A17" t="s">
        <v>149</v>
      </c>
      <c r="B17" s="53">
        <f t="shared" si="0"/>
        <v>17593.409399499222</v>
      </c>
      <c r="C17">
        <v>1</v>
      </c>
      <c r="D17">
        <v>12</v>
      </c>
      <c r="E17" s="54">
        <v>2.75E-2</v>
      </c>
      <c r="F17" s="53">
        <f>FV(E17/D17,C17*D17,0,B17*-1)</f>
        <v>18083.373114285114</v>
      </c>
      <c r="G17" s="53"/>
      <c r="H17" s="53">
        <f>F17-B17</f>
        <v>489.96371478589208</v>
      </c>
      <c r="I17" t="s">
        <v>150</v>
      </c>
    </row>
    <row r="18" spans="1:9" x14ac:dyDescent="0.2">
      <c r="E18" s="54"/>
      <c r="F18" s="53"/>
      <c r="G18" s="53">
        <f>B14+SUM(G14:G17)</f>
        <v>17000</v>
      </c>
      <c r="H18" s="53">
        <f>SUM(H14:H17)</f>
        <v>1083.3731142851129</v>
      </c>
    </row>
    <row r="19" spans="1:9" x14ac:dyDescent="0.2">
      <c r="E19" s="54"/>
      <c r="F19" s="53"/>
      <c r="G19" s="53"/>
      <c r="H19" s="53"/>
    </row>
    <row r="20" spans="1:9" x14ac:dyDescent="0.2">
      <c r="E20" s="54"/>
      <c r="F20" s="53"/>
      <c r="G20" s="53"/>
      <c r="H20" s="53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8"/>
  <sheetViews>
    <sheetView workbookViewId="0">
      <selection activeCell="A11" sqref="A11:E48"/>
    </sheetView>
  </sheetViews>
  <sheetFormatPr baseColWidth="10" defaultColWidth="11" defaultRowHeight="16" x14ac:dyDescent="0.2"/>
  <sheetData>
    <row r="1" spans="1:7" x14ac:dyDescent="0.2">
      <c r="A1">
        <v>357</v>
      </c>
      <c r="B1">
        <f>A1*9</f>
        <v>3213</v>
      </c>
      <c r="C1">
        <f>B1/3</f>
        <v>1071</v>
      </c>
      <c r="D1">
        <f>C1*5</f>
        <v>5355</v>
      </c>
      <c r="E1">
        <f>D1/7</f>
        <v>765</v>
      </c>
      <c r="F1">
        <f>E1-7</f>
        <v>758</v>
      </c>
      <c r="G1">
        <f>F1-5</f>
        <v>753</v>
      </c>
    </row>
    <row r="11" spans="1:7" x14ac:dyDescent="0.2">
      <c r="B11" s="53"/>
      <c r="C11" s="53"/>
    </row>
    <row r="12" spans="1:7" ht="24" x14ac:dyDescent="0.3">
      <c r="B12" s="55">
        <v>10</v>
      </c>
      <c r="C12" s="55">
        <v>11</v>
      </c>
      <c r="D12" s="55">
        <v>12</v>
      </c>
      <c r="E12" s="55">
        <v>13</v>
      </c>
    </row>
    <row r="13" spans="1:7" x14ac:dyDescent="0.2">
      <c r="A13" s="10" t="s">
        <v>137</v>
      </c>
      <c r="B13" s="10">
        <v>1</v>
      </c>
      <c r="C13" s="10">
        <v>4</v>
      </c>
      <c r="D13" s="10">
        <v>12</v>
      </c>
      <c r="E13" s="10">
        <v>365</v>
      </c>
    </row>
    <row r="14" spans="1:7" x14ac:dyDescent="0.2">
      <c r="A14" s="10" t="s">
        <v>138</v>
      </c>
      <c r="B14" s="12">
        <v>200</v>
      </c>
      <c r="C14" s="12">
        <v>200</v>
      </c>
      <c r="D14" s="12">
        <v>200</v>
      </c>
      <c r="E14" s="12">
        <v>200</v>
      </c>
    </row>
    <row r="15" spans="1:7" x14ac:dyDescent="0.2">
      <c r="A15" s="10" t="s">
        <v>134</v>
      </c>
      <c r="B15" s="10">
        <v>0.08</v>
      </c>
      <c r="C15" s="10">
        <v>0.08</v>
      </c>
      <c r="D15" s="10">
        <v>0.08</v>
      </c>
      <c r="E15" s="10">
        <v>0.08</v>
      </c>
    </row>
    <row r="16" spans="1:7" ht="17" thickBot="1" x14ac:dyDescent="0.25">
      <c r="A16" s="56" t="s">
        <v>135</v>
      </c>
      <c r="B16" s="56">
        <v>15</v>
      </c>
      <c r="C16" s="56">
        <v>15</v>
      </c>
      <c r="D16" s="56">
        <v>15</v>
      </c>
      <c r="E16" s="56">
        <v>15</v>
      </c>
    </row>
    <row r="17" spans="1:5" ht="17" thickBot="1" x14ac:dyDescent="0.25">
      <c r="A17" s="57" t="s">
        <v>136</v>
      </c>
      <c r="B17" s="58">
        <f>FV(B15/B13,B16*B13,0,B14*-1)</f>
        <v>634.43382283965434</v>
      </c>
      <c r="C17" s="58">
        <f>FV(C15/C13,C16*C13,0,C14*-1)</f>
        <v>656.20615767308209</v>
      </c>
      <c r="D17" s="58">
        <f>FV(D15/D13,D16*D13,0,D14*-1)</f>
        <v>661.38429548200259</v>
      </c>
      <c r="E17" s="59">
        <f>FV(E15/E13,E16*E13,0,E14*-1)</f>
        <v>663.93607942161952</v>
      </c>
    </row>
    <row r="19" spans="1:5" ht="24" x14ac:dyDescent="0.3">
      <c r="B19" s="55">
        <v>14</v>
      </c>
      <c r="C19" s="55">
        <v>15</v>
      </c>
      <c r="D19" s="55">
        <v>16</v>
      </c>
      <c r="E19" s="55">
        <v>17</v>
      </c>
    </row>
    <row r="20" spans="1:5" x14ac:dyDescent="0.2">
      <c r="A20" s="10" t="s">
        <v>137</v>
      </c>
      <c r="B20" s="10">
        <v>1</v>
      </c>
      <c r="C20" s="10">
        <v>4</v>
      </c>
      <c r="D20" s="10">
        <v>12</v>
      </c>
      <c r="E20" s="10">
        <v>365</v>
      </c>
    </row>
    <row r="21" spans="1:5" x14ac:dyDescent="0.2">
      <c r="A21" s="10" t="s">
        <v>138</v>
      </c>
      <c r="B21" s="12">
        <v>200</v>
      </c>
      <c r="C21" s="12">
        <v>200</v>
      </c>
      <c r="D21" s="12">
        <v>200</v>
      </c>
      <c r="E21" s="12">
        <v>200</v>
      </c>
    </row>
    <row r="22" spans="1:5" x14ac:dyDescent="0.2">
      <c r="A22" s="10" t="s">
        <v>134</v>
      </c>
      <c r="B22" s="10">
        <v>7.0000000000000007E-2</v>
      </c>
      <c r="C22" s="10">
        <v>7.0000000000000007E-2</v>
      </c>
      <c r="D22" s="10">
        <v>7.0000000000000007E-2</v>
      </c>
      <c r="E22" s="10">
        <v>7.0000000000000007E-2</v>
      </c>
    </row>
    <row r="23" spans="1:5" ht="17" thickBot="1" x14ac:dyDescent="0.25">
      <c r="A23" s="56" t="s">
        <v>135</v>
      </c>
      <c r="B23" s="56">
        <v>15</v>
      </c>
      <c r="C23" s="56">
        <v>15</v>
      </c>
      <c r="D23" s="56">
        <v>15</v>
      </c>
      <c r="E23" s="56">
        <v>15</v>
      </c>
    </row>
    <row r="24" spans="1:5" ht="17" thickBot="1" x14ac:dyDescent="0.25">
      <c r="A24" s="57" t="s">
        <v>136</v>
      </c>
      <c r="B24" s="58">
        <f>FV(B22/B20,B23*B20,0,B21*-1)</f>
        <v>551.80630814306687</v>
      </c>
      <c r="C24" s="58">
        <f>FV(C22/C20,C23*C20,0,C21*-1)</f>
        <v>566.36325556446855</v>
      </c>
      <c r="D24" s="58">
        <f>FV(D22/D20,D23*D20,0,D21*-1)</f>
        <v>569.78934617487062</v>
      </c>
      <c r="E24" s="59">
        <f>FV(E22/E20,E23*E20,0,E21*-1)</f>
        <v>571.47268938345496</v>
      </c>
    </row>
    <row r="26" spans="1:5" ht="24" x14ac:dyDescent="0.3">
      <c r="B26" s="55">
        <v>18</v>
      </c>
      <c r="C26" s="55">
        <v>19</v>
      </c>
      <c r="D26" s="55">
        <v>20</v>
      </c>
      <c r="E26" s="55">
        <v>21</v>
      </c>
    </row>
    <row r="27" spans="1:5" x14ac:dyDescent="0.2">
      <c r="A27" s="10" t="s">
        <v>139</v>
      </c>
      <c r="B27" s="10">
        <v>300</v>
      </c>
      <c r="C27" s="10">
        <v>3000</v>
      </c>
      <c r="D27" s="10">
        <v>1500</v>
      </c>
      <c r="E27" s="10">
        <v>23000</v>
      </c>
    </row>
    <row r="28" spans="1:5" x14ac:dyDescent="0.2">
      <c r="A28" s="10" t="s">
        <v>140</v>
      </c>
      <c r="B28" s="10">
        <v>0.08</v>
      </c>
      <c r="C28" s="10">
        <v>0.09</v>
      </c>
      <c r="D28" s="10">
        <v>0.15</v>
      </c>
      <c r="E28" s="10">
        <v>0.08</v>
      </c>
    </row>
    <row r="29" spans="1:5" ht="17" thickBot="1" x14ac:dyDescent="0.25">
      <c r="A29" s="56" t="s">
        <v>141</v>
      </c>
      <c r="B29" s="56">
        <v>2</v>
      </c>
      <c r="C29" s="56">
        <v>5</v>
      </c>
      <c r="D29" s="56">
        <v>12</v>
      </c>
      <c r="E29" s="56">
        <v>30</v>
      </c>
    </row>
    <row r="30" spans="1:5" ht="17" thickBot="1" x14ac:dyDescent="0.25">
      <c r="A30" s="57" t="s">
        <v>125</v>
      </c>
      <c r="B30" s="58">
        <f>PMT(B28/12,12*B29,B27,0)</f>
        <v>-13.568187436855245</v>
      </c>
      <c r="C30" s="58">
        <f>PMT(C28/12,12*C29,C27,0)</f>
        <v>-62.275065679062031</v>
      </c>
      <c r="D30" s="58">
        <f>PMT(D28/12,12*D29,D27,0)</f>
        <v>-22.513151493393142</v>
      </c>
      <c r="E30" s="58">
        <f>PMT(E28/12,12*E29,E27,0)</f>
        <v>-168.7658519922565</v>
      </c>
    </row>
    <row r="33" spans="1:5" ht="24" x14ac:dyDescent="0.3">
      <c r="B33" s="55">
        <v>22</v>
      </c>
      <c r="C33" s="55">
        <v>23</v>
      </c>
      <c r="D33" s="55">
        <v>24</v>
      </c>
      <c r="E33" s="55">
        <v>25</v>
      </c>
    </row>
    <row r="34" spans="1:5" x14ac:dyDescent="0.2">
      <c r="A34" s="10" t="s">
        <v>139</v>
      </c>
      <c r="B34" s="10">
        <v>500</v>
      </c>
      <c r="C34" s="10">
        <v>4800</v>
      </c>
      <c r="D34" s="10">
        <v>2500</v>
      </c>
      <c r="E34" s="10">
        <v>23000</v>
      </c>
    </row>
    <row r="35" spans="1:5" x14ac:dyDescent="0.2">
      <c r="A35" s="10" t="s">
        <v>140</v>
      </c>
      <c r="B35" s="10">
        <v>0.04</v>
      </c>
      <c r="C35" s="10">
        <v>0.09</v>
      </c>
      <c r="D35" s="10">
        <v>0.15</v>
      </c>
      <c r="E35" s="10">
        <v>0.08</v>
      </c>
    </row>
    <row r="36" spans="1:5" ht="17" thickBot="1" x14ac:dyDescent="0.25">
      <c r="A36" s="56" t="s">
        <v>141</v>
      </c>
      <c r="B36" s="56">
        <v>2</v>
      </c>
      <c r="C36" s="56">
        <v>5</v>
      </c>
      <c r="D36" s="56">
        <v>12</v>
      </c>
      <c r="E36" s="56">
        <v>20</v>
      </c>
    </row>
    <row r="37" spans="1:5" ht="17" thickBot="1" x14ac:dyDescent="0.25">
      <c r="A37" s="57" t="s">
        <v>125</v>
      </c>
      <c r="B37" s="58">
        <f>PMT(B35/12,12*B36,B34,0)</f>
        <v>-21.712461085387027</v>
      </c>
      <c r="C37" s="58">
        <f>PMT(C35/12,12*C36,C34,0)</f>
        <v>-99.640105086499247</v>
      </c>
      <c r="D37" s="58">
        <f>PMT(D35/12,12*D36,D34,0)</f>
        <v>-37.52191915565524</v>
      </c>
      <c r="E37" s="58">
        <f>PMT(E35/12,12*E36,E34,0)</f>
        <v>-192.38121586849644</v>
      </c>
    </row>
    <row r="39" spans="1:5" x14ac:dyDescent="0.2">
      <c r="A39" s="10" t="s">
        <v>139</v>
      </c>
      <c r="B39">
        <v>12000</v>
      </c>
    </row>
    <row r="40" spans="1:5" x14ac:dyDescent="0.2">
      <c r="A40" s="10" t="s">
        <v>140</v>
      </c>
      <c r="B40">
        <v>0.06</v>
      </c>
    </row>
    <row r="41" spans="1:5" ht="17" thickBot="1" x14ac:dyDescent="0.25">
      <c r="A41" s="56" t="s">
        <v>141</v>
      </c>
      <c r="B41">
        <f>48/12</f>
        <v>4</v>
      </c>
    </row>
    <row r="42" spans="1:5" ht="17" thickBot="1" x14ac:dyDescent="0.25">
      <c r="A42" s="57" t="s">
        <v>125</v>
      </c>
      <c r="B42" s="58">
        <f>PMT(B40/12,12*B41,B39,0)</f>
        <v>-281.8203485752274</v>
      </c>
    </row>
    <row r="43" spans="1:5" x14ac:dyDescent="0.2">
      <c r="C43" s="53">
        <f>B42*12*B41</f>
        <v>-13527.376731610915</v>
      </c>
    </row>
    <row r="44" spans="1:5" x14ac:dyDescent="0.2">
      <c r="A44" s="10" t="s">
        <v>137</v>
      </c>
      <c r="B44">
        <v>12</v>
      </c>
    </row>
    <row r="45" spans="1:5" x14ac:dyDescent="0.2">
      <c r="A45" s="10" t="s">
        <v>138</v>
      </c>
      <c r="B45">
        <v>279.43</v>
      </c>
    </row>
    <row r="46" spans="1:5" x14ac:dyDescent="0.2">
      <c r="A46" s="10" t="s">
        <v>134</v>
      </c>
      <c r="B46">
        <v>0.06</v>
      </c>
    </row>
    <row r="47" spans="1:5" ht="17" thickBot="1" x14ac:dyDescent="0.25">
      <c r="A47" s="56" t="s">
        <v>135</v>
      </c>
      <c r="B47">
        <f>39/12</f>
        <v>3.25</v>
      </c>
    </row>
    <row r="48" spans="1:5" ht="17" thickBot="1" x14ac:dyDescent="0.25">
      <c r="A48" s="57" t="s">
        <v>136</v>
      </c>
      <c r="B48" s="58">
        <f>FV(B46/B44,B47*B44,B45,B45*-1)</f>
        <v>-11660.447927163519</v>
      </c>
      <c r="C48">
        <f>B45*B47*12</f>
        <v>10897.77</v>
      </c>
      <c r="D48" s="53">
        <f>B48-C48</f>
        <v>-22558.217927163518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"/>
  <sheetViews>
    <sheetView tabSelected="1" workbookViewId="0">
      <selection activeCell="E22" sqref="E22"/>
    </sheetView>
  </sheetViews>
  <sheetFormatPr baseColWidth="10" defaultColWidth="8.83203125" defaultRowHeight="16" x14ac:dyDescent="0.2"/>
  <cols>
    <col min="1" max="1" width="4.5" bestFit="1" customWidth="1"/>
    <col min="2" max="2" width="11.5" bestFit="1" customWidth="1"/>
    <col min="3" max="3" width="8.6640625" bestFit="1" customWidth="1"/>
    <col min="4" max="4" width="10.5" bestFit="1" customWidth="1"/>
    <col min="5" max="5" width="11.5" bestFit="1" customWidth="1"/>
  </cols>
  <sheetData>
    <row r="1" spans="1:5" x14ac:dyDescent="0.2">
      <c r="A1" t="s">
        <v>135</v>
      </c>
      <c r="B1" t="s">
        <v>145</v>
      </c>
      <c r="C1" s="60">
        <v>400</v>
      </c>
      <c r="D1" t="s">
        <v>155</v>
      </c>
      <c r="E1" s="61">
        <v>2.7E-2</v>
      </c>
    </row>
    <row r="2" spans="1:5" ht="32.25" customHeight="1" x14ac:dyDescent="0.2">
      <c r="B2" s="62" t="s">
        <v>156</v>
      </c>
      <c r="C2" s="63" t="s">
        <v>157</v>
      </c>
      <c r="D2" s="62" t="s">
        <v>155</v>
      </c>
      <c r="E2" s="64" t="s">
        <v>115</v>
      </c>
    </row>
    <row r="3" spans="1:5" x14ac:dyDescent="0.2">
      <c r="A3">
        <v>1</v>
      </c>
      <c r="B3" s="53">
        <v>2000</v>
      </c>
      <c r="C3" s="60">
        <f>C$1*12</f>
        <v>4800</v>
      </c>
      <c r="D3" s="53">
        <f>E3-B3</f>
        <v>4914.5210508239006</v>
      </c>
      <c r="E3" s="53">
        <f>FV(E$1/12,12,C$1*-1, B3*-1)</f>
        <v>6914.5210508239006</v>
      </c>
    </row>
    <row r="4" spans="1:5" x14ac:dyDescent="0.2">
      <c r="A4">
        <v>2</v>
      </c>
      <c r="B4" s="53">
        <f>E3</f>
        <v>6914.5210508239006</v>
      </c>
      <c r="C4" s="60">
        <f>C$1*12</f>
        <v>4800</v>
      </c>
      <c r="D4" s="53">
        <f>E4-B4</f>
        <v>5048.8675615970287</v>
      </c>
      <c r="E4" s="53">
        <f>FV(E$1/12,12,C$1*-1, B4*-1)</f>
        <v>11963.388612420929</v>
      </c>
    </row>
    <row r="5" spans="1:5" x14ac:dyDescent="0.2">
      <c r="A5">
        <v>3</v>
      </c>
      <c r="B5" s="53">
        <f t="shared" ref="B5:B22" si="0">E4</f>
        <v>11963.388612420929</v>
      </c>
      <c r="C5" s="60">
        <f t="shared" ref="C5:C22" si="1">C$1*12</f>
        <v>4800</v>
      </c>
      <c r="D5" s="53">
        <f t="shared" ref="D5:D22" si="2">E5-B5</f>
        <v>5186.8866550634175</v>
      </c>
      <c r="E5" s="53">
        <f t="shared" ref="E5:E22" si="3">FV(E$1/12,12,C$1*-1, B5*-1)</f>
        <v>17150.275267484347</v>
      </c>
    </row>
    <row r="6" spans="1:5" x14ac:dyDescent="0.2">
      <c r="A6">
        <v>4</v>
      </c>
      <c r="B6" s="53">
        <f t="shared" si="0"/>
        <v>17150.275267484347</v>
      </c>
      <c r="C6" s="60">
        <f t="shared" si="1"/>
        <v>4800</v>
      </c>
      <c r="D6" s="53">
        <f t="shared" si="2"/>
        <v>5328.6787273074951</v>
      </c>
      <c r="E6" s="53">
        <f t="shared" si="3"/>
        <v>22478.953994791842</v>
      </c>
    </row>
    <row r="7" spans="1:5" x14ac:dyDescent="0.2">
      <c r="A7">
        <v>5</v>
      </c>
      <c r="B7" s="53">
        <f t="shared" si="0"/>
        <v>22478.953994791842</v>
      </c>
      <c r="C7" s="60">
        <f t="shared" si="1"/>
        <v>4800</v>
      </c>
      <c r="D7" s="53">
        <f t="shared" si="2"/>
        <v>5474.346918905685</v>
      </c>
      <c r="E7" s="53">
        <f t="shared" si="3"/>
        <v>27953.300913697527</v>
      </c>
    </row>
    <row r="8" spans="1:5" x14ac:dyDescent="0.2">
      <c r="A8">
        <v>6</v>
      </c>
      <c r="B8" s="53">
        <f t="shared" si="0"/>
        <v>27953.300913697527</v>
      </c>
      <c r="C8" s="60">
        <f t="shared" si="1"/>
        <v>4800</v>
      </c>
      <c r="D8" s="53">
        <f t="shared" si="2"/>
        <v>5623.9971899515913</v>
      </c>
      <c r="E8" s="53">
        <f t="shared" si="3"/>
        <v>33577.298103649118</v>
      </c>
    </row>
    <row r="9" spans="1:5" x14ac:dyDescent="0.2">
      <c r="A9">
        <v>7</v>
      </c>
      <c r="B9" s="53">
        <f t="shared" si="0"/>
        <v>33577.298103649118</v>
      </c>
      <c r="C9" s="60">
        <f t="shared" si="1"/>
        <v>4800</v>
      </c>
      <c r="D9" s="53">
        <f t="shared" si="2"/>
        <v>5777.7383971321397</v>
      </c>
      <c r="E9" s="53">
        <f t="shared" si="3"/>
        <v>39355.036500781258</v>
      </c>
    </row>
    <row r="10" spans="1:5" x14ac:dyDescent="0.2">
      <c r="A10">
        <v>8</v>
      </c>
      <c r="B10" s="53">
        <f t="shared" si="0"/>
        <v>39355.036500781258</v>
      </c>
      <c r="C10" s="60">
        <f t="shared" si="1"/>
        <v>4800</v>
      </c>
      <c r="D10" s="53">
        <f t="shared" si="2"/>
        <v>5935.6823729107127</v>
      </c>
      <c r="E10" s="53">
        <f t="shared" si="3"/>
        <v>45290.718873691971</v>
      </c>
    </row>
    <row r="11" spans="1:5" x14ac:dyDescent="0.2">
      <c r="A11">
        <v>9</v>
      </c>
      <c r="B11" s="53">
        <f t="shared" si="0"/>
        <v>45290.718873691971</v>
      </c>
      <c r="C11" s="60">
        <f t="shared" si="1"/>
        <v>4800</v>
      </c>
      <c r="D11" s="53">
        <f t="shared" si="2"/>
        <v>6097.94400687491</v>
      </c>
      <c r="E11" s="53">
        <f t="shared" si="3"/>
        <v>51388.662880566881</v>
      </c>
    </row>
    <row r="12" spans="1:5" x14ac:dyDescent="0.2">
      <c r="A12">
        <v>10</v>
      </c>
      <c r="B12" s="53">
        <f t="shared" si="0"/>
        <v>51388.662880566881</v>
      </c>
      <c r="C12" s="60">
        <f t="shared" si="1"/>
        <v>4800</v>
      </c>
      <c r="D12" s="53">
        <f t="shared" si="2"/>
        <v>6264.6413293080332</v>
      </c>
      <c r="E12" s="53">
        <f t="shared" si="3"/>
        <v>57653.304209874914</v>
      </c>
    </row>
    <row r="13" spans="1:5" x14ac:dyDescent="0.2">
      <c r="A13">
        <v>11</v>
      </c>
      <c r="B13" s="53">
        <f t="shared" si="0"/>
        <v>57653.304209874914</v>
      </c>
      <c r="C13" s="60">
        <f t="shared" si="1"/>
        <v>4800</v>
      </c>
      <c r="D13" s="53">
        <f t="shared" si="2"/>
        <v>6435.8955970451862</v>
      </c>
      <c r="E13" s="53">
        <f t="shared" si="3"/>
        <v>64089.1998069201</v>
      </c>
    </row>
    <row r="14" spans="1:5" x14ac:dyDescent="0.2">
      <c r="A14">
        <v>12</v>
      </c>
      <c r="B14" s="53">
        <f t="shared" si="0"/>
        <v>64089.1998069201</v>
      </c>
      <c r="C14" s="60">
        <f t="shared" si="1"/>
        <v>4800</v>
      </c>
      <c r="D14" s="53">
        <f t="shared" si="2"/>
        <v>6611.8313816763621</v>
      </c>
      <c r="E14" s="53">
        <f t="shared" si="3"/>
        <v>70701.031188596462</v>
      </c>
    </row>
    <row r="15" spans="1:5" x14ac:dyDescent="0.2">
      <c r="A15">
        <v>13</v>
      </c>
      <c r="B15" s="53">
        <f t="shared" si="0"/>
        <v>70701.031188596462</v>
      </c>
      <c r="C15" s="60">
        <f t="shared" si="1"/>
        <v>4800</v>
      </c>
      <c r="D15" s="53">
        <f t="shared" si="2"/>
        <v>6792.576660160732</v>
      </c>
      <c r="E15" s="53">
        <f t="shared" si="3"/>
        <v>77493.607848757194</v>
      </c>
    </row>
    <row r="16" spans="1:5" x14ac:dyDescent="0.2">
      <c r="A16">
        <v>14</v>
      </c>
      <c r="B16" s="53">
        <f t="shared" si="0"/>
        <v>77493.607848757194</v>
      </c>
      <c r="C16" s="60">
        <f t="shared" si="1"/>
        <v>4800</v>
      </c>
      <c r="D16" s="53">
        <f t="shared" si="2"/>
        <v>6978.2629079179897</v>
      </c>
      <c r="E16" s="53">
        <f t="shared" si="3"/>
        <v>84471.870756675184</v>
      </c>
    </row>
    <row r="17" spans="1:5" x14ac:dyDescent="0.2">
      <c r="A17">
        <v>15</v>
      </c>
      <c r="B17" s="53">
        <f t="shared" si="0"/>
        <v>84471.870756675184</v>
      </c>
      <c r="C17" s="60">
        <f t="shared" si="1"/>
        <v>4800</v>
      </c>
      <c r="D17" s="53">
        <f t="shared" si="2"/>
        <v>7169.0251944645424</v>
      </c>
      <c r="E17" s="53">
        <f t="shared" si="3"/>
        <v>91640.895951139726</v>
      </c>
    </row>
    <row r="18" spans="1:5" x14ac:dyDescent="0.2">
      <c r="A18">
        <v>16</v>
      </c>
      <c r="B18" s="53">
        <f t="shared" si="0"/>
        <v>91640.895951139726</v>
      </c>
      <c r="C18" s="60">
        <f t="shared" si="1"/>
        <v>4800</v>
      </c>
      <c r="D18" s="53">
        <f t="shared" si="2"/>
        <v>7365.0022816640267</v>
      </c>
      <c r="E18" s="53">
        <f t="shared" si="3"/>
        <v>99005.898232803753</v>
      </c>
    </row>
    <row r="19" spans="1:5" x14ac:dyDescent="0.2">
      <c r="A19">
        <v>17</v>
      </c>
      <c r="B19" s="53">
        <f t="shared" si="0"/>
        <v>99005.898232803753</v>
      </c>
      <c r="C19" s="60">
        <f t="shared" si="1"/>
        <v>4800</v>
      </c>
      <c r="D19" s="53">
        <f t="shared" si="2"/>
        <v>7566.3367246636772</v>
      </c>
      <c r="E19" s="53">
        <f t="shared" si="3"/>
        <v>106572.23495746743</v>
      </c>
    </row>
    <row r="20" spans="1:5" x14ac:dyDescent="0.2">
      <c r="A20">
        <v>18</v>
      </c>
      <c r="B20" s="53">
        <f t="shared" si="0"/>
        <v>106572.23495746743</v>
      </c>
      <c r="C20" s="60">
        <f t="shared" si="1"/>
        <v>4800</v>
      </c>
      <c r="D20" s="53">
        <f t="shared" si="2"/>
        <v>7773.1749755900237</v>
      </c>
      <c r="E20" s="53">
        <f t="shared" si="3"/>
        <v>114345.40993305745</v>
      </c>
    </row>
    <row r="21" spans="1:5" x14ac:dyDescent="0.2">
      <c r="A21">
        <v>19</v>
      </c>
      <c r="B21" s="53">
        <f t="shared" si="0"/>
        <v>114345.40993305745</v>
      </c>
      <c r="C21" s="60">
        <f t="shared" si="1"/>
        <v>4800</v>
      </c>
      <c r="D21" s="53">
        <f t="shared" si="2"/>
        <v>7985.6674900791841</v>
      </c>
      <c r="E21" s="53">
        <f t="shared" si="3"/>
        <v>122331.07742313664</v>
      </c>
    </row>
    <row r="22" spans="1:5" x14ac:dyDescent="0.2">
      <c r="A22">
        <v>20</v>
      </c>
      <c r="B22" s="53">
        <f t="shared" si="0"/>
        <v>122331.07742313664</v>
      </c>
      <c r="C22" s="60">
        <f t="shared" si="1"/>
        <v>4800</v>
      </c>
      <c r="D22" s="53">
        <f t="shared" si="2"/>
        <v>8203.968836719403</v>
      </c>
      <c r="E22" s="53">
        <f t="shared" si="3"/>
        <v>130535.04625985604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</vt:lpstr>
      <vt:lpstr>Transfers</vt:lpstr>
      <vt:lpstr>Exercise 2.1 C #22 &amp; #24</vt:lpstr>
      <vt:lpstr>Exercise 3.3C #29 &amp; 30</vt:lpstr>
      <vt:lpstr>Sheet1</vt:lpstr>
      <vt:lpstr>Excersize 4.1C #21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2019-05-01T00:49:41Z</dcterms:created>
  <dcterms:modified xsi:type="dcterms:W3CDTF">2019-07-02T02:16:33Z</dcterms:modified>
</cp:coreProperties>
</file>