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studentutsedu.sharepoint.com/sites/Course_43019_design_in_mechanical_and_mechatronic_-4fVJuN6RM5oxU-P29-AutonomousSteeri/Shared Documents/T21 - P29 - Autonomous Steering Mechanism/Handover/Documentation/Calculations/Torque/"/>
    </mc:Choice>
  </mc:AlternateContent>
  <xr:revisionPtr revIDLastSave="111" documentId="11_AF49218EBA110B2BC5B6DDF444DBA23E973D504F" xr6:coauthVersionLast="47" xr6:coauthVersionMax="47" xr10:uidLastSave="{62515154-440C-4E36-BC60-B0BDAA43C9EA}"/>
  <bookViews>
    <workbookView xWindow="47895" yWindow="0" windowWidth="19410" windowHeight="15585" xr2:uid="{00000000-000D-0000-FFFF-FFFF00000000}"/>
  </bookViews>
  <sheets>
    <sheet name="Steering Weight" sheetId="1" r:id="rId1"/>
    <sheet name="Fy Pacejka Graphs" sheetId="2" r:id="rId2"/>
    <sheet name="Tube Comparison" sheetId="3" r:id="rId3"/>
    <sheet name="Pin Size Calculator" sheetId="4" r:id="rId4"/>
    <sheet name="Bolt Size Calculator" sheetId="5" r:id="rId5"/>
    <sheet name="Collumn Loads" sheetId="6" r:id="rId6"/>
  </sheets>
  <definedNames>
    <definedName name="solver_adj" localSheetId="3">'Pin Size Calculator'!$D$4</definedName>
    <definedName name="solver_cvg" localSheetId="3">0.0001</definedName>
    <definedName name="solver_drv" localSheetId="3">2</definedName>
    <definedName name="solver_eng" localSheetId="3">1</definedName>
    <definedName name="solver_est" localSheetId="3">1</definedName>
    <definedName name="solver_itr" localSheetId="3">2147483647</definedName>
    <definedName name="solver_lhs1" localSheetId="3">'Pin Size Calculator'!$D$4</definedName>
    <definedName name="solver_lhs2" localSheetId="3">'Pin Size Calculator'!$D$4</definedName>
    <definedName name="solver_mip" localSheetId="3">2147483647</definedName>
    <definedName name="solver_mni" localSheetId="3">30</definedName>
    <definedName name="solver_mrt" localSheetId="3">0.075</definedName>
    <definedName name="solver_msl" localSheetId="3">2</definedName>
    <definedName name="solver_neg" localSheetId="3">1</definedName>
    <definedName name="solver_nod" localSheetId="3">2147483647</definedName>
    <definedName name="solver_num" localSheetId="3">0</definedName>
    <definedName name="solver_nwt" localSheetId="3">1</definedName>
    <definedName name="solver_opt" localSheetId="3">'Pin Size Calculator'!$I$4</definedName>
    <definedName name="solver_pre" localSheetId="3">0.000001</definedName>
    <definedName name="solver_rbv" localSheetId="3">2</definedName>
    <definedName name="solver_rel1" localSheetId="3">1</definedName>
    <definedName name="solver_rel2" localSheetId="3">3</definedName>
    <definedName name="solver_rhs1" localSheetId="3">'Pin Size Calculator'!$C$4</definedName>
    <definedName name="solver_rhs2" localSheetId="3">0.001</definedName>
    <definedName name="solver_rlx" localSheetId="3">2</definedName>
    <definedName name="solver_rsd" localSheetId="3">0</definedName>
    <definedName name="solver_scl" localSheetId="3">2</definedName>
    <definedName name="solver_sho" localSheetId="3">2</definedName>
    <definedName name="solver_ssz" localSheetId="3">100</definedName>
    <definedName name="solver_tim" localSheetId="3">2147483647</definedName>
    <definedName name="solver_tol" localSheetId="3">0.01</definedName>
    <definedName name="solver_typ" localSheetId="3">3</definedName>
    <definedName name="solver_val" localSheetId="3">0</definedName>
    <definedName name="solver_ver" localSheetId="3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3WH2hzixVuj3zs/1p7QKKSP740PoaYftFIN1o95EDGQ="/>
    </ext>
  </extLst>
</workbook>
</file>

<file path=xl/calcChain.xml><?xml version="1.0" encoding="utf-8"?>
<calcChain xmlns="http://schemas.openxmlformats.org/spreadsheetml/2006/main">
  <c r="N5" i="6" l="1"/>
  <c r="N4" i="6"/>
  <c r="N3" i="6"/>
  <c r="K3" i="6"/>
  <c r="I3" i="6"/>
  <c r="C3" i="6"/>
  <c r="K4" i="6" s="1"/>
  <c r="B3" i="6"/>
  <c r="C2" i="6"/>
  <c r="J5" i="6" s="1"/>
  <c r="I7" i="5"/>
  <c r="G7" i="5"/>
  <c r="F7" i="5"/>
  <c r="H7" i="5" s="1"/>
  <c r="I6" i="5"/>
  <c r="G6" i="5"/>
  <c r="F6" i="5"/>
  <c r="H6" i="5" s="1"/>
  <c r="I5" i="5"/>
  <c r="G5" i="5"/>
  <c r="F5" i="5"/>
  <c r="H5" i="5" s="1"/>
  <c r="I4" i="5"/>
  <c r="H4" i="5"/>
  <c r="G4" i="5"/>
  <c r="F4" i="5"/>
  <c r="I3" i="5"/>
  <c r="G3" i="5"/>
  <c r="F3" i="5"/>
  <c r="H3" i="5" s="1"/>
  <c r="I2" i="5"/>
  <c r="G2" i="5"/>
  <c r="F2" i="5"/>
  <c r="H2" i="5" s="1"/>
  <c r="G4" i="4"/>
  <c r="H4" i="4" s="1"/>
  <c r="E4" i="4"/>
  <c r="B4" i="4"/>
  <c r="I4" i="4" s="1"/>
  <c r="G20" i="3"/>
  <c r="B8" i="3"/>
  <c r="E2" i="3"/>
  <c r="G2" i="3" s="1"/>
  <c r="D2" i="3"/>
  <c r="D8" i="3" s="1"/>
  <c r="P51" i="2"/>
  <c r="L51" i="2"/>
  <c r="I51" i="2"/>
  <c r="F51" i="2"/>
  <c r="B51" i="2"/>
  <c r="D51" i="2" s="1"/>
  <c r="S50" i="2"/>
  <c r="O50" i="2"/>
  <c r="L50" i="2"/>
  <c r="I50" i="2"/>
  <c r="D50" i="2"/>
  <c r="E50" i="2" s="1"/>
  <c r="C50" i="2"/>
  <c r="B50" i="2"/>
  <c r="G50" i="2" s="1"/>
  <c r="O49" i="2"/>
  <c r="L49" i="2"/>
  <c r="B49" i="2"/>
  <c r="J49" i="2" s="1"/>
  <c r="O48" i="2"/>
  <c r="B48" i="2"/>
  <c r="M48" i="2" s="1"/>
  <c r="B47" i="2"/>
  <c r="R47" i="2" s="1"/>
  <c r="P46" i="2"/>
  <c r="Q46" i="2" s="1"/>
  <c r="O46" i="2"/>
  <c r="M46" i="2"/>
  <c r="G46" i="2"/>
  <c r="B46" i="2"/>
  <c r="D46" i="2" s="1"/>
  <c r="B45" i="2"/>
  <c r="G45" i="2" s="1"/>
  <c r="S44" i="2"/>
  <c r="M44" i="2"/>
  <c r="G44" i="2"/>
  <c r="H44" i="2" s="1"/>
  <c r="F44" i="2"/>
  <c r="E44" i="2"/>
  <c r="D44" i="2"/>
  <c r="C44" i="2"/>
  <c r="B44" i="2"/>
  <c r="J44" i="2" s="1"/>
  <c r="B43" i="2"/>
  <c r="M43" i="2" s="1"/>
  <c r="S42" i="2"/>
  <c r="M42" i="2"/>
  <c r="N42" i="2" s="1"/>
  <c r="L42" i="2"/>
  <c r="K42" i="2"/>
  <c r="J42" i="2"/>
  <c r="I42" i="2"/>
  <c r="G42" i="2"/>
  <c r="E42" i="2"/>
  <c r="D42" i="2"/>
  <c r="C42" i="2"/>
  <c r="B42" i="2"/>
  <c r="P42" i="2" s="1"/>
  <c r="P41" i="2"/>
  <c r="Q41" i="2" s="1"/>
  <c r="O41" i="2"/>
  <c r="M41" i="2"/>
  <c r="L41" i="2"/>
  <c r="N41" i="2" s="1"/>
  <c r="J41" i="2"/>
  <c r="H41" i="2"/>
  <c r="G41" i="2"/>
  <c r="F41" i="2"/>
  <c r="D41" i="2"/>
  <c r="B41" i="2"/>
  <c r="S41" i="2" s="1"/>
  <c r="O40" i="2"/>
  <c r="J40" i="2"/>
  <c r="I40" i="2"/>
  <c r="K40" i="2" s="1"/>
  <c r="G40" i="2"/>
  <c r="B40" i="2"/>
  <c r="F40" i="2" s="1"/>
  <c r="L39" i="2"/>
  <c r="J39" i="2"/>
  <c r="B39" i="2"/>
  <c r="I39" i="2" s="1"/>
  <c r="S38" i="2"/>
  <c r="P38" i="2"/>
  <c r="O38" i="2"/>
  <c r="Q38" i="2" s="1"/>
  <c r="M38" i="2"/>
  <c r="J38" i="2"/>
  <c r="K38" i="2" s="1"/>
  <c r="I38" i="2"/>
  <c r="G38" i="2"/>
  <c r="H38" i="2" s="1"/>
  <c r="F38" i="2"/>
  <c r="E38" i="2"/>
  <c r="D38" i="2"/>
  <c r="C38" i="2"/>
  <c r="B38" i="2"/>
  <c r="L38" i="2" s="1"/>
  <c r="P37" i="2"/>
  <c r="B37" i="2"/>
  <c r="O37" i="2" s="1"/>
  <c r="S36" i="2"/>
  <c r="T36" i="2" s="1"/>
  <c r="P36" i="2"/>
  <c r="Q36" i="2" s="1"/>
  <c r="O36" i="2"/>
  <c r="M36" i="2"/>
  <c r="N36" i="2" s="1"/>
  <c r="L36" i="2"/>
  <c r="J36" i="2"/>
  <c r="I36" i="2"/>
  <c r="K36" i="2" s="1"/>
  <c r="G36" i="2"/>
  <c r="H36" i="2" s="1"/>
  <c r="F36" i="2"/>
  <c r="D36" i="2"/>
  <c r="C36" i="2"/>
  <c r="E36" i="2" s="1"/>
  <c r="B36" i="2"/>
  <c r="R36" i="2" s="1"/>
  <c r="P35" i="2"/>
  <c r="L35" i="2"/>
  <c r="J35" i="2"/>
  <c r="K35" i="2" s="1"/>
  <c r="I35" i="2"/>
  <c r="F35" i="2"/>
  <c r="B35" i="2"/>
  <c r="D35" i="2" s="1"/>
  <c r="S34" i="2"/>
  <c r="O34" i="2"/>
  <c r="M34" i="2"/>
  <c r="N34" i="2" s="1"/>
  <c r="L34" i="2"/>
  <c r="I34" i="2"/>
  <c r="D34" i="2"/>
  <c r="E34" i="2" s="1"/>
  <c r="C34" i="2"/>
  <c r="B34" i="2"/>
  <c r="G34" i="2" s="1"/>
  <c r="P33" i="2"/>
  <c r="Q33" i="2" s="1"/>
  <c r="O33" i="2"/>
  <c r="L33" i="2"/>
  <c r="F33" i="2"/>
  <c r="B33" i="2"/>
  <c r="J33" i="2" s="1"/>
  <c r="O32" i="2"/>
  <c r="B32" i="2"/>
  <c r="M32" i="2" s="1"/>
  <c r="B31" i="2"/>
  <c r="R31" i="2" s="1"/>
  <c r="P30" i="2"/>
  <c r="Q30" i="2" s="1"/>
  <c r="O30" i="2"/>
  <c r="M30" i="2"/>
  <c r="I30" i="2"/>
  <c r="H30" i="2"/>
  <c r="G30" i="2"/>
  <c r="F30" i="2"/>
  <c r="B30" i="2"/>
  <c r="D30" i="2" s="1"/>
  <c r="B29" i="2"/>
  <c r="G29" i="2" s="1"/>
  <c r="S28" i="2"/>
  <c r="O28" i="2"/>
  <c r="N28" i="2"/>
  <c r="M28" i="2"/>
  <c r="L28" i="2"/>
  <c r="G28" i="2"/>
  <c r="H28" i="2" s="1"/>
  <c r="F28" i="2"/>
  <c r="E28" i="2"/>
  <c r="D28" i="2"/>
  <c r="C28" i="2"/>
  <c r="B28" i="2"/>
  <c r="J28" i="2" s="1"/>
  <c r="B27" i="2"/>
  <c r="M27" i="2" s="1"/>
  <c r="S26" i="2"/>
  <c r="M26" i="2"/>
  <c r="N26" i="2" s="1"/>
  <c r="L26" i="2"/>
  <c r="K26" i="2"/>
  <c r="J26" i="2"/>
  <c r="I26" i="2"/>
  <c r="G26" i="2"/>
  <c r="D26" i="2"/>
  <c r="C26" i="2"/>
  <c r="E26" i="2" s="1"/>
  <c r="B26" i="2"/>
  <c r="P26" i="2" s="1"/>
  <c r="P25" i="2"/>
  <c r="Q25" i="2" s="1"/>
  <c r="O25" i="2"/>
  <c r="N25" i="2"/>
  <c r="M25" i="2"/>
  <c r="L25" i="2"/>
  <c r="J25" i="2"/>
  <c r="G25" i="2"/>
  <c r="F25" i="2"/>
  <c r="H25" i="2" s="1"/>
  <c r="D25" i="2"/>
  <c r="B25" i="2"/>
  <c r="S25" i="2" s="1"/>
  <c r="R24" i="2"/>
  <c r="O24" i="2"/>
  <c r="M24" i="2"/>
  <c r="J24" i="2"/>
  <c r="I24" i="2"/>
  <c r="K24" i="2" s="1"/>
  <c r="G24" i="2"/>
  <c r="B24" i="2"/>
  <c r="F24" i="2" s="1"/>
  <c r="R23" i="2"/>
  <c r="M23" i="2"/>
  <c r="L23" i="2"/>
  <c r="N23" i="2" s="1"/>
  <c r="J23" i="2"/>
  <c r="B23" i="2"/>
  <c r="I23" i="2" s="1"/>
  <c r="S22" i="2"/>
  <c r="P22" i="2"/>
  <c r="Q22" i="2" s="1"/>
  <c r="O22" i="2"/>
  <c r="M22" i="2"/>
  <c r="I22" i="2"/>
  <c r="G22" i="2"/>
  <c r="H22" i="2" s="1"/>
  <c r="F22" i="2"/>
  <c r="C22" i="2"/>
  <c r="B22" i="2"/>
  <c r="L22" i="2" s="1"/>
  <c r="P21" i="2"/>
  <c r="B21" i="2"/>
  <c r="O21" i="2" s="1"/>
  <c r="S20" i="2"/>
  <c r="O20" i="2"/>
  <c r="M20" i="2"/>
  <c r="N20" i="2" s="1"/>
  <c r="L20" i="2"/>
  <c r="I20" i="2"/>
  <c r="G20" i="2"/>
  <c r="H20" i="2" s="1"/>
  <c r="F20" i="2"/>
  <c r="D20" i="2"/>
  <c r="C20" i="2"/>
  <c r="E20" i="2" s="1"/>
  <c r="B20" i="2"/>
  <c r="R20" i="2" s="1"/>
  <c r="R19" i="2"/>
  <c r="P19" i="2"/>
  <c r="Q19" i="2" s="1"/>
  <c r="O19" i="2"/>
  <c r="L19" i="2"/>
  <c r="J19" i="2"/>
  <c r="K19" i="2" s="1"/>
  <c r="I19" i="2"/>
  <c r="F19" i="2"/>
  <c r="B19" i="2"/>
  <c r="D19" i="2" s="1"/>
  <c r="S18" i="2"/>
  <c r="O18" i="2"/>
  <c r="M18" i="2"/>
  <c r="N18" i="2" s="1"/>
  <c r="L18" i="2"/>
  <c r="I18" i="2"/>
  <c r="D18" i="2"/>
  <c r="E18" i="2" s="1"/>
  <c r="C18" i="2"/>
  <c r="B18" i="2"/>
  <c r="G18" i="2" s="1"/>
  <c r="P17" i="2"/>
  <c r="Q17" i="2" s="1"/>
  <c r="O17" i="2"/>
  <c r="L17" i="2"/>
  <c r="F17" i="2"/>
  <c r="D17" i="2"/>
  <c r="B17" i="2"/>
  <c r="J17" i="2" s="1"/>
  <c r="R16" i="2"/>
  <c r="O16" i="2"/>
  <c r="B16" i="2"/>
  <c r="J16" i="2" s="1"/>
  <c r="R15" i="2"/>
  <c r="B15" i="2"/>
  <c r="P15" i="2" s="1"/>
  <c r="P14" i="2"/>
  <c r="Q14" i="2" s="1"/>
  <c r="O14" i="2"/>
  <c r="M14" i="2"/>
  <c r="N14" i="2" s="1"/>
  <c r="L14" i="2"/>
  <c r="I14" i="2"/>
  <c r="G14" i="2"/>
  <c r="H14" i="2" s="1"/>
  <c r="F14" i="2"/>
  <c r="B14" i="2"/>
  <c r="D14" i="2" s="1"/>
  <c r="P13" i="2"/>
  <c r="L13" i="2"/>
  <c r="J13" i="2"/>
  <c r="B13" i="2"/>
  <c r="G13" i="2" s="1"/>
  <c r="S12" i="2"/>
  <c r="O12" i="2"/>
  <c r="M12" i="2"/>
  <c r="N12" i="2" s="1"/>
  <c r="L12" i="2"/>
  <c r="G12" i="2"/>
  <c r="H12" i="2" s="1"/>
  <c r="F12" i="2"/>
  <c r="D12" i="2"/>
  <c r="C12" i="2"/>
  <c r="E12" i="2" s="1"/>
  <c r="B12" i="2"/>
  <c r="J12" i="2" s="1"/>
  <c r="P11" i="2"/>
  <c r="B11" i="2"/>
  <c r="M11" i="2" s="1"/>
  <c r="B7" i="2"/>
  <c r="B29" i="1"/>
  <c r="B28" i="1"/>
  <c r="C12" i="1"/>
  <c r="L11" i="1"/>
  <c r="L10" i="1"/>
  <c r="L12" i="1" s="1"/>
  <c r="L9" i="1"/>
  <c r="H5" i="1" s="1"/>
  <c r="L5" i="1"/>
  <c r="K39" i="2" l="1"/>
  <c r="H40" i="2"/>
  <c r="Q21" i="2"/>
  <c r="E46" i="2"/>
  <c r="N22" i="2"/>
  <c r="Q37" i="2"/>
  <c r="K23" i="2"/>
  <c r="N38" i="2"/>
  <c r="K41" i="2"/>
  <c r="H24" i="2"/>
  <c r="T20" i="2"/>
  <c r="T38" i="2"/>
  <c r="O11" i="2"/>
  <c r="Q11" i="2" s="1"/>
  <c r="I13" i="2"/>
  <c r="K13" i="2" s="1"/>
  <c r="C15" i="2"/>
  <c r="S15" i="2"/>
  <c r="T15" i="2" s="1"/>
  <c r="P16" i="2"/>
  <c r="Q16" i="2" s="1"/>
  <c r="M17" i="2"/>
  <c r="N17" i="2" s="1"/>
  <c r="J18" i="2"/>
  <c r="K18" i="2" s="1"/>
  <c r="G19" i="2"/>
  <c r="H19" i="2" s="1"/>
  <c r="R26" i="2"/>
  <c r="T26" i="2" s="1"/>
  <c r="O27" i="2"/>
  <c r="I29" i="2"/>
  <c r="C31" i="2"/>
  <c r="S31" i="2"/>
  <c r="T31" i="2" s="1"/>
  <c r="P32" i="2"/>
  <c r="Q32" i="2" s="1"/>
  <c r="M33" i="2"/>
  <c r="N33" i="2" s="1"/>
  <c r="J34" i="2"/>
  <c r="K34" i="2" s="1"/>
  <c r="G35" i="2"/>
  <c r="H35" i="2" s="1"/>
  <c r="R42" i="2"/>
  <c r="T42" i="2" s="1"/>
  <c r="O43" i="2"/>
  <c r="L44" i="2"/>
  <c r="N44" i="2" s="1"/>
  <c r="I45" i="2"/>
  <c r="F46" i="2"/>
  <c r="H46" i="2" s="1"/>
  <c r="C47" i="2"/>
  <c r="S47" i="2"/>
  <c r="T47" i="2" s="1"/>
  <c r="P48" i="2"/>
  <c r="Q48" i="2" s="1"/>
  <c r="M49" i="2"/>
  <c r="N49" i="2" s="1"/>
  <c r="J50" i="2"/>
  <c r="K50" i="2" s="1"/>
  <c r="G51" i="2"/>
  <c r="H51" i="2" s="1"/>
  <c r="K5" i="6"/>
  <c r="P27" i="2"/>
  <c r="Q27" i="2" s="1"/>
  <c r="J29" i="2"/>
  <c r="K29" i="2" s="1"/>
  <c r="D31" i="2"/>
  <c r="R37" i="2"/>
  <c r="P43" i="2"/>
  <c r="J45" i="2"/>
  <c r="K45" i="2" s="1"/>
  <c r="D47" i="2"/>
  <c r="C21" i="2"/>
  <c r="S21" i="2"/>
  <c r="R32" i="2"/>
  <c r="C37" i="2"/>
  <c r="S37" i="2"/>
  <c r="T37" i="2" s="1"/>
  <c r="M39" i="2"/>
  <c r="N39" i="2" s="1"/>
  <c r="R48" i="2"/>
  <c r="R43" i="2"/>
  <c r="O44" i="2"/>
  <c r="L45" i="2"/>
  <c r="I46" i="2"/>
  <c r="F47" i="2"/>
  <c r="C48" i="2"/>
  <c r="S48" i="2"/>
  <c r="P49" i="2"/>
  <c r="Q49" i="2" s="1"/>
  <c r="M50" i="2"/>
  <c r="N50" i="2" s="1"/>
  <c r="J51" i="2"/>
  <c r="K51" i="2" s="1"/>
  <c r="C8" i="3"/>
  <c r="E8" i="3" s="1"/>
  <c r="G8" i="3" s="1"/>
  <c r="J7" i="3" s="1"/>
  <c r="D21" i="2"/>
  <c r="E21" i="2" s="1"/>
  <c r="R27" i="2"/>
  <c r="L29" i="2"/>
  <c r="F31" i="2"/>
  <c r="C32" i="2"/>
  <c r="S32" i="2"/>
  <c r="T32" i="2" s="1"/>
  <c r="D37" i="2"/>
  <c r="E37" i="2" s="1"/>
  <c r="C11" i="2"/>
  <c r="S11" i="2"/>
  <c r="T11" i="2" s="1"/>
  <c r="P12" i="2"/>
  <c r="Q12" i="2" s="1"/>
  <c r="M13" i="2"/>
  <c r="N13" i="2" s="1"/>
  <c r="J14" i="2"/>
  <c r="K14" i="2" s="1"/>
  <c r="G15" i="2"/>
  <c r="D16" i="2"/>
  <c r="R22" i="2"/>
  <c r="T22" i="2" s="1"/>
  <c r="O23" i="2"/>
  <c r="L24" i="2"/>
  <c r="N24" i="2" s="1"/>
  <c r="I25" i="2"/>
  <c r="K25" i="2" s="1"/>
  <c r="F26" i="2"/>
  <c r="H26" i="2" s="1"/>
  <c r="C27" i="2"/>
  <c r="S27" i="2"/>
  <c r="T27" i="2" s="1"/>
  <c r="P28" i="2"/>
  <c r="Q28" i="2" s="1"/>
  <c r="M29" i="2"/>
  <c r="N29" i="2" s="1"/>
  <c r="J30" i="2"/>
  <c r="K30" i="2" s="1"/>
  <c r="G31" i="2"/>
  <c r="H31" i="2" s="1"/>
  <c r="D32" i="2"/>
  <c r="R38" i="2"/>
  <c r="O39" i="2"/>
  <c r="L40" i="2"/>
  <c r="I41" i="2"/>
  <c r="F42" i="2"/>
  <c r="H42" i="2" s="1"/>
  <c r="C43" i="2"/>
  <c r="S43" i="2"/>
  <c r="T43" i="2" s="1"/>
  <c r="P44" i="2"/>
  <c r="M45" i="2"/>
  <c r="J46" i="2"/>
  <c r="G47" i="2"/>
  <c r="H47" i="2" s="1"/>
  <c r="D48" i="2"/>
  <c r="E48" i="2" s="1"/>
  <c r="P23" i="2"/>
  <c r="Q23" i="2" s="1"/>
  <c r="P39" i="2"/>
  <c r="Q39" i="2" s="1"/>
  <c r="M40" i="2"/>
  <c r="N40" i="2" s="1"/>
  <c r="D43" i="2"/>
  <c r="R49" i="2"/>
  <c r="R21" i="2"/>
  <c r="D11" i="2"/>
  <c r="R17" i="2"/>
  <c r="F21" i="2"/>
  <c r="D27" i="2"/>
  <c r="E27" i="2" s="1"/>
  <c r="R33" i="2"/>
  <c r="F37" i="2"/>
  <c r="R12" i="2"/>
  <c r="T12" i="2" s="1"/>
  <c r="O13" i="2"/>
  <c r="Q13" i="2" s="1"/>
  <c r="I15" i="2"/>
  <c r="F16" i="2"/>
  <c r="C17" i="2"/>
  <c r="E17" i="2" s="1"/>
  <c r="S17" i="2"/>
  <c r="T17" i="2" s="1"/>
  <c r="P18" i="2"/>
  <c r="Q18" i="2" s="1"/>
  <c r="M19" i="2"/>
  <c r="N19" i="2" s="1"/>
  <c r="J20" i="2"/>
  <c r="K20" i="2" s="1"/>
  <c r="G21" i="2"/>
  <c r="D22" i="2"/>
  <c r="E22" i="2" s="1"/>
  <c r="R28" i="2"/>
  <c r="T28" i="2" s="1"/>
  <c r="O29" i="2"/>
  <c r="L30" i="2"/>
  <c r="N30" i="2" s="1"/>
  <c r="I31" i="2"/>
  <c r="F32" i="2"/>
  <c r="C33" i="2"/>
  <c r="S33" i="2"/>
  <c r="T33" i="2" s="1"/>
  <c r="P34" i="2"/>
  <c r="Q34" i="2" s="1"/>
  <c r="M35" i="2"/>
  <c r="N35" i="2" s="1"/>
  <c r="G37" i="2"/>
  <c r="H37" i="2" s="1"/>
  <c r="R44" i="2"/>
  <c r="T44" i="2" s="1"/>
  <c r="O45" i="2"/>
  <c r="L46" i="2"/>
  <c r="N46" i="2" s="1"/>
  <c r="I47" i="2"/>
  <c r="F48" i="2"/>
  <c r="C49" i="2"/>
  <c r="S49" i="2"/>
  <c r="T49" i="2" s="1"/>
  <c r="P50" i="2"/>
  <c r="Q50" i="2" s="1"/>
  <c r="M51" i="2"/>
  <c r="N51" i="2" s="1"/>
  <c r="D15" i="2"/>
  <c r="E15" i="2" s="1"/>
  <c r="F11" i="2"/>
  <c r="J15" i="2"/>
  <c r="F27" i="2"/>
  <c r="P29" i="2"/>
  <c r="Q29" i="2" s="1"/>
  <c r="J31" i="2"/>
  <c r="K31" i="2" s="1"/>
  <c r="G32" i="2"/>
  <c r="H32" i="2" s="1"/>
  <c r="D33" i="2"/>
  <c r="E33" i="2" s="1"/>
  <c r="R39" i="2"/>
  <c r="F43" i="2"/>
  <c r="P45" i="2"/>
  <c r="Q45" i="2" s="1"/>
  <c r="J47" i="2"/>
  <c r="K47" i="2" s="1"/>
  <c r="G48" i="2"/>
  <c r="D49" i="2"/>
  <c r="E49" i="2" s="1"/>
  <c r="G11" i="2"/>
  <c r="R18" i="2"/>
  <c r="T18" i="2" s="1"/>
  <c r="I21" i="2"/>
  <c r="C23" i="2"/>
  <c r="S23" i="2"/>
  <c r="T23" i="2" s="1"/>
  <c r="P24" i="2"/>
  <c r="Q24" i="2" s="1"/>
  <c r="G27" i="2"/>
  <c r="R34" i="2"/>
  <c r="T34" i="2" s="1"/>
  <c r="O35" i="2"/>
  <c r="Q35" i="2" s="1"/>
  <c r="I37" i="2"/>
  <c r="C39" i="2"/>
  <c r="S39" i="2"/>
  <c r="T39" i="2" s="1"/>
  <c r="P40" i="2"/>
  <c r="Q40" i="2" s="1"/>
  <c r="G43" i="2"/>
  <c r="H43" i="2" s="1"/>
  <c r="R50" i="2"/>
  <c r="T50" i="2" s="1"/>
  <c r="O51" i="2"/>
  <c r="Q51" i="2" s="1"/>
  <c r="L15" i="2"/>
  <c r="L31" i="2"/>
  <c r="I32" i="2"/>
  <c r="J37" i="2"/>
  <c r="D39" i="2"/>
  <c r="E39" i="2" s="1"/>
  <c r="R45" i="2"/>
  <c r="L47" i="2"/>
  <c r="I48" i="2"/>
  <c r="F49" i="2"/>
  <c r="J3" i="6"/>
  <c r="I9" i="6" s="1" a="1"/>
  <c r="C16" i="2"/>
  <c r="G16" i="2"/>
  <c r="I16" i="2"/>
  <c r="K16" i="2" s="1"/>
  <c r="C13" i="2"/>
  <c r="C29" i="2"/>
  <c r="S29" i="2"/>
  <c r="M31" i="2"/>
  <c r="N31" i="2" s="1"/>
  <c r="J32" i="2"/>
  <c r="K32" i="2" s="1"/>
  <c r="G33" i="2"/>
  <c r="H33" i="2" s="1"/>
  <c r="R40" i="2"/>
  <c r="I43" i="2"/>
  <c r="C45" i="2"/>
  <c r="S45" i="2"/>
  <c r="M47" i="2"/>
  <c r="N47" i="2" s="1"/>
  <c r="J48" i="2"/>
  <c r="K48" i="2" s="1"/>
  <c r="G49" i="2"/>
  <c r="H49" i="2" s="1"/>
  <c r="S16" i="2"/>
  <c r="T16" i="2" s="1"/>
  <c r="R13" i="2"/>
  <c r="D23" i="2"/>
  <c r="R29" i="2"/>
  <c r="I11" i="2"/>
  <c r="M15" i="2"/>
  <c r="G17" i="2"/>
  <c r="H17" i="2" s="1"/>
  <c r="F23" i="2"/>
  <c r="S24" i="2"/>
  <c r="T24" i="2" s="1"/>
  <c r="R35" i="2"/>
  <c r="L37" i="2"/>
  <c r="F39" i="2"/>
  <c r="C40" i="2"/>
  <c r="S40" i="2"/>
  <c r="T40" i="2" s="1"/>
  <c r="J43" i="2"/>
  <c r="K43" i="2" s="1"/>
  <c r="D45" i="2"/>
  <c r="E45" i="2" s="1"/>
  <c r="R51" i="2"/>
  <c r="R11" i="2"/>
  <c r="F15" i="2"/>
  <c r="J11" i="2"/>
  <c r="K11" i="2" s="1"/>
  <c r="C24" i="2"/>
  <c r="D29" i="2"/>
  <c r="E29" i="2" s="1"/>
  <c r="R14" i="2"/>
  <c r="O15" i="2"/>
  <c r="Q15" i="2" s="1"/>
  <c r="L16" i="2"/>
  <c r="I17" i="2"/>
  <c r="K17" i="2" s="1"/>
  <c r="F18" i="2"/>
  <c r="H18" i="2" s="1"/>
  <c r="C19" i="2"/>
  <c r="E19" i="2" s="1"/>
  <c r="S19" i="2"/>
  <c r="T19" i="2" s="1"/>
  <c r="P20" i="2"/>
  <c r="Q20" i="2" s="1"/>
  <c r="M21" i="2"/>
  <c r="J22" i="2"/>
  <c r="K22" i="2" s="1"/>
  <c r="G23" i="2"/>
  <c r="D24" i="2"/>
  <c r="R30" i="2"/>
  <c r="O31" i="2"/>
  <c r="L32" i="2"/>
  <c r="N32" i="2" s="1"/>
  <c r="I33" i="2"/>
  <c r="K33" i="2" s="1"/>
  <c r="F34" i="2"/>
  <c r="H34" i="2" s="1"/>
  <c r="C35" i="2"/>
  <c r="E35" i="2" s="1"/>
  <c r="S35" i="2"/>
  <c r="M37" i="2"/>
  <c r="N37" i="2" s="1"/>
  <c r="G39" i="2"/>
  <c r="D40" i="2"/>
  <c r="E40" i="2" s="1"/>
  <c r="R46" i="2"/>
  <c r="O47" i="2"/>
  <c r="L48" i="2"/>
  <c r="N48" i="2" s="1"/>
  <c r="I49" i="2"/>
  <c r="K49" i="2" s="1"/>
  <c r="F50" i="2"/>
  <c r="H50" i="2" s="1"/>
  <c r="C51" i="2"/>
  <c r="E51" i="2" s="1"/>
  <c r="S51" i="2"/>
  <c r="T51" i="2" s="1"/>
  <c r="J4" i="6"/>
  <c r="J21" i="2"/>
  <c r="K21" i="2" s="1"/>
  <c r="S13" i="2"/>
  <c r="T13" i="2" s="1"/>
  <c r="C13" i="1"/>
  <c r="C15" i="1" s="1"/>
  <c r="C17" i="1" s="1"/>
  <c r="N15" i="1" s="1"/>
  <c r="N16" i="1" s="1"/>
  <c r="L11" i="2"/>
  <c r="N11" i="2" s="1"/>
  <c r="I12" i="2"/>
  <c r="K12" i="2" s="1"/>
  <c r="F13" i="2"/>
  <c r="H13" i="2" s="1"/>
  <c r="C14" i="2"/>
  <c r="E14" i="2" s="1"/>
  <c r="S14" i="2"/>
  <c r="T14" i="2" s="1"/>
  <c r="M16" i="2"/>
  <c r="N16" i="2" s="1"/>
  <c r="R25" i="2"/>
  <c r="T25" i="2" s="1"/>
  <c r="O26" i="2"/>
  <c r="Q26" i="2" s="1"/>
  <c r="L27" i="2"/>
  <c r="N27" i="2" s="1"/>
  <c r="I28" i="2"/>
  <c r="K28" i="2" s="1"/>
  <c r="F29" i="2"/>
  <c r="H29" i="2" s="1"/>
  <c r="C30" i="2"/>
  <c r="E30" i="2" s="1"/>
  <c r="S30" i="2"/>
  <c r="T30" i="2" s="1"/>
  <c r="P31" i="2"/>
  <c r="R41" i="2"/>
  <c r="T41" i="2" s="1"/>
  <c r="O42" i="2"/>
  <c r="Q42" i="2" s="1"/>
  <c r="L43" i="2"/>
  <c r="N43" i="2" s="1"/>
  <c r="I44" i="2"/>
  <c r="K44" i="2" s="1"/>
  <c r="F45" i="2"/>
  <c r="H45" i="2" s="1"/>
  <c r="C46" i="2"/>
  <c r="S46" i="2"/>
  <c r="T46" i="2" s="1"/>
  <c r="P47" i="2"/>
  <c r="I27" i="2"/>
  <c r="D13" i="2"/>
  <c r="E13" i="2" s="1"/>
  <c r="L21" i="2"/>
  <c r="J27" i="2"/>
  <c r="C25" i="2"/>
  <c r="E25" i="2" s="1"/>
  <c r="C41" i="2"/>
  <c r="E41" i="2" s="1"/>
  <c r="K11" i="6" l="1"/>
  <c r="J11" i="6"/>
  <c r="I11" i="6"/>
  <c r="K10" i="6"/>
  <c r="J10" i="6"/>
  <c r="I10" i="6"/>
  <c r="K9" i="6"/>
  <c r="J9" i="6"/>
  <c r="I9" i="6"/>
  <c r="N9" i="6" s="1" a="1"/>
  <c r="T45" i="2"/>
  <c r="H27" i="2"/>
  <c r="H39" i="2"/>
  <c r="K15" i="2"/>
  <c r="K46" i="2"/>
  <c r="K37" i="2"/>
  <c r="N45" i="2"/>
  <c r="T35" i="2"/>
  <c r="Q44" i="2"/>
  <c r="C14" i="1"/>
  <c r="C16" i="1" s="1"/>
  <c r="H11" i="2"/>
  <c r="T21" i="2"/>
  <c r="N21" i="1"/>
  <c r="N20" i="1"/>
  <c r="N19" i="1"/>
  <c r="N15" i="2"/>
  <c r="T29" i="2"/>
  <c r="H48" i="2"/>
  <c r="E11" i="2"/>
  <c r="E16" i="2"/>
  <c r="E47" i="2"/>
  <c r="H21" i="2"/>
  <c r="H15" i="2"/>
  <c r="N21" i="2"/>
  <c r="E23" i="2"/>
  <c r="T48" i="2"/>
  <c r="Q43" i="2"/>
  <c r="E24" i="2"/>
  <c r="H16" i="2"/>
  <c r="Q47" i="2"/>
  <c r="Q31" i="2"/>
  <c r="K27" i="2"/>
  <c r="H23" i="2"/>
  <c r="E43" i="2"/>
  <c r="E32" i="2"/>
  <c r="E31" i="2"/>
  <c r="J15" i="1" l="1"/>
  <c r="J16" i="1" s="1"/>
  <c r="N11" i="6"/>
  <c r="N10" i="6"/>
  <c r="N9" i="6"/>
  <c r="J20" i="1" l="1"/>
  <c r="J21" i="1"/>
  <c r="L22" i="1" s="1"/>
  <c r="L23" i="1" s="1"/>
  <c r="L26" i="1" s="1"/>
  <c r="L27" i="1" s="1"/>
  <c r="J19" i="1"/>
  <c r="L24" i="1" l="1"/>
  <c r="L25" i="1" s="1"/>
</calcChain>
</file>

<file path=xl/sharedStrings.xml><?xml version="1.0" encoding="utf-8"?>
<sst xmlns="http://schemas.openxmlformats.org/spreadsheetml/2006/main" count="202" uniqueCount="152">
  <si>
    <t>Slip Angle Calculations</t>
  </si>
  <si>
    <t>Steering Weight Calculations</t>
  </si>
  <si>
    <t>Parameters</t>
  </si>
  <si>
    <t>Symbol</t>
  </si>
  <si>
    <t>Value</t>
  </si>
  <si>
    <t>-</t>
  </si>
  <si>
    <t>Mechanical Trail [m]</t>
  </si>
  <si>
    <t>Car Mass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</si>
  <si>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c</t>
    </r>
  </si>
  <si>
    <t>Steering Arm Length [m]</t>
  </si>
  <si>
    <t>&lt;-- Refer to tyre data using the calculated slip angles</t>
  </si>
  <si>
    <t>Driver Mass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</si>
  <si>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d</t>
    </r>
  </si>
  <si>
    <t>Steering Wheel Radius [m]</t>
  </si>
  <si>
    <t>Aero Downforce [kg]:</t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</si>
  <si>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a</t>
    </r>
  </si>
  <si>
    <t>&lt;- Changed to 0</t>
  </si>
  <si>
    <t>Rack Speed [mm/rev]</t>
  </si>
  <si>
    <t>Weight Dist [% Front]:</t>
  </si>
  <si>
    <t>ρ</t>
  </si>
  <si>
    <r>
      <rPr>
        <sz val="11"/>
        <color theme="1"/>
        <rFont val="Calibri"/>
      </rPr>
      <t>Ideal Steering Angle For Min Radius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</si>
  <si>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CG Height [m]:</t>
  </si>
  <si>
    <t>h</t>
  </si>
  <si>
    <r>
      <rPr>
        <sz val="11"/>
        <color theme="1"/>
        <rFont val="Calibri"/>
      </rPr>
      <t>Rack Angle Limit (Lock-Lock)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</si>
  <si>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Front Track [m]:</t>
  </si>
  <si>
    <r>
      <rPr>
        <sz val="11"/>
        <color theme="1"/>
        <rFont val="Calibri"/>
      </rPr>
      <t>t</t>
    </r>
    <r>
      <rPr>
        <vertAlign val="subscript"/>
        <sz val="11"/>
        <color theme="1"/>
        <rFont val="Calibri"/>
      </rPr>
      <t>f</t>
    </r>
  </si>
  <si>
    <t>Pinion Radius [m]</t>
  </si>
  <si>
    <t>Lateral Acceleration [G]</t>
  </si>
  <si>
    <r>
      <rPr>
        <sz val="11"/>
        <color theme="1"/>
        <rFont val="Calibri"/>
      </rPr>
      <t>A</t>
    </r>
    <r>
      <rPr>
        <vertAlign val="subscript"/>
        <sz val="11"/>
        <color theme="1"/>
        <rFont val="Calibri"/>
      </rPr>
      <t>y</t>
    </r>
  </si>
  <si>
    <t>&lt;- Changed from 1.6 to 0.2</t>
  </si>
  <si>
    <r>
      <rPr>
        <sz val="11"/>
        <color theme="1"/>
        <rFont val="Calibri"/>
      </rPr>
      <t>Rack Position [mm/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</si>
  <si>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Tyre Co-Efficient of Friction</t>
  </si>
  <si>
    <t>Available Rack Travel (per side) [mm]</t>
  </si>
  <si>
    <t>Total Mass [kg]</t>
  </si>
  <si>
    <t>m</t>
  </si>
  <si>
    <t>Rack Travel For Ideal Steering Angle [mm]</t>
  </si>
  <si>
    <t>Weight Transfer [N]</t>
  </si>
  <si>
    <t>Laden Wheel</t>
  </si>
  <si>
    <t>Unladen Wheel</t>
  </si>
  <si>
    <t>Laden Wheel Vertical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</si>
  <si>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zr</t>
    </r>
  </si>
  <si>
    <t>Pneumatic Trail [m]</t>
  </si>
  <si>
    <t>&lt;-- Refer to tyre data using the calculated vertical loads</t>
  </si>
  <si>
    <t>Unladen Wheel Vertical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</si>
  <si>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zl</t>
    </r>
  </si>
  <si>
    <r>
      <rPr>
        <sz val="11"/>
        <color theme="1"/>
        <rFont val="Calibri"/>
      </rPr>
      <t>M</t>
    </r>
    <r>
      <rPr>
        <vertAlign val="subscript"/>
        <sz val="11"/>
        <color theme="1"/>
        <rFont val="Calibri"/>
      </rPr>
      <t>z</t>
    </r>
  </si>
  <si>
    <t>Laden Wheel Lateral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</si>
  <si>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yr</t>
    </r>
  </si>
  <si>
    <t>Tie Rod Force [N]</t>
  </si>
  <si>
    <t>Unladen Wheel Lateral Load [N]</t>
  </si>
  <si>
    <r>
      <rPr>
        <sz val="11"/>
        <color theme="1"/>
        <rFont val="Calibri"/>
      </rPr>
      <t>F</t>
    </r>
    <r>
      <rPr>
        <vertAlign val="subscript"/>
        <sz val="11"/>
        <color theme="1"/>
        <rFont val="Calibri"/>
      </rPr>
      <t>yl</t>
    </r>
  </si>
  <si>
    <r>
      <rPr>
        <sz val="11"/>
        <color theme="1"/>
        <rFont val="Calibri"/>
      </rPr>
      <t>Axial Tie Rod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</si>
  <si>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&lt;--Refer to the 'ackermann steering angles' solidworks model</t>
  </si>
  <si>
    <r>
      <rPr>
        <sz val="11"/>
        <color theme="1"/>
        <rFont val="Calibri"/>
      </rPr>
      <t>Off-Axial Tie Rod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</si>
  <si>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Laden Wheel Slip Angle</t>
  </si>
  <si>
    <t>Rack Longitudinal (Mounting) Force [N]</t>
  </si>
  <si>
    <t>Unladen Wheel Slip Angle</t>
  </si>
  <si>
    <t>Rack Vertical (Mounting) Force [N]</t>
  </si>
  <si>
    <t>Axial Rack Force [N]</t>
  </si>
  <si>
    <t>Total Rack Lateral Force [N]</t>
  </si>
  <si>
    <t>Ackermann Calculations</t>
  </si>
  <si>
    <t xml:space="preserve"> Pinion Torque [Nm]</t>
  </si>
  <si>
    <t>Single Hand Steering Force [N]</t>
  </si>
  <si>
    <t>Minimum Corner Radius [m]</t>
  </si>
  <si>
    <t>&lt;-- Refer to 'ackermann corner' solidworks model</t>
  </si>
  <si>
    <t>Single Hand Mass [kg]</t>
  </si>
  <si>
    <t>Wheelbase [m]</t>
  </si>
  <si>
    <t>Steering Column Force [N}</t>
  </si>
  <si>
    <t>&lt;- Two hands</t>
  </si>
  <si>
    <r>
      <rPr>
        <sz val="11"/>
        <color theme="1"/>
        <rFont val="Calibri"/>
      </rPr>
      <t>Toe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</si>
  <si>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Torque [Nm]</t>
  </si>
  <si>
    <t>?</t>
  </si>
  <si>
    <r>
      <rPr>
        <sz val="11"/>
        <color theme="1"/>
        <rFont val="Calibri"/>
      </rPr>
      <t>Laden Wheel Ackermann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</si>
  <si>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Mz = moment of tyre's contact patch, and the steering axis</t>
  </si>
  <si>
    <r>
      <rPr>
        <sz val="11"/>
        <color theme="1"/>
        <rFont val="Calibri"/>
      </rPr>
      <t>Unladen Wheel Ackermann Angle [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]</t>
    </r>
  </si>
  <si>
    <t>0.7mm Shim for 0.5 deg of toe change (with 80mm steering arm)</t>
  </si>
  <si>
    <t>Required Ackermann [%]</t>
  </si>
  <si>
    <r>
      <rPr>
        <sz val="11"/>
        <color theme="1"/>
        <rFont val="Calibri"/>
      </rPr>
      <t>30</t>
    </r>
    <r>
      <rPr>
        <vertAlign val="superscript"/>
        <sz val="11"/>
        <color theme="1"/>
        <rFont val="Calibri"/>
      </rPr>
      <t>o</t>
    </r>
  </si>
  <si>
    <t>23.86?</t>
  </si>
  <si>
    <t>B_x</t>
  </si>
  <si>
    <t>C_x</t>
  </si>
  <si>
    <t>D_x</t>
  </si>
  <si>
    <t>E_x</t>
  </si>
  <si>
    <t>B_y</t>
  </si>
  <si>
    <t>C_y</t>
  </si>
  <si>
    <t>D_y</t>
  </si>
  <si>
    <t>E_y</t>
  </si>
  <si>
    <t>Tyre:</t>
  </si>
  <si>
    <t>Goodyear - D2704 - 20.0x7.0-13</t>
  </si>
  <si>
    <t>Rim Size:</t>
  </si>
  <si>
    <t>Pressure:</t>
  </si>
  <si>
    <t>Fy Title:</t>
  </si>
  <si>
    <t>Slip Angle [deg]:</t>
  </si>
  <si>
    <t>Slip Angle [rad]:</t>
  </si>
  <si>
    <t>Fy_0</t>
  </si>
  <si>
    <t>G_y</t>
  </si>
  <si>
    <t>Fy</t>
  </si>
  <si>
    <t>OA</t>
  </si>
  <si>
    <t>IA</t>
  </si>
  <si>
    <t>Area</t>
  </si>
  <si>
    <t>Polar Moment of Inertia</t>
  </si>
  <si>
    <t>Torque (Nm)</t>
  </si>
  <si>
    <t>Max Shear Stress (Mpa)</t>
  </si>
  <si>
    <t>Hexagon Tube</t>
  </si>
  <si>
    <t>Increase %</t>
  </si>
  <si>
    <t>OD</t>
  </si>
  <si>
    <t>ID</t>
  </si>
  <si>
    <t>Circular Tube</t>
  </si>
  <si>
    <t>ARB Pin</t>
  </si>
  <si>
    <t>Yield Strength</t>
  </si>
  <si>
    <t>Shear Strength</t>
  </si>
  <si>
    <t>Moment of Inertia</t>
  </si>
  <si>
    <t>Shear Force</t>
  </si>
  <si>
    <t>Q</t>
  </si>
  <si>
    <t>Shear Stress</t>
  </si>
  <si>
    <t>&lt;-Use solver to get this cell to zero by changing ID</t>
  </si>
  <si>
    <t>Tensile Force</t>
  </si>
  <si>
    <t>Grade 8.8 Bolts</t>
  </si>
  <si>
    <t>Stress Area (mm^2)</t>
  </si>
  <si>
    <t>Proof Stress (MPa)</t>
  </si>
  <si>
    <t>Shear Stress (MPa)</t>
  </si>
  <si>
    <t>FOS (Tensile)</t>
  </si>
  <si>
    <t>FOS (Shear)</t>
  </si>
  <si>
    <t>FOS (Combined)</t>
  </si>
  <si>
    <t>M3</t>
  </si>
  <si>
    <t>M4</t>
  </si>
  <si>
    <t>M5</t>
  </si>
  <si>
    <t>M6</t>
  </si>
  <si>
    <t>M8</t>
  </si>
  <si>
    <t>M10</t>
  </si>
  <si>
    <t>Property</t>
  </si>
  <si>
    <t>[mm] / [deg]</t>
  </si>
  <si>
    <t>[rad]</t>
  </si>
  <si>
    <t>Coefficients</t>
  </si>
  <si>
    <t>Theta</t>
  </si>
  <si>
    <t>B1</t>
  </si>
  <si>
    <t>B2</t>
  </si>
  <si>
    <t>R</t>
  </si>
  <si>
    <t>RHS</t>
  </si>
  <si>
    <t>Alpha</t>
  </si>
  <si>
    <t>M</t>
  </si>
  <si>
    <t>B1x</t>
  </si>
  <si>
    <t>Fx</t>
  </si>
  <si>
    <t>B2x</t>
  </si>
  <si>
    <t>B2y</t>
  </si>
  <si>
    <t>Wx</t>
  </si>
  <si>
    <t>Inverse Matrix</t>
  </si>
  <si>
    <t>Solution</t>
  </si>
  <si>
    <t>Wy</t>
  </si>
  <si>
    <t>Support</t>
  </si>
  <si>
    <t>Load [N]:</t>
  </si>
  <si>
    <t>Wheel Load [N]: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</si>
</sst>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"/>
  </numFmts>
  <fonts count="10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vertAlign val="subscript"/>
      <sz val="11"/>
      <color theme="1"/>
      <name val="Calibri"/>
    </font>
    <font>
      <vertAlign val="superscript"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5" fillId="0" borderId="0" xfId="0" applyFont="1"/>
    <xf numFmtId="2" fontId="3" fillId="3" borderId="8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65" fontId="3" fillId="4" borderId="8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7" xfId="0" applyFont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166" fontId="3" fillId="4" borderId="21" xfId="0" applyNumberFormat="1" applyFont="1" applyFill="1" applyBorder="1" applyAlignment="1">
      <alignment horizontal="center"/>
    </xf>
    <xf numFmtId="166" fontId="3" fillId="4" borderId="8" xfId="0" applyNumberFormat="1" applyFont="1" applyFill="1" applyBorder="1" applyAlignment="1">
      <alignment horizontal="center"/>
    </xf>
    <xf numFmtId="166" fontId="3" fillId="4" borderId="12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9" fontId="3" fillId="3" borderId="1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6" borderId="27" xfId="0" applyNumberFormat="1" applyFont="1" applyFill="1" applyBorder="1"/>
    <xf numFmtId="0" fontId="4" fillId="0" borderId="0" xfId="0" applyFont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11" fontId="3" fillId="0" borderId="22" xfId="0" applyNumberFormat="1" applyFont="1" applyBorder="1"/>
    <xf numFmtId="11" fontId="3" fillId="0" borderId="23" xfId="0" applyNumberFormat="1" applyFont="1" applyBorder="1"/>
    <xf numFmtId="0" fontId="3" fillId="0" borderId="23" xfId="0" applyFont="1" applyBorder="1"/>
    <xf numFmtId="11" fontId="3" fillId="6" borderId="27" xfId="0" applyNumberFormat="1" applyFont="1" applyFill="1" applyBorder="1"/>
    <xf numFmtId="0" fontId="4" fillId="0" borderId="28" xfId="0" applyFont="1" applyBorder="1"/>
    <xf numFmtId="0" fontId="3" fillId="0" borderId="29" xfId="0" applyFont="1" applyBorder="1"/>
    <xf numFmtId="0" fontId="3" fillId="0" borderId="1" xfId="0" applyFont="1" applyBorder="1"/>
    <xf numFmtId="1" fontId="3" fillId="0" borderId="29" xfId="0" applyNumberFormat="1" applyFont="1" applyBorder="1"/>
    <xf numFmtId="2" fontId="3" fillId="0" borderId="29" xfId="0" applyNumberFormat="1" applyFont="1" applyBorder="1"/>
    <xf numFmtId="0" fontId="3" fillId="0" borderId="15" xfId="0" applyFont="1" applyBorder="1"/>
    <xf numFmtId="0" fontId="3" fillId="6" borderId="28" xfId="0" applyFont="1" applyFill="1" applyBorder="1"/>
    <xf numFmtId="0" fontId="3" fillId="0" borderId="30" xfId="0" applyFont="1" applyBorder="1"/>
    <xf numFmtId="0" fontId="3" fillId="0" borderId="22" xfId="0" applyFont="1" applyBorder="1"/>
    <xf numFmtId="1" fontId="3" fillId="0" borderId="30" xfId="0" applyNumberFormat="1" applyFont="1" applyBorder="1"/>
    <xf numFmtId="2" fontId="3" fillId="0" borderId="30" xfId="0" applyNumberFormat="1" applyFont="1" applyBorder="1"/>
    <xf numFmtId="0" fontId="3" fillId="0" borderId="1" xfId="0" applyFont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1" fontId="4" fillId="8" borderId="32" xfId="0" applyNumberFormat="1" applyFont="1" applyFill="1" applyBorder="1" applyAlignment="1">
      <alignment horizontal="center"/>
    </xf>
    <xf numFmtId="1" fontId="4" fillId="8" borderId="33" xfId="0" applyNumberFormat="1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1" fontId="3" fillId="0" borderId="33" xfId="0" applyNumberFormat="1" applyFont="1" applyBorder="1"/>
    <xf numFmtId="0" fontId="3" fillId="6" borderId="30" xfId="0" applyFont="1" applyFill="1" applyBorder="1"/>
    <xf numFmtId="0" fontId="3" fillId="0" borderId="32" xfId="0" applyFont="1" applyBorder="1"/>
    <xf numFmtId="0" fontId="3" fillId="0" borderId="33" xfId="0" applyFont="1" applyBorder="1"/>
    <xf numFmtId="2" fontId="3" fillId="0" borderId="31" xfId="0" applyNumberFormat="1" applyFont="1" applyBorder="1" applyAlignment="1">
      <alignment horizontal="center"/>
    </xf>
    <xf numFmtId="0" fontId="3" fillId="0" borderId="31" xfId="0" applyFont="1" applyBorder="1"/>
    <xf numFmtId="2" fontId="3" fillId="0" borderId="32" xfId="0" applyNumberFormat="1" applyFont="1" applyBorder="1" applyAlignment="1">
      <alignment horizontal="center"/>
    </xf>
    <xf numFmtId="2" fontId="3" fillId="0" borderId="33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3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0" xfId="0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20" xfId="0" applyFont="1" applyBorder="1" applyAlignment="1"/>
    <xf numFmtId="0" fontId="2" fillId="0" borderId="26" xfId="0" applyFont="1" applyBorder="1" applyAlignment="1"/>
    <xf numFmtId="0" fontId="2" fillId="0" borderId="25" xfId="0" applyFont="1" applyBorder="1" applyAlignment="1"/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Fy vs. Sa - Goodyear - D2704 - 20.0x7.0-13 8 Rim (12psi)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200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Graphs'!$E$11:$E$51</c:f>
              <c:numCache>
                <c:formatCode>General</c:formatCode>
                <c:ptCount val="41"/>
                <c:pt idx="0">
                  <c:v>225.18370166580635</c:v>
                </c:pt>
                <c:pt idx="1">
                  <c:v>236.92189302329635</c:v>
                </c:pt>
                <c:pt idx="2">
                  <c:v>248.85140034564199</c:v>
                </c:pt>
                <c:pt idx="3">
                  <c:v>260.85987017460224</c:v>
                </c:pt>
                <c:pt idx="4">
                  <c:v>272.79135834402746</c:v>
                </c:pt>
                <c:pt idx="5">
                  <c:v>284.43345103776062</c:v>
                </c:pt>
                <c:pt idx="6">
                  <c:v>295.50141649357613</c:v>
                </c:pt>
                <c:pt idx="7">
                  <c:v>305.61927047486063</c:v>
                </c:pt>
                <c:pt idx="8">
                  <c:v>314.29815943186134</c:v>
                </c:pt>
                <c:pt idx="9">
                  <c:v>320.91347358307445</c:v>
                </c:pt>
                <c:pt idx="10">
                  <c:v>324.68386998704983</c:v>
                </c:pt>
                <c:pt idx="11">
                  <c:v>324.6582201836913</c:v>
                </c:pt>
                <c:pt idx="12">
                  <c:v>319.72058702776451</c:v>
                </c:pt>
                <c:pt idx="13">
                  <c:v>308.62836637152321</c:v>
                </c:pt>
                <c:pt idx="14">
                  <c:v>290.10313998800586</c:v>
                </c:pt>
                <c:pt idx="15">
                  <c:v>262.99373218690624</c:v>
                </c:pt>
                <c:pt idx="16">
                  <c:v>226.51975685067524</c:v>
                </c:pt>
                <c:pt idx="17">
                  <c:v>180.57412052512385</c:v>
                </c:pt>
                <c:pt idx="18">
                  <c:v>126.01396698730407</c:v>
                </c:pt>
                <c:pt idx="19">
                  <c:v>64.82032244399602</c:v>
                </c:pt>
                <c:pt idx="20">
                  <c:v>0</c:v>
                </c:pt>
                <c:pt idx="21">
                  <c:v>-64.82032244399602</c:v>
                </c:pt>
                <c:pt idx="22">
                  <c:v>-126.01396698730407</c:v>
                </c:pt>
                <c:pt idx="23">
                  <c:v>-180.57412052512385</c:v>
                </c:pt>
                <c:pt idx="24">
                  <c:v>-226.51975685067524</c:v>
                </c:pt>
                <c:pt idx="25">
                  <c:v>-262.99373218690624</c:v>
                </c:pt>
                <c:pt idx="26">
                  <c:v>-290.10313998800586</c:v>
                </c:pt>
                <c:pt idx="27">
                  <c:v>-308.62836637152321</c:v>
                </c:pt>
                <c:pt idx="28">
                  <c:v>-319.72058702776451</c:v>
                </c:pt>
                <c:pt idx="29">
                  <c:v>-324.6582201836913</c:v>
                </c:pt>
                <c:pt idx="30">
                  <c:v>-324.68386998704983</c:v>
                </c:pt>
                <c:pt idx="31">
                  <c:v>-320.91347358307445</c:v>
                </c:pt>
                <c:pt idx="32">
                  <c:v>-314.29815943186134</c:v>
                </c:pt>
                <c:pt idx="33">
                  <c:v>-305.61927047486063</c:v>
                </c:pt>
                <c:pt idx="34">
                  <c:v>-295.50141649357613</c:v>
                </c:pt>
                <c:pt idx="35">
                  <c:v>-284.43345103776062</c:v>
                </c:pt>
                <c:pt idx="36">
                  <c:v>-272.79135834402746</c:v>
                </c:pt>
                <c:pt idx="37">
                  <c:v>-260.85987017460224</c:v>
                </c:pt>
                <c:pt idx="38">
                  <c:v>-248.85140034564199</c:v>
                </c:pt>
                <c:pt idx="39">
                  <c:v>-236.92189302329635</c:v>
                </c:pt>
                <c:pt idx="40">
                  <c:v>-225.18370166580635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6-4B97-8421-3EC152082466}"/>
            </c:ext>
          </c:extLst>
        </c:ser>
        <c:ser>
          <c:idx val="1"/>
          <c:order val="1"/>
          <c:tx>
            <c:v>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Graphs'!$H$11:$H$51</c:f>
              <c:numCache>
                <c:formatCode>General</c:formatCode>
                <c:ptCount val="41"/>
                <c:pt idx="0">
                  <c:v>450.36740333161271</c:v>
                </c:pt>
                <c:pt idx="1">
                  <c:v>473.8437860465927</c:v>
                </c:pt>
                <c:pt idx="2">
                  <c:v>497.70280069128398</c:v>
                </c:pt>
                <c:pt idx="3">
                  <c:v>521.71974034920447</c:v>
                </c:pt>
                <c:pt idx="4">
                  <c:v>545.58271668805492</c:v>
                </c:pt>
                <c:pt idx="5">
                  <c:v>568.86690207552124</c:v>
                </c:pt>
                <c:pt idx="6">
                  <c:v>591.00283298715226</c:v>
                </c:pt>
                <c:pt idx="7">
                  <c:v>611.23854094972125</c:v>
                </c:pt>
                <c:pt idx="8">
                  <c:v>628.59631886372267</c:v>
                </c:pt>
                <c:pt idx="9">
                  <c:v>641.8269471661489</c:v>
                </c:pt>
                <c:pt idx="10">
                  <c:v>649.36773997409966</c:v>
                </c:pt>
                <c:pt idx="11">
                  <c:v>649.3164403673826</c:v>
                </c:pt>
                <c:pt idx="12">
                  <c:v>639.44117405552902</c:v>
                </c:pt>
                <c:pt idx="13">
                  <c:v>617.25673274304643</c:v>
                </c:pt>
                <c:pt idx="14">
                  <c:v>580.20627997601173</c:v>
                </c:pt>
                <c:pt idx="15">
                  <c:v>525.98746437381249</c:v>
                </c:pt>
                <c:pt idx="16">
                  <c:v>453.03951370135047</c:v>
                </c:pt>
                <c:pt idx="17">
                  <c:v>361.14824105024769</c:v>
                </c:pt>
                <c:pt idx="18">
                  <c:v>252.02793397460815</c:v>
                </c:pt>
                <c:pt idx="19">
                  <c:v>129.64064488799204</c:v>
                </c:pt>
                <c:pt idx="20">
                  <c:v>0</c:v>
                </c:pt>
                <c:pt idx="21">
                  <c:v>-129.64064488799204</c:v>
                </c:pt>
                <c:pt idx="22">
                  <c:v>-252.02793397460815</c:v>
                </c:pt>
                <c:pt idx="23">
                  <c:v>-361.14824105024769</c:v>
                </c:pt>
                <c:pt idx="24">
                  <c:v>-453.03951370135047</c:v>
                </c:pt>
                <c:pt idx="25">
                  <c:v>-525.98746437381249</c:v>
                </c:pt>
                <c:pt idx="26">
                  <c:v>-580.20627997601173</c:v>
                </c:pt>
                <c:pt idx="27">
                  <c:v>-617.25673274304643</c:v>
                </c:pt>
                <c:pt idx="28">
                  <c:v>-639.44117405552902</c:v>
                </c:pt>
                <c:pt idx="29">
                  <c:v>-649.3164403673826</c:v>
                </c:pt>
                <c:pt idx="30">
                  <c:v>-649.36773997409966</c:v>
                </c:pt>
                <c:pt idx="31">
                  <c:v>-641.8269471661489</c:v>
                </c:pt>
                <c:pt idx="32">
                  <c:v>-628.59631886372267</c:v>
                </c:pt>
                <c:pt idx="33">
                  <c:v>-611.23854094972125</c:v>
                </c:pt>
                <c:pt idx="34">
                  <c:v>-591.00283298715226</c:v>
                </c:pt>
                <c:pt idx="35">
                  <c:v>-568.86690207552124</c:v>
                </c:pt>
                <c:pt idx="36">
                  <c:v>-545.58271668805492</c:v>
                </c:pt>
                <c:pt idx="37">
                  <c:v>-521.71974034920447</c:v>
                </c:pt>
                <c:pt idx="38">
                  <c:v>-497.70280069128398</c:v>
                </c:pt>
                <c:pt idx="39">
                  <c:v>-473.8437860465927</c:v>
                </c:pt>
                <c:pt idx="40">
                  <c:v>-450.36740333161271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06-4B97-8421-3EC152082466}"/>
            </c:ext>
          </c:extLst>
        </c:ser>
        <c:ser>
          <c:idx val="2"/>
          <c:order val="2"/>
          <c:tx>
            <c:v>600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Graphs'!$K$11:$K$51</c:f>
              <c:numCache>
                <c:formatCode>General</c:formatCode>
                <c:ptCount val="41"/>
                <c:pt idx="0">
                  <c:v>675.55110499741909</c:v>
                </c:pt>
                <c:pt idx="1">
                  <c:v>710.76567906988907</c:v>
                </c:pt>
                <c:pt idx="2">
                  <c:v>746.55420103692597</c:v>
                </c:pt>
                <c:pt idx="3">
                  <c:v>782.57961052380665</c:v>
                </c:pt>
                <c:pt idx="4">
                  <c:v>818.37407503208237</c:v>
                </c:pt>
                <c:pt idx="5">
                  <c:v>853.30035311328197</c:v>
                </c:pt>
                <c:pt idx="6">
                  <c:v>886.50424948072828</c:v>
                </c:pt>
                <c:pt idx="7">
                  <c:v>916.85781142458188</c:v>
                </c:pt>
                <c:pt idx="8">
                  <c:v>942.89447829558401</c:v>
                </c:pt>
                <c:pt idx="9">
                  <c:v>962.74042074922329</c:v>
                </c:pt>
                <c:pt idx="10">
                  <c:v>974.05160996114967</c:v>
                </c:pt>
                <c:pt idx="11">
                  <c:v>973.97466055107395</c:v>
                </c:pt>
                <c:pt idx="12">
                  <c:v>959.16176108329353</c:v>
                </c:pt>
                <c:pt idx="13">
                  <c:v>925.8850991145697</c:v>
                </c:pt>
                <c:pt idx="14">
                  <c:v>870.30941996401748</c:v>
                </c:pt>
                <c:pt idx="15">
                  <c:v>788.98119656071867</c:v>
                </c:pt>
                <c:pt idx="16">
                  <c:v>679.55927055202574</c:v>
                </c:pt>
                <c:pt idx="17">
                  <c:v>541.72236157537156</c:v>
                </c:pt>
                <c:pt idx="18">
                  <c:v>378.04190096191218</c:v>
                </c:pt>
                <c:pt idx="19">
                  <c:v>194.46096733198806</c:v>
                </c:pt>
                <c:pt idx="20">
                  <c:v>0</c:v>
                </c:pt>
                <c:pt idx="21">
                  <c:v>-194.46096733198806</c:v>
                </c:pt>
                <c:pt idx="22">
                  <c:v>-378.04190096191218</c:v>
                </c:pt>
                <c:pt idx="23">
                  <c:v>-541.72236157537156</c:v>
                </c:pt>
                <c:pt idx="24">
                  <c:v>-679.55927055202574</c:v>
                </c:pt>
                <c:pt idx="25">
                  <c:v>-788.98119656071867</c:v>
                </c:pt>
                <c:pt idx="26">
                  <c:v>-870.30941996401748</c:v>
                </c:pt>
                <c:pt idx="27">
                  <c:v>-925.8850991145697</c:v>
                </c:pt>
                <c:pt idx="28">
                  <c:v>-959.16176108329353</c:v>
                </c:pt>
                <c:pt idx="29">
                  <c:v>-973.97466055107395</c:v>
                </c:pt>
                <c:pt idx="30">
                  <c:v>-974.05160996114967</c:v>
                </c:pt>
                <c:pt idx="31">
                  <c:v>-962.74042074922329</c:v>
                </c:pt>
                <c:pt idx="32">
                  <c:v>-942.89447829558401</c:v>
                </c:pt>
                <c:pt idx="33">
                  <c:v>-916.85781142458188</c:v>
                </c:pt>
                <c:pt idx="34">
                  <c:v>-886.50424948072828</c:v>
                </c:pt>
                <c:pt idx="35">
                  <c:v>-853.30035311328197</c:v>
                </c:pt>
                <c:pt idx="36">
                  <c:v>-818.37407503208237</c:v>
                </c:pt>
                <c:pt idx="37">
                  <c:v>-782.57961052380665</c:v>
                </c:pt>
                <c:pt idx="38">
                  <c:v>-746.55420103692597</c:v>
                </c:pt>
                <c:pt idx="39">
                  <c:v>-710.76567906988907</c:v>
                </c:pt>
                <c:pt idx="40">
                  <c:v>-675.55110499741909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06-4B97-8421-3EC152082466}"/>
            </c:ext>
          </c:extLst>
        </c:ser>
        <c:ser>
          <c:idx val="3"/>
          <c:order val="3"/>
          <c:tx>
            <c:v>800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Graphs'!$N$11:$N$51</c:f>
              <c:numCache>
                <c:formatCode>General</c:formatCode>
                <c:ptCount val="41"/>
                <c:pt idx="0">
                  <c:v>900.73480666322541</c:v>
                </c:pt>
                <c:pt idx="1">
                  <c:v>947.68757209318539</c:v>
                </c:pt>
                <c:pt idx="2">
                  <c:v>995.40560138256797</c:v>
                </c:pt>
                <c:pt idx="3">
                  <c:v>1043.4394806984089</c:v>
                </c:pt>
                <c:pt idx="4">
                  <c:v>1091.1654333761098</c:v>
                </c:pt>
                <c:pt idx="5">
                  <c:v>1137.7338041510425</c:v>
                </c:pt>
                <c:pt idx="6">
                  <c:v>1182.0056659743045</c:v>
                </c:pt>
                <c:pt idx="7">
                  <c:v>1222.4770818994425</c:v>
                </c:pt>
                <c:pt idx="8">
                  <c:v>1257.1926377274453</c:v>
                </c:pt>
                <c:pt idx="9">
                  <c:v>1283.6538943322978</c:v>
                </c:pt>
                <c:pt idx="10">
                  <c:v>1298.7354799481993</c:v>
                </c:pt>
                <c:pt idx="11">
                  <c:v>1298.6328807347652</c:v>
                </c:pt>
                <c:pt idx="12">
                  <c:v>1278.882348111058</c:v>
                </c:pt>
                <c:pt idx="13">
                  <c:v>1234.5134654860929</c:v>
                </c:pt>
                <c:pt idx="14">
                  <c:v>1160.4125599520235</c:v>
                </c:pt>
                <c:pt idx="15">
                  <c:v>1051.974928747625</c:v>
                </c:pt>
                <c:pt idx="16">
                  <c:v>906.07902740270094</c:v>
                </c:pt>
                <c:pt idx="17">
                  <c:v>722.29648210049538</c:v>
                </c:pt>
                <c:pt idx="18">
                  <c:v>504.05586794921629</c:v>
                </c:pt>
                <c:pt idx="19">
                  <c:v>259.28128977598408</c:v>
                </c:pt>
                <c:pt idx="20">
                  <c:v>0</c:v>
                </c:pt>
                <c:pt idx="21">
                  <c:v>-259.28128977598408</c:v>
                </c:pt>
                <c:pt idx="22">
                  <c:v>-504.05586794921629</c:v>
                </c:pt>
                <c:pt idx="23">
                  <c:v>-722.29648210049538</c:v>
                </c:pt>
                <c:pt idx="24">
                  <c:v>-906.07902740270094</c:v>
                </c:pt>
                <c:pt idx="25">
                  <c:v>-1051.974928747625</c:v>
                </c:pt>
                <c:pt idx="26">
                  <c:v>-1160.4125599520235</c:v>
                </c:pt>
                <c:pt idx="27">
                  <c:v>-1234.5134654860929</c:v>
                </c:pt>
                <c:pt idx="28">
                  <c:v>-1278.882348111058</c:v>
                </c:pt>
                <c:pt idx="29">
                  <c:v>-1298.6328807347652</c:v>
                </c:pt>
                <c:pt idx="30">
                  <c:v>-1298.7354799481993</c:v>
                </c:pt>
                <c:pt idx="31">
                  <c:v>-1283.6538943322978</c:v>
                </c:pt>
                <c:pt idx="32">
                  <c:v>-1257.1926377274453</c:v>
                </c:pt>
                <c:pt idx="33">
                  <c:v>-1222.4770818994425</c:v>
                </c:pt>
                <c:pt idx="34">
                  <c:v>-1182.0056659743045</c:v>
                </c:pt>
                <c:pt idx="35">
                  <c:v>-1137.7338041510425</c:v>
                </c:pt>
                <c:pt idx="36">
                  <c:v>-1091.1654333761098</c:v>
                </c:pt>
                <c:pt idx="37">
                  <c:v>-1043.4394806984089</c:v>
                </c:pt>
                <c:pt idx="38">
                  <c:v>-995.40560138256797</c:v>
                </c:pt>
                <c:pt idx="39">
                  <c:v>-947.68757209318539</c:v>
                </c:pt>
                <c:pt idx="40">
                  <c:v>-900.73480666322541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06-4B97-8421-3EC152082466}"/>
            </c:ext>
          </c:extLst>
        </c:ser>
        <c:ser>
          <c:idx val="4"/>
          <c:order val="4"/>
          <c:tx>
            <c:v>1000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Graphs'!$Q$11:$Q$51</c:f>
              <c:numCache>
                <c:formatCode>General</c:formatCode>
                <c:ptCount val="41"/>
                <c:pt idx="0">
                  <c:v>1125.918508329032</c:v>
                </c:pt>
                <c:pt idx="1">
                  <c:v>1184.6094651164819</c:v>
                </c:pt>
                <c:pt idx="2">
                  <c:v>1244.2570017282101</c:v>
                </c:pt>
                <c:pt idx="3">
                  <c:v>1304.2993508730112</c:v>
                </c:pt>
                <c:pt idx="4">
                  <c:v>1363.9567917201375</c:v>
                </c:pt>
                <c:pt idx="5">
                  <c:v>1422.1672551888034</c:v>
                </c:pt>
                <c:pt idx="6">
                  <c:v>1477.5070824678808</c:v>
                </c:pt>
                <c:pt idx="7">
                  <c:v>1528.0963523743035</c:v>
                </c:pt>
                <c:pt idx="8">
                  <c:v>1571.490797159307</c:v>
                </c:pt>
                <c:pt idx="9">
                  <c:v>1604.5673679153722</c:v>
                </c:pt>
                <c:pt idx="10">
                  <c:v>1623.4193499352496</c:v>
                </c:pt>
                <c:pt idx="11">
                  <c:v>1623.2911009184566</c:v>
                </c:pt>
                <c:pt idx="12">
                  <c:v>1598.6029351388227</c:v>
                </c:pt>
                <c:pt idx="13">
                  <c:v>1543.1418318576164</c:v>
                </c:pt>
                <c:pt idx="14">
                  <c:v>1450.5156999400294</c:v>
                </c:pt>
                <c:pt idx="15">
                  <c:v>1314.968660934531</c:v>
                </c:pt>
                <c:pt idx="16">
                  <c:v>1132.5987842533764</c:v>
                </c:pt>
                <c:pt idx="17">
                  <c:v>902.87060262561943</c:v>
                </c:pt>
                <c:pt idx="18">
                  <c:v>630.06983493652046</c:v>
                </c:pt>
                <c:pt idx="19">
                  <c:v>324.10161221998015</c:v>
                </c:pt>
                <c:pt idx="20">
                  <c:v>0</c:v>
                </c:pt>
                <c:pt idx="21">
                  <c:v>-324.10161221998015</c:v>
                </c:pt>
                <c:pt idx="22">
                  <c:v>-630.06983493652046</c:v>
                </c:pt>
                <c:pt idx="23">
                  <c:v>-902.87060262561943</c:v>
                </c:pt>
                <c:pt idx="24">
                  <c:v>-1132.5987842533764</c:v>
                </c:pt>
                <c:pt idx="25">
                  <c:v>-1314.968660934531</c:v>
                </c:pt>
                <c:pt idx="26">
                  <c:v>-1450.5156999400294</c:v>
                </c:pt>
                <c:pt idx="27">
                  <c:v>-1543.1418318576164</c:v>
                </c:pt>
                <c:pt idx="28">
                  <c:v>-1598.6029351388227</c:v>
                </c:pt>
                <c:pt idx="29">
                  <c:v>-1623.2911009184566</c:v>
                </c:pt>
                <c:pt idx="30">
                  <c:v>-1623.4193499352496</c:v>
                </c:pt>
                <c:pt idx="31">
                  <c:v>-1604.5673679153722</c:v>
                </c:pt>
                <c:pt idx="32">
                  <c:v>-1571.490797159307</c:v>
                </c:pt>
                <c:pt idx="33">
                  <c:v>-1528.0963523743035</c:v>
                </c:pt>
                <c:pt idx="34">
                  <c:v>-1477.5070824678808</c:v>
                </c:pt>
                <c:pt idx="35">
                  <c:v>-1422.1672551888034</c:v>
                </c:pt>
                <c:pt idx="36">
                  <c:v>-1363.9567917201375</c:v>
                </c:pt>
                <c:pt idx="37">
                  <c:v>-1304.2993508730112</c:v>
                </c:pt>
                <c:pt idx="38">
                  <c:v>-1244.2570017282101</c:v>
                </c:pt>
                <c:pt idx="39">
                  <c:v>-1184.6094651164819</c:v>
                </c:pt>
                <c:pt idx="40">
                  <c:v>-1125.918508329032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06-4B97-8421-3EC152082466}"/>
            </c:ext>
          </c:extLst>
        </c:ser>
        <c:ser>
          <c:idx val="5"/>
          <c:order val="5"/>
          <c:tx>
            <c:v>1300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'Fy Pacejka Graphs'!$A$11:$A$51</c:f>
              <c:numCache>
                <c:formatCode>0.00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'Fy Pacejka Graphs'!$T$11:$T$51</c:f>
              <c:numCache>
                <c:formatCode>General</c:formatCode>
                <c:ptCount val="41"/>
                <c:pt idx="0">
                  <c:v>1463.6940608277414</c:v>
                </c:pt>
                <c:pt idx="1">
                  <c:v>1539.9923046514264</c:v>
                </c:pt>
                <c:pt idx="2">
                  <c:v>1617.534102246673</c:v>
                </c:pt>
                <c:pt idx="3">
                  <c:v>1695.5891561349147</c:v>
                </c:pt>
                <c:pt idx="4">
                  <c:v>1773.1438292361786</c:v>
                </c:pt>
                <c:pt idx="5">
                  <c:v>1848.8174317454443</c:v>
                </c:pt>
                <c:pt idx="6">
                  <c:v>1920.7592072082448</c:v>
                </c:pt>
                <c:pt idx="7">
                  <c:v>1986.5252580865942</c:v>
                </c:pt>
                <c:pt idx="8">
                  <c:v>2042.9380363070989</c:v>
                </c:pt>
                <c:pt idx="9">
                  <c:v>2085.9375782899842</c:v>
                </c:pt>
                <c:pt idx="10">
                  <c:v>2110.4451549158243</c:v>
                </c:pt>
                <c:pt idx="11">
                  <c:v>2110.2784311939936</c:v>
                </c:pt>
                <c:pt idx="12">
                  <c:v>2078.1838156804693</c:v>
                </c:pt>
                <c:pt idx="13">
                  <c:v>2006.0843814149011</c:v>
                </c:pt>
                <c:pt idx="14">
                  <c:v>1885.6704099220383</c:v>
                </c:pt>
                <c:pt idx="15">
                  <c:v>1709.4592592148904</c:v>
                </c:pt>
                <c:pt idx="16">
                  <c:v>1472.378419529389</c:v>
                </c:pt>
                <c:pt idx="17">
                  <c:v>1173.731783413305</c:v>
                </c:pt>
                <c:pt idx="18">
                  <c:v>819.09078541747658</c:v>
                </c:pt>
                <c:pt idx="19">
                  <c:v>421.33209588597413</c:v>
                </c:pt>
                <c:pt idx="20">
                  <c:v>0</c:v>
                </c:pt>
                <c:pt idx="21">
                  <c:v>-421.33209588597413</c:v>
                </c:pt>
                <c:pt idx="22">
                  <c:v>-819.09078541747658</c:v>
                </c:pt>
                <c:pt idx="23">
                  <c:v>-1173.731783413305</c:v>
                </c:pt>
                <c:pt idx="24">
                  <c:v>-1472.378419529389</c:v>
                </c:pt>
                <c:pt idx="25">
                  <c:v>-1709.4592592148904</c:v>
                </c:pt>
                <c:pt idx="26">
                  <c:v>-1885.6704099220383</c:v>
                </c:pt>
                <c:pt idx="27">
                  <c:v>-2006.0843814149011</c:v>
                </c:pt>
                <c:pt idx="28">
                  <c:v>-2078.1838156804693</c:v>
                </c:pt>
                <c:pt idx="29">
                  <c:v>-2110.2784311939936</c:v>
                </c:pt>
                <c:pt idx="30">
                  <c:v>-2110.4451549158243</c:v>
                </c:pt>
                <c:pt idx="31">
                  <c:v>-2085.9375782899842</c:v>
                </c:pt>
                <c:pt idx="32">
                  <c:v>-2042.9380363070989</c:v>
                </c:pt>
                <c:pt idx="33">
                  <c:v>-1986.5252580865942</c:v>
                </c:pt>
                <c:pt idx="34">
                  <c:v>-1920.7592072082448</c:v>
                </c:pt>
                <c:pt idx="35">
                  <c:v>-1848.8174317454443</c:v>
                </c:pt>
                <c:pt idx="36">
                  <c:v>-1773.1438292361786</c:v>
                </c:pt>
                <c:pt idx="37">
                  <c:v>-1695.5891561349147</c:v>
                </c:pt>
                <c:pt idx="38">
                  <c:v>-1617.534102246673</c:v>
                </c:pt>
                <c:pt idx="39">
                  <c:v>-1539.9923046514264</c:v>
                </c:pt>
                <c:pt idx="40">
                  <c:v>-1463.6940608277414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06-4B97-8421-3EC15208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767488"/>
        <c:axId val="521070213"/>
      </c:scatterChart>
      <c:valAx>
        <c:axId val="1238767488"/>
        <c:scaling>
          <c:orientation val="minMax"/>
          <c:max val="1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chemeClr val="dk1"/>
                    </a:solidFill>
                    <a:latin typeface="+mn-lt"/>
                  </a:rPr>
                  <a:t>Slip Angle [deg]: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521070213"/>
        <c:crosses val="autoZero"/>
        <c:crossBetween val="midCat"/>
      </c:valAx>
      <c:valAx>
        <c:axId val="521070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chemeClr val="dk1"/>
                    </a:solidFill>
                    <a:latin typeface="+mn-lt"/>
                  </a:rPr>
                  <a:t>Lateral Force [N]: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23876748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180975</xdr:colOff>
      <xdr:row>0</xdr:row>
      <xdr:rowOff>38100</xdr:rowOff>
    </xdr:from>
    <xdr:ext cx="6067425" cy="4476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133350</xdr:colOff>
      <xdr:row>24</xdr:row>
      <xdr:rowOff>9525</xdr:rowOff>
    </xdr:from>
    <xdr:ext cx="4467225" cy="19431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114300</xdr:colOff>
      <xdr:row>34</xdr:row>
      <xdr:rowOff>57150</xdr:rowOff>
    </xdr:from>
    <xdr:ext cx="6934200" cy="299085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51</xdr:row>
      <xdr:rowOff>38100</xdr:rowOff>
    </xdr:from>
    <xdr:ext cx="13335000" cy="5705475"/>
    <xdr:graphicFrame macro="">
      <xdr:nvGraphicFramePr>
        <xdr:cNvPr id="650182469" name="Chart 1">
          <a:extLst>
            <a:ext uri="{FF2B5EF4-FFF2-40B4-BE49-F238E27FC236}">
              <a16:creationId xmlns:a16="http://schemas.microsoft.com/office/drawing/2014/main" id="{00000000-0008-0000-0100-000045FFC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0" zoomScaleNormal="110" workbookViewId="0">
      <selection activeCell="D17" sqref="D17"/>
    </sheetView>
  </sheetViews>
  <sheetFormatPr defaultColWidth="14.42578125" defaultRowHeight="15" customHeight="1"/>
  <cols>
    <col min="1" max="1" width="30.140625" customWidth="1"/>
    <col min="2" max="2" width="11.140625" customWidth="1"/>
    <col min="3" max="3" width="8.7109375" customWidth="1"/>
    <col min="4" max="5" width="8.85546875" customWidth="1"/>
    <col min="6" max="7" width="8.7109375" customWidth="1"/>
    <col min="8" max="8" width="11.140625" customWidth="1"/>
    <col min="9" max="9" width="31.7109375" customWidth="1"/>
    <col min="10" max="10" width="8.85546875" customWidth="1"/>
    <col min="11" max="11" width="33.5703125" customWidth="1"/>
    <col min="12" max="12" width="9.140625" customWidth="1"/>
    <col min="13" max="13" width="31.7109375" customWidth="1"/>
    <col min="14" max="14" width="8.7109375" customWidth="1"/>
    <col min="15" max="15" width="10.28515625" customWidth="1"/>
    <col min="16" max="31" width="8.7109375" customWidth="1"/>
  </cols>
  <sheetData>
    <row r="1" spans="1:15" ht="14.25" customHeight="1">
      <c r="A1" s="91" t="s">
        <v>0</v>
      </c>
      <c r="B1" s="102"/>
      <c r="C1" s="103"/>
      <c r="I1" s="1"/>
      <c r="J1" s="1"/>
      <c r="K1" s="91" t="s">
        <v>1</v>
      </c>
      <c r="L1" s="103"/>
      <c r="M1" s="1"/>
      <c r="N1" s="1"/>
      <c r="O1" s="1"/>
    </row>
    <row r="2" spans="1:15" ht="14.25" customHeight="1">
      <c r="A2" s="104"/>
      <c r="B2" s="105"/>
      <c r="C2" s="106"/>
      <c r="I2" s="1"/>
      <c r="J2" s="1"/>
      <c r="K2" s="104"/>
      <c r="L2" s="106"/>
      <c r="M2" s="1"/>
      <c r="N2" s="1"/>
      <c r="O2" s="1"/>
    </row>
    <row r="3" spans="1:15" ht="14.25" customHeight="1">
      <c r="A3" s="2" t="s">
        <v>2</v>
      </c>
      <c r="B3" s="3" t="s">
        <v>3</v>
      </c>
      <c r="C3" s="4" t="s">
        <v>4</v>
      </c>
      <c r="I3" s="1"/>
      <c r="J3" s="1" t="s">
        <v>5</v>
      </c>
      <c r="K3" s="5" t="s">
        <v>6</v>
      </c>
      <c r="L3" s="6">
        <v>5.0000000000000001E-3</v>
      </c>
      <c r="M3" s="1"/>
      <c r="N3" s="1"/>
      <c r="O3" s="1"/>
    </row>
    <row r="4" spans="1:15" ht="16.5" customHeight="1">
      <c r="A4" s="5" t="s">
        <v>7</v>
      </c>
      <c r="B4" s="7" t="s">
        <v>8</v>
      </c>
      <c r="C4" s="6">
        <v>240</v>
      </c>
      <c r="I4" s="1"/>
      <c r="J4" s="1"/>
      <c r="K4" s="5" t="s">
        <v>9</v>
      </c>
      <c r="L4" s="6">
        <v>0.06</v>
      </c>
      <c r="M4" s="92" t="s">
        <v>10</v>
      </c>
      <c r="N4" s="8"/>
      <c r="O4" s="8"/>
    </row>
    <row r="5" spans="1:15" ht="14.25" customHeight="1">
      <c r="A5" s="5" t="s">
        <v>11</v>
      </c>
      <c r="B5" s="7" t="s">
        <v>12</v>
      </c>
      <c r="C5" s="6">
        <v>75</v>
      </c>
      <c r="H5" s="9">
        <f>50/L9</f>
        <v>3574.053075756306</v>
      </c>
      <c r="I5" s="1"/>
      <c r="J5" s="1"/>
      <c r="K5" s="5" t="s">
        <v>13</v>
      </c>
      <c r="L5" s="10">
        <f>0.26/2</f>
        <v>0.13</v>
      </c>
      <c r="M5" s="107"/>
      <c r="N5" s="8"/>
      <c r="O5" s="8"/>
    </row>
    <row r="6" spans="1:15" ht="16.5" customHeight="1">
      <c r="A6" s="5" t="s">
        <v>14</v>
      </c>
      <c r="B6" s="7" t="s">
        <v>15</v>
      </c>
      <c r="C6" s="6">
        <v>0</v>
      </c>
      <c r="D6" s="88"/>
      <c r="E6" t="s">
        <v>16</v>
      </c>
      <c r="I6" s="1"/>
      <c r="J6" s="1"/>
      <c r="K6" s="5" t="s">
        <v>17</v>
      </c>
      <c r="L6" s="6">
        <v>87.9</v>
      </c>
      <c r="M6" s="1"/>
      <c r="N6" s="1"/>
      <c r="O6" s="1"/>
    </row>
    <row r="7" spans="1:15" ht="14.25" customHeight="1">
      <c r="A7" s="5" t="s">
        <v>18</v>
      </c>
      <c r="B7" s="7" t="s">
        <v>19</v>
      </c>
      <c r="C7" s="6">
        <v>0.55000000000000004</v>
      </c>
      <c r="I7" s="1"/>
      <c r="J7" s="1"/>
      <c r="K7" s="5" t="s">
        <v>20</v>
      </c>
      <c r="L7" s="6">
        <v>110</v>
      </c>
      <c r="M7" s="1"/>
      <c r="N7" s="1"/>
      <c r="O7" s="1"/>
    </row>
    <row r="8" spans="1:15" ht="14.25" customHeight="1">
      <c r="A8" s="5" t="s">
        <v>21</v>
      </c>
      <c r="B8" s="7" t="s">
        <v>22</v>
      </c>
      <c r="C8" s="6">
        <v>0.3</v>
      </c>
      <c r="I8" s="1"/>
      <c r="J8" s="1"/>
      <c r="K8" s="5" t="s">
        <v>23</v>
      </c>
      <c r="L8" s="6">
        <v>260</v>
      </c>
      <c r="M8" s="1"/>
      <c r="N8" s="1"/>
      <c r="O8" s="1"/>
    </row>
    <row r="9" spans="1:15" ht="17.25" customHeight="1">
      <c r="A9" s="5" t="s">
        <v>24</v>
      </c>
      <c r="B9" s="7" t="s">
        <v>25</v>
      </c>
      <c r="C9" s="6">
        <v>1.2</v>
      </c>
      <c r="I9" s="1"/>
      <c r="J9" s="1"/>
      <c r="K9" s="5" t="s">
        <v>26</v>
      </c>
      <c r="L9" s="11">
        <f>($L$6/(2*PI()))/1000</f>
        <v>1.3989719497777602E-2</v>
      </c>
      <c r="M9" s="1"/>
      <c r="N9" s="1"/>
      <c r="O9" s="1"/>
    </row>
    <row r="10" spans="1:15" ht="16.5" customHeight="1">
      <c r="A10" s="5" t="s">
        <v>27</v>
      </c>
      <c r="B10" s="7" t="s">
        <v>28</v>
      </c>
      <c r="C10" s="6">
        <v>0.2</v>
      </c>
      <c r="D10" s="89"/>
      <c r="E10" s="97" t="s">
        <v>29</v>
      </c>
      <c r="F10" s="90"/>
      <c r="G10" s="90"/>
      <c r="H10" s="12"/>
      <c r="I10" s="1"/>
      <c r="J10" s="1"/>
      <c r="K10" s="5" t="s">
        <v>30</v>
      </c>
      <c r="L10" s="13">
        <f>$L$6/360</f>
        <v>0.24416666666666667</v>
      </c>
      <c r="M10" s="1"/>
      <c r="N10" s="1"/>
      <c r="O10" s="1"/>
    </row>
    <row r="11" spans="1:15" ht="14.25" customHeight="1">
      <c r="A11" s="14" t="s">
        <v>31</v>
      </c>
      <c r="C11" s="15">
        <v>1.6</v>
      </c>
      <c r="D11" s="89"/>
      <c r="E11" s="12"/>
      <c r="F11" s="12"/>
      <c r="G11" s="12"/>
      <c r="H11" s="12"/>
      <c r="K11" s="5" t="s">
        <v>32</v>
      </c>
      <c r="L11" s="16">
        <f>(($L$8/360)*$L$6)/2</f>
        <v>31.741666666666667</v>
      </c>
      <c r="O11" s="1"/>
    </row>
    <row r="12" spans="1:15" ht="16.5" customHeight="1">
      <c r="A12" s="5" t="s">
        <v>33</v>
      </c>
      <c r="B12" s="7" t="s">
        <v>34</v>
      </c>
      <c r="C12" s="17">
        <f>$C$4+$C$5+$C$6</f>
        <v>315</v>
      </c>
      <c r="K12" s="18" t="s">
        <v>35</v>
      </c>
      <c r="L12" s="19">
        <f>$L$10*$L$7</f>
        <v>26.858333333333334</v>
      </c>
      <c r="O12" s="1"/>
    </row>
    <row r="13" spans="1:15" ht="14.25" customHeight="1">
      <c r="A13" s="5" t="s">
        <v>36</v>
      </c>
      <c r="B13" s="7"/>
      <c r="C13" s="20">
        <f>($C$12*9.81*$C$7*$C$10*$C$8)/$C$9</f>
        <v>84.97912500000001</v>
      </c>
      <c r="I13" s="93" t="s">
        <v>37</v>
      </c>
      <c r="J13" s="108"/>
      <c r="K13" s="1"/>
      <c r="L13" s="1"/>
      <c r="M13" s="93" t="s">
        <v>38</v>
      </c>
      <c r="N13" s="108"/>
      <c r="O13" s="1"/>
    </row>
    <row r="14" spans="1:15" ht="16.5" customHeight="1">
      <c r="A14" s="5" t="s">
        <v>39</v>
      </c>
      <c r="B14" s="7" t="s">
        <v>40</v>
      </c>
      <c r="C14" s="20">
        <f>0.5*$C$7*$C$12*9.81+$C$13</f>
        <v>934.77037500000006</v>
      </c>
      <c r="H14" t="s">
        <v>5</v>
      </c>
      <c r="I14" s="5" t="s">
        <v>41</v>
      </c>
      <c r="J14" s="6">
        <v>2.9000000000000001E-2</v>
      </c>
      <c r="K14" s="94" t="s">
        <v>42</v>
      </c>
      <c r="L14" s="1"/>
      <c r="M14" s="5" t="s">
        <v>41</v>
      </c>
      <c r="N14" s="6">
        <v>1.2E-2</v>
      </c>
      <c r="O14" s="1"/>
    </row>
    <row r="15" spans="1:15" ht="14.25" customHeight="1">
      <c r="A15" s="5" t="s">
        <v>43</v>
      </c>
      <c r="B15" s="7" t="s">
        <v>44</v>
      </c>
      <c r="C15" s="20">
        <f>0.5*$C$7*$C$12*9.81-$C$13</f>
        <v>764.81212499999992</v>
      </c>
      <c r="H15" t="s">
        <v>5</v>
      </c>
      <c r="I15" s="5" t="s">
        <v>45</v>
      </c>
      <c r="J15" s="16">
        <f>$C$16*($L$3+$J$14)</f>
        <v>50.851508400000007</v>
      </c>
      <c r="K15" s="109"/>
      <c r="L15" s="1"/>
      <c r="M15" s="5" t="s">
        <v>45</v>
      </c>
      <c r="N15" s="16">
        <f>$C$17*($L$3+$N$14)</f>
        <v>20.802889800000003</v>
      </c>
      <c r="O15" s="1"/>
    </row>
    <row r="16" spans="1:15" ht="14.25" customHeight="1">
      <c r="A16" s="5" t="s">
        <v>46</v>
      </c>
      <c r="B16" s="7" t="s">
        <v>47</v>
      </c>
      <c r="C16" s="20">
        <f>$C$11*$C$14</f>
        <v>1495.6326000000001</v>
      </c>
      <c r="I16" s="5" t="s">
        <v>48</v>
      </c>
      <c r="J16" s="16">
        <f>$J$15/$L$4</f>
        <v>847.52514000000019</v>
      </c>
      <c r="K16" s="1"/>
      <c r="L16" s="1"/>
      <c r="M16" s="5" t="s">
        <v>48</v>
      </c>
      <c r="N16" s="16">
        <f>$N$15/$L$4</f>
        <v>346.71483000000006</v>
      </c>
      <c r="O16" s="1"/>
    </row>
    <row r="17" spans="1:15" ht="18" customHeight="1">
      <c r="A17" s="18" t="s">
        <v>49</v>
      </c>
      <c r="B17" s="21" t="s">
        <v>50</v>
      </c>
      <c r="C17" s="22">
        <f>$C$11*$C$15</f>
        <v>1223.6994</v>
      </c>
      <c r="I17" s="5" t="s">
        <v>51</v>
      </c>
      <c r="J17" s="10">
        <v>0.79</v>
      </c>
      <c r="K17" s="90" t="s">
        <v>52</v>
      </c>
      <c r="L17" s="23"/>
      <c r="M17" s="5" t="s">
        <v>51</v>
      </c>
      <c r="N17" s="10">
        <v>3.21</v>
      </c>
      <c r="O17" s="1"/>
    </row>
    <row r="18" spans="1:15" ht="16.5" customHeight="1">
      <c r="I18" s="5" t="s">
        <v>53</v>
      </c>
      <c r="J18" s="10">
        <v>4.75</v>
      </c>
      <c r="K18" s="107"/>
      <c r="M18" s="5" t="s">
        <v>53</v>
      </c>
      <c r="N18" s="10">
        <v>4.75</v>
      </c>
      <c r="O18" s="1"/>
    </row>
    <row r="19" spans="1:15" ht="14.25" customHeight="1">
      <c r="A19" s="24" t="s">
        <v>54</v>
      </c>
      <c r="B19" s="95">
        <v>4.75</v>
      </c>
      <c r="C19" s="108"/>
      <c r="D19" s="94" t="s">
        <v>42</v>
      </c>
      <c r="E19" s="107"/>
      <c r="F19" s="107"/>
      <c r="I19" s="5" t="s">
        <v>55</v>
      </c>
      <c r="J19" s="16">
        <f>$J$16*SIN(RADIANS($J$17))</f>
        <v>11.685392044044656</v>
      </c>
      <c r="K19" s="12"/>
      <c r="L19" s="23"/>
      <c r="M19" s="5" t="s">
        <v>55</v>
      </c>
      <c r="N19" s="16">
        <f>$N$16*SIN(RADIANS($N$17))</f>
        <v>19.414562118175276</v>
      </c>
      <c r="O19" s="1"/>
    </row>
    <row r="20" spans="1:15" ht="14.25" customHeight="1">
      <c r="A20" s="18" t="s">
        <v>56</v>
      </c>
      <c r="B20" s="96">
        <v>4.75</v>
      </c>
      <c r="C20" s="110"/>
      <c r="D20" s="109"/>
      <c r="E20" s="107"/>
      <c r="F20" s="107"/>
      <c r="I20" s="5" t="s">
        <v>57</v>
      </c>
      <c r="J20" s="16">
        <f>$J$16*COS(RADIANS($J$17))*SIN(RADIANS($J$18))</f>
        <v>70.175366556262091</v>
      </c>
      <c r="M20" s="5" t="s">
        <v>57</v>
      </c>
      <c r="N20" s="16">
        <f>$N$16*COS(RADIANS($N$17))*SIN(RADIANS($N$18))</f>
        <v>28.665786472724633</v>
      </c>
      <c r="O20" s="1"/>
    </row>
    <row r="21" spans="1:15" ht="14.25" customHeight="1">
      <c r="I21" s="18" t="s">
        <v>58</v>
      </c>
      <c r="J21" s="25">
        <f>$J$16*COS(RADIANS($J$17))*COS(RADIANS($J$18))</f>
        <v>844.53403275030382</v>
      </c>
      <c r="K21" s="1"/>
      <c r="L21" s="1"/>
      <c r="M21" s="18" t="s">
        <v>58</v>
      </c>
      <c r="N21" s="25">
        <f>$N$16*COS(RADIANS($N$17))*COS(RADIANS($N$18))</f>
        <v>344.98191373692129</v>
      </c>
    </row>
    <row r="22" spans="1:15" ht="14.25" customHeight="1">
      <c r="I22" s="1"/>
      <c r="J22" s="1"/>
      <c r="K22" s="24" t="s">
        <v>59</v>
      </c>
      <c r="L22" s="26">
        <f>$J$21+$N$21</f>
        <v>1189.5159464872252</v>
      </c>
      <c r="M22" s="1"/>
      <c r="N22" s="1"/>
    </row>
    <row r="23" spans="1:15" ht="14.25" customHeight="1">
      <c r="A23" s="91" t="s">
        <v>60</v>
      </c>
      <c r="B23" s="103"/>
      <c r="I23" s="1"/>
      <c r="J23" s="1"/>
      <c r="K23" s="5" t="s">
        <v>61</v>
      </c>
      <c r="L23" s="27">
        <f>$L$22*$L$9</f>
        <v>16.640994429489712</v>
      </c>
      <c r="M23" s="1"/>
      <c r="N23" s="1"/>
    </row>
    <row r="24" spans="1:15" ht="14.25" customHeight="1">
      <c r="A24" s="104"/>
      <c r="B24" s="106"/>
      <c r="I24" s="1"/>
      <c r="J24" s="1"/>
      <c r="K24" s="5" t="s">
        <v>62</v>
      </c>
      <c r="L24" s="27">
        <f>($L$23/$L$5)/2</f>
        <v>64.003824728806578</v>
      </c>
      <c r="M24" s="1"/>
      <c r="N24" s="1"/>
    </row>
    <row r="25" spans="1:15" ht="14.25" customHeight="1">
      <c r="A25" s="5" t="s">
        <v>63</v>
      </c>
      <c r="B25" s="6">
        <v>3.6</v>
      </c>
      <c r="C25" s="94" t="s">
        <v>64</v>
      </c>
      <c r="D25" s="107"/>
      <c r="E25" s="107"/>
      <c r="K25" s="18" t="s">
        <v>65</v>
      </c>
      <c r="L25" s="28">
        <f>$L$24/9.81</f>
        <v>6.5243450284206501</v>
      </c>
    </row>
    <row r="26" spans="1:15" ht="14.25" customHeight="1">
      <c r="A26" s="5" t="s">
        <v>66</v>
      </c>
      <c r="B26" s="29">
        <v>1.5476000000000001</v>
      </c>
      <c r="C26" s="109"/>
      <c r="D26" s="107"/>
      <c r="E26" s="107"/>
      <c r="K26" s="74" t="s">
        <v>67</v>
      </c>
      <c r="L26" s="75">
        <f>L23/L5</f>
        <v>128.00764945761316</v>
      </c>
      <c r="M26" t="s">
        <v>68</v>
      </c>
    </row>
    <row r="27" spans="1:15" ht="16.5" customHeight="1">
      <c r="A27" s="30" t="s">
        <v>69</v>
      </c>
      <c r="B27" s="6">
        <v>0</v>
      </c>
      <c r="D27" s="23"/>
      <c r="E27" s="23"/>
      <c r="K27" s="87" t="s">
        <v>70</v>
      </c>
      <c r="L27" s="88">
        <f>L26*L5</f>
        <v>16.640994429489712</v>
      </c>
      <c r="M27" t="s">
        <v>71</v>
      </c>
    </row>
    <row r="28" spans="1:15" ht="14.25" customHeight="1">
      <c r="A28" s="5" t="s">
        <v>72</v>
      </c>
      <c r="B28" s="16">
        <f>DEGREES(ATAN($B$26/($B$25-0.1266)))+$B$19-$B$27</f>
        <v>28.765729009642328</v>
      </c>
      <c r="D28" s="23"/>
      <c r="E28" s="23"/>
      <c r="M28" s="9" t="s">
        <v>73</v>
      </c>
    </row>
    <row r="29" spans="1:15" ht="14.25" customHeight="1">
      <c r="A29" s="5" t="s">
        <v>74</v>
      </c>
      <c r="B29" s="16">
        <f>DEGREES(ATAN($B$26/($B$25-1.2766)))+$B$20+$B$27</f>
        <v>38.417298127248735</v>
      </c>
      <c r="I29" s="9" t="s">
        <v>75</v>
      </c>
    </row>
    <row r="30" spans="1:15" ht="14.25" customHeight="1">
      <c r="A30" s="18" t="s">
        <v>76</v>
      </c>
      <c r="B30" s="31">
        <v>1</v>
      </c>
      <c r="C30" s="90" t="s">
        <v>52</v>
      </c>
      <c r="D30" s="107"/>
      <c r="E30" s="107"/>
      <c r="F30" s="12"/>
      <c r="I30" s="9">
        <v>381.14</v>
      </c>
    </row>
    <row r="31" spans="1:15" ht="14.25" customHeight="1">
      <c r="C31" s="107"/>
      <c r="D31" s="107"/>
      <c r="E31" s="107"/>
      <c r="I31" s="1"/>
      <c r="J31" s="1"/>
      <c r="M31" s="1"/>
      <c r="N31" s="1"/>
    </row>
    <row r="32" spans="1:15" ht="14.25" customHeight="1">
      <c r="D32" s="23"/>
      <c r="E32" s="23"/>
    </row>
    <row r="33" spans="1:10" ht="14.25" customHeight="1">
      <c r="D33" s="23"/>
      <c r="E33" s="23"/>
    </row>
    <row r="34" spans="1:10" ht="18" customHeight="1"/>
    <row r="35" spans="1:10" ht="14.25" customHeight="1"/>
    <row r="36" spans="1:10" ht="14.25" customHeight="1"/>
    <row r="37" spans="1:10" ht="14.25" customHeight="1">
      <c r="A37" s="9" t="s">
        <v>77</v>
      </c>
      <c r="B37" s="9">
        <v>31.4</v>
      </c>
      <c r="C37" s="9" t="s">
        <v>78</v>
      </c>
    </row>
    <row r="38" spans="1:10" ht="14.25" customHeight="1">
      <c r="A38" s="9">
        <v>31</v>
      </c>
      <c r="B38" s="9">
        <v>31.4</v>
      </c>
      <c r="C38" s="9">
        <v>23.62</v>
      </c>
    </row>
    <row r="39" spans="1:10" ht="14.25" customHeight="1">
      <c r="A39" s="9">
        <v>33</v>
      </c>
      <c r="B39" s="9">
        <v>31.4</v>
      </c>
      <c r="C39" s="9">
        <v>23.2</v>
      </c>
    </row>
    <row r="40" spans="1:10" ht="14.25" customHeight="1"/>
    <row r="41" spans="1:10" ht="14.25" customHeight="1"/>
    <row r="42" spans="1:10" ht="14.25" customHeight="1">
      <c r="I42" s="12"/>
      <c r="J42" s="12"/>
    </row>
    <row r="43" spans="1:10" ht="14.25" customHeight="1">
      <c r="H43" s="12"/>
      <c r="I43" s="12"/>
      <c r="J43" s="12"/>
    </row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C30:E31"/>
    <mergeCell ref="A1:C2"/>
    <mergeCell ref="K1:L2"/>
    <mergeCell ref="M4:M5"/>
    <mergeCell ref="I13:J13"/>
    <mergeCell ref="M13:N13"/>
    <mergeCell ref="K14:K15"/>
    <mergeCell ref="K17:K18"/>
    <mergeCell ref="B19:C19"/>
    <mergeCell ref="D19:F20"/>
    <mergeCell ref="B20:C20"/>
    <mergeCell ref="A23:B24"/>
    <mergeCell ref="C25:E26"/>
    <mergeCell ref="E10:G1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A21" sqref="A21"/>
    </sheetView>
  </sheetViews>
  <sheetFormatPr defaultColWidth="14.42578125" defaultRowHeight="15" customHeight="1"/>
  <cols>
    <col min="1" max="20" width="15.7109375" customWidth="1"/>
    <col min="21" max="26" width="8.85546875" customWidth="1"/>
  </cols>
  <sheetData>
    <row r="1" spans="1:20" ht="14.25" customHeight="1">
      <c r="A1" s="32" t="s">
        <v>79</v>
      </c>
      <c r="B1" s="33" t="s">
        <v>80</v>
      </c>
      <c r="C1" s="33" t="s">
        <v>81</v>
      </c>
      <c r="D1" s="33" t="s">
        <v>82</v>
      </c>
      <c r="E1" s="33" t="s">
        <v>83</v>
      </c>
      <c r="F1" s="33" t="s">
        <v>84</v>
      </c>
      <c r="G1" s="33" t="s">
        <v>85</v>
      </c>
      <c r="H1" s="76" t="s">
        <v>86</v>
      </c>
    </row>
    <row r="2" spans="1:20" ht="14.25" customHeight="1">
      <c r="A2" s="34">
        <v>1.83736308</v>
      </c>
      <c r="B2" s="35">
        <v>4.1373669099999999</v>
      </c>
      <c r="C2" s="35">
        <v>2.6065486400000002</v>
      </c>
      <c r="D2" s="35">
        <v>4.6042124299999996</v>
      </c>
      <c r="E2" s="35">
        <v>-8.7929266300000002</v>
      </c>
      <c r="F2" s="35">
        <v>-1.12447257</v>
      </c>
      <c r="G2" s="35">
        <v>-3.7925504600000002</v>
      </c>
      <c r="H2" s="77">
        <v>1.39676599</v>
      </c>
    </row>
    <row r="3" spans="1:20" ht="14.25" customHeight="1"/>
    <row r="4" spans="1:20" ht="14.25" customHeight="1">
      <c r="A4" s="36" t="s">
        <v>87</v>
      </c>
      <c r="B4" s="99" t="s">
        <v>88</v>
      </c>
      <c r="C4" s="111"/>
    </row>
    <row r="5" spans="1:20" ht="14.25" customHeight="1">
      <c r="A5" s="36" t="s">
        <v>89</v>
      </c>
      <c r="B5" s="37">
        <v>8</v>
      </c>
      <c r="C5" s="1"/>
      <c r="D5" s="1"/>
      <c r="E5" s="1"/>
    </row>
    <row r="6" spans="1:20" ht="14.25" customHeight="1">
      <c r="A6" s="36" t="s">
        <v>90</v>
      </c>
      <c r="B6" s="37">
        <v>12</v>
      </c>
      <c r="C6" s="1"/>
      <c r="D6" s="1"/>
      <c r="E6" s="1"/>
    </row>
    <row r="7" spans="1:20" ht="14.25" customHeight="1">
      <c r="A7" s="36" t="s">
        <v>91</v>
      </c>
      <c r="B7" s="99" t="str">
        <f>CONCATENATE("Fy vs. Sa - ",B4, " ",B5," Rim (",B6,"psi)")</f>
        <v>Fy vs. Sa - Goodyear - D2704 - 20.0x7.0-13 8 Rim (12psi)</v>
      </c>
      <c r="C7" s="112"/>
      <c r="D7" s="112"/>
      <c r="E7" s="111"/>
    </row>
    <row r="8" spans="1:20" ht="14.25" customHeight="1"/>
    <row r="9" spans="1:20" ht="14.25" customHeight="1">
      <c r="C9" s="98">
        <v>200</v>
      </c>
      <c r="D9" s="112"/>
      <c r="E9" s="111"/>
      <c r="F9" s="98">
        <v>400</v>
      </c>
      <c r="G9" s="112"/>
      <c r="H9" s="111"/>
      <c r="I9" s="98">
        <v>600</v>
      </c>
      <c r="J9" s="112"/>
      <c r="K9" s="111"/>
      <c r="L9" s="98">
        <v>800</v>
      </c>
      <c r="M9" s="112"/>
      <c r="N9" s="111"/>
      <c r="O9" s="98">
        <v>1000</v>
      </c>
      <c r="P9" s="112"/>
      <c r="Q9" s="111"/>
      <c r="R9" s="98">
        <v>1300</v>
      </c>
      <c r="S9" s="112"/>
      <c r="T9" s="111"/>
    </row>
    <row r="10" spans="1:20" ht="14.25" customHeight="1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94</v>
      </c>
      <c r="G10" s="1" t="s">
        <v>95</v>
      </c>
      <c r="H10" s="1" t="s">
        <v>96</v>
      </c>
      <c r="I10" s="1" t="s">
        <v>94</v>
      </c>
      <c r="J10" s="1" t="s">
        <v>95</v>
      </c>
      <c r="K10" s="1" t="s">
        <v>96</v>
      </c>
      <c r="L10" s="1" t="s">
        <v>94</v>
      </c>
      <c r="M10" s="1" t="s">
        <v>95</v>
      </c>
      <c r="N10" s="1" t="s">
        <v>96</v>
      </c>
      <c r="O10" s="1" t="s">
        <v>94</v>
      </c>
      <c r="P10" s="1" t="s">
        <v>95</v>
      </c>
      <c r="Q10" s="1" t="s">
        <v>96</v>
      </c>
      <c r="R10" s="1" t="s">
        <v>94</v>
      </c>
      <c r="S10" s="1" t="s">
        <v>95</v>
      </c>
      <c r="T10" s="1" t="s">
        <v>96</v>
      </c>
    </row>
    <row r="11" spans="1:20" ht="14.25" customHeight="1">
      <c r="A11" s="38">
        <v>-10</v>
      </c>
      <c r="B11" s="39">
        <f t="shared" ref="B11:B51" si="0">RADIANS(A11)</f>
        <v>-0.17453292519943295</v>
      </c>
      <c r="C11" s="39">
        <f t="shared" ref="C11:C51" si="1">($G$2*$C$9) * SIN( $F$2 * ATAN($E$2 *B11 - $H$2 * ($E$2 *B11 - ATAN($E$2 *B11))))</f>
        <v>513.59333535222856</v>
      </c>
      <c r="D11" s="9">
        <f t="shared" ref="D11:D51" si="2">COS($F$2 * ATAN($E$2*B11))</f>
        <v>0.43844747617562568</v>
      </c>
      <c r="E11" s="9">
        <f t="shared" ref="E11:E51" si="3">D11*C11</f>
        <v>225.18370166580635</v>
      </c>
      <c r="F11" s="39">
        <f t="shared" ref="F11:F51" si="4">($G$2*$F$9) * SIN( $F$2 * ATAN($E$2 *B11 - $H$2 * ($E$2 *B11 - ATAN($E$2 *B11))))</f>
        <v>1027.1866707044571</v>
      </c>
      <c r="G11" s="9">
        <f t="shared" ref="G11:G51" si="5">COS($F$2 * ATAN($E$2*B11))</f>
        <v>0.43844747617562568</v>
      </c>
      <c r="H11" s="9">
        <f t="shared" ref="H11:H51" si="6">G11*F11</f>
        <v>450.36740333161271</v>
      </c>
      <c r="I11" s="39">
        <f t="shared" ref="I11:I51" si="7">($G$2*$I$9) * SIN( $F$2 * ATAN($E$2 *$B11 - $H$2 * ($E$2 *$B11 - ATAN($E$2 *$B11))))</f>
        <v>1540.7800060566856</v>
      </c>
      <c r="J11" s="9">
        <f t="shared" ref="J11:J51" si="8">COS($F$2 * ATAN($E$2*$B11))</f>
        <v>0.43844747617562568</v>
      </c>
      <c r="K11" s="9">
        <f t="shared" ref="K11:K51" si="9">J11*I11</f>
        <v>675.55110499741909</v>
      </c>
      <c r="L11" s="39">
        <f t="shared" ref="L11:L51" si="10">($G$2*$L$9) * SIN( $F$2 * ATAN($E$2 *$B11 - $H$2 * ($E$2 *$B11 - ATAN($E$2 *$B11))))</f>
        <v>2054.3733414089143</v>
      </c>
      <c r="M11" s="9">
        <f t="shared" ref="M11:M51" si="11">COS($F$2 * ATAN($E$2*$B11))</f>
        <v>0.43844747617562568</v>
      </c>
      <c r="N11" s="9">
        <f t="shared" ref="N11:N51" si="12">M11*L11</f>
        <v>900.73480666322541</v>
      </c>
      <c r="O11" s="39">
        <f t="shared" ref="O11:O51" si="13">($G$2*$O$9) * SIN( $F$2 * ATAN($E$2 *$B11 - $H$2 * ($E$2 *$B11 - ATAN($E$2 *$B11))))</f>
        <v>2567.9666767611429</v>
      </c>
      <c r="P11" s="9">
        <f t="shared" ref="P11:P51" si="14">COS($F$2 * ATAN($E$2*$B11))</f>
        <v>0.43844747617562568</v>
      </c>
      <c r="Q11" s="9">
        <f t="shared" ref="Q11:Q51" si="15">P11*O11</f>
        <v>1125.918508329032</v>
      </c>
      <c r="R11" s="39">
        <f t="shared" ref="R11:R51" si="16">($G$2*$R$9) * SIN( $F$2 * ATAN($E$2 *$B11 - $H$2 * ($E$2 *$B11 - ATAN($E$2 *$B11))))</f>
        <v>3338.356679789486</v>
      </c>
      <c r="S11" s="9">
        <f t="shared" ref="S11:S51" si="17">COS($F$2 * ATAN($E$2*$B11))</f>
        <v>0.43844747617562568</v>
      </c>
      <c r="T11" s="9">
        <f t="shared" ref="T11:T51" si="18">S11*R11</f>
        <v>1463.6940608277414</v>
      </c>
    </row>
    <row r="12" spans="1:20" ht="14.25" customHeight="1">
      <c r="A12" s="38">
        <v>-9.5</v>
      </c>
      <c r="B12" s="39">
        <f t="shared" si="0"/>
        <v>-0.16580627893946132</v>
      </c>
      <c r="C12" s="39">
        <f t="shared" si="1"/>
        <v>512.55357219232997</v>
      </c>
      <c r="D12" s="9">
        <f t="shared" si="2"/>
        <v>0.46223830225183576</v>
      </c>
      <c r="E12" s="9">
        <f t="shared" si="3"/>
        <v>236.92189302329635</v>
      </c>
      <c r="F12" s="39">
        <f t="shared" si="4"/>
        <v>1025.1071443846599</v>
      </c>
      <c r="G12" s="9">
        <f t="shared" si="5"/>
        <v>0.46223830225183576</v>
      </c>
      <c r="H12" s="9">
        <f t="shared" si="6"/>
        <v>473.8437860465927</v>
      </c>
      <c r="I12" s="39">
        <f t="shared" si="7"/>
        <v>1537.6607165769899</v>
      </c>
      <c r="J12" s="9">
        <f t="shared" si="8"/>
        <v>0.46223830225183576</v>
      </c>
      <c r="K12" s="9">
        <f t="shared" si="9"/>
        <v>710.76567906988907</v>
      </c>
      <c r="L12" s="39">
        <f t="shared" si="10"/>
        <v>2050.2142887693199</v>
      </c>
      <c r="M12" s="9">
        <f t="shared" si="11"/>
        <v>0.46223830225183576</v>
      </c>
      <c r="N12" s="9">
        <f t="shared" si="12"/>
        <v>947.68757209318539</v>
      </c>
      <c r="O12" s="39">
        <f t="shared" si="13"/>
        <v>2562.7678609616505</v>
      </c>
      <c r="P12" s="9">
        <f t="shared" si="14"/>
        <v>0.46223830225183576</v>
      </c>
      <c r="Q12" s="9">
        <f t="shared" si="15"/>
        <v>1184.6094651164819</v>
      </c>
      <c r="R12" s="39">
        <f t="shared" si="16"/>
        <v>3331.5982192501451</v>
      </c>
      <c r="S12" s="9">
        <f t="shared" si="17"/>
        <v>0.46223830225183576</v>
      </c>
      <c r="T12" s="9">
        <f t="shared" si="18"/>
        <v>1539.9923046514264</v>
      </c>
    </row>
    <row r="13" spans="1:20" ht="14.25" customHeight="1">
      <c r="A13" s="38">
        <v>-9</v>
      </c>
      <c r="B13" s="39">
        <f t="shared" si="0"/>
        <v>-0.15707963267948966</v>
      </c>
      <c r="C13" s="39">
        <f t="shared" si="1"/>
        <v>510.53921692074817</v>
      </c>
      <c r="D13" s="9">
        <f t="shared" si="2"/>
        <v>0.48742856982967403</v>
      </c>
      <c r="E13" s="9">
        <f t="shared" si="3"/>
        <v>248.85140034564199</v>
      </c>
      <c r="F13" s="39">
        <f t="shared" si="4"/>
        <v>1021.0784338414963</v>
      </c>
      <c r="G13" s="9">
        <f t="shared" si="5"/>
        <v>0.48742856982967403</v>
      </c>
      <c r="H13" s="9">
        <f t="shared" si="6"/>
        <v>497.70280069128398</v>
      </c>
      <c r="I13" s="39">
        <f t="shared" si="7"/>
        <v>1531.6176507622445</v>
      </c>
      <c r="J13" s="9">
        <f t="shared" si="8"/>
        <v>0.48742856982967403</v>
      </c>
      <c r="K13" s="9">
        <f t="shared" si="9"/>
        <v>746.55420103692597</v>
      </c>
      <c r="L13" s="39">
        <f t="shared" si="10"/>
        <v>2042.1568676829927</v>
      </c>
      <c r="M13" s="9">
        <f t="shared" si="11"/>
        <v>0.48742856982967403</v>
      </c>
      <c r="N13" s="9">
        <f t="shared" si="12"/>
        <v>995.40560138256797</v>
      </c>
      <c r="O13" s="39">
        <f t="shared" si="13"/>
        <v>2552.6960846037409</v>
      </c>
      <c r="P13" s="9">
        <f t="shared" si="14"/>
        <v>0.48742856982967403</v>
      </c>
      <c r="Q13" s="9">
        <f t="shared" si="15"/>
        <v>1244.2570017282101</v>
      </c>
      <c r="R13" s="39">
        <f t="shared" si="16"/>
        <v>3318.5049099848629</v>
      </c>
      <c r="S13" s="9">
        <f t="shared" si="17"/>
        <v>0.48742856982967403</v>
      </c>
      <c r="T13" s="9">
        <f t="shared" si="18"/>
        <v>1617.534102246673</v>
      </c>
    </row>
    <row r="14" spans="1:20" ht="14.25" customHeight="1">
      <c r="A14" s="38">
        <v>-8.5</v>
      </c>
      <c r="B14" s="39">
        <f t="shared" si="0"/>
        <v>-0.14835298641951802</v>
      </c>
      <c r="C14" s="39">
        <f t="shared" si="1"/>
        <v>507.43312748947233</v>
      </c>
      <c r="D14" s="9">
        <f t="shared" si="2"/>
        <v>0.51407733559928892</v>
      </c>
      <c r="E14" s="9">
        <f t="shared" si="3"/>
        <v>260.85987017460224</v>
      </c>
      <c r="F14" s="39">
        <f t="shared" si="4"/>
        <v>1014.8662549789447</v>
      </c>
      <c r="G14" s="9">
        <f t="shared" si="5"/>
        <v>0.51407733559928892</v>
      </c>
      <c r="H14" s="9">
        <f t="shared" si="6"/>
        <v>521.71974034920447</v>
      </c>
      <c r="I14" s="39">
        <f t="shared" si="7"/>
        <v>1522.299382468417</v>
      </c>
      <c r="J14" s="9">
        <f t="shared" si="8"/>
        <v>0.51407733559928892</v>
      </c>
      <c r="K14" s="9">
        <f t="shared" si="9"/>
        <v>782.57961052380665</v>
      </c>
      <c r="L14" s="39">
        <f t="shared" si="10"/>
        <v>2029.7325099578893</v>
      </c>
      <c r="M14" s="9">
        <f t="shared" si="11"/>
        <v>0.51407733559928892</v>
      </c>
      <c r="N14" s="9">
        <f t="shared" si="12"/>
        <v>1043.4394806984089</v>
      </c>
      <c r="O14" s="39">
        <f t="shared" si="13"/>
        <v>2537.1656374473619</v>
      </c>
      <c r="P14" s="9">
        <f t="shared" si="14"/>
        <v>0.51407733559928892</v>
      </c>
      <c r="Q14" s="9">
        <f t="shared" si="15"/>
        <v>1304.2993508730112</v>
      </c>
      <c r="R14" s="39">
        <f t="shared" si="16"/>
        <v>3298.3153286815705</v>
      </c>
      <c r="S14" s="9">
        <f t="shared" si="17"/>
        <v>0.51407733559928892</v>
      </c>
      <c r="T14" s="9">
        <f t="shared" si="18"/>
        <v>1695.5891561349147</v>
      </c>
    </row>
    <row r="15" spans="1:20" ht="14.25" customHeight="1">
      <c r="A15" s="38">
        <v>-8</v>
      </c>
      <c r="B15" s="39">
        <f t="shared" si="0"/>
        <v>-0.13962634015954636</v>
      </c>
      <c r="C15" s="39">
        <f t="shared" si="1"/>
        <v>503.09165626967297</v>
      </c>
      <c r="D15" s="9">
        <f t="shared" si="2"/>
        <v>0.54222993950391163</v>
      </c>
      <c r="E15" s="9">
        <f t="shared" si="3"/>
        <v>272.79135834402746</v>
      </c>
      <c r="F15" s="39">
        <f t="shared" si="4"/>
        <v>1006.1833125393459</v>
      </c>
      <c r="G15" s="9">
        <f t="shared" si="5"/>
        <v>0.54222993950391163</v>
      </c>
      <c r="H15" s="9">
        <f t="shared" si="6"/>
        <v>545.58271668805492</v>
      </c>
      <c r="I15" s="39">
        <f t="shared" si="7"/>
        <v>1509.2749688090189</v>
      </c>
      <c r="J15" s="9">
        <f t="shared" si="8"/>
        <v>0.54222993950391163</v>
      </c>
      <c r="K15" s="9">
        <f t="shared" si="9"/>
        <v>818.37407503208237</v>
      </c>
      <c r="L15" s="39">
        <f t="shared" si="10"/>
        <v>2012.3666250786919</v>
      </c>
      <c r="M15" s="9">
        <f t="shared" si="11"/>
        <v>0.54222993950391163</v>
      </c>
      <c r="N15" s="9">
        <f t="shared" si="12"/>
        <v>1091.1654333761098</v>
      </c>
      <c r="O15" s="39">
        <f t="shared" si="13"/>
        <v>2515.4582813483653</v>
      </c>
      <c r="P15" s="9">
        <f t="shared" si="14"/>
        <v>0.54222993950391163</v>
      </c>
      <c r="Q15" s="9">
        <f t="shared" si="15"/>
        <v>1363.9567917201375</v>
      </c>
      <c r="R15" s="39">
        <f t="shared" si="16"/>
        <v>3270.0957657528743</v>
      </c>
      <c r="S15" s="9">
        <f t="shared" si="17"/>
        <v>0.54222993950391163</v>
      </c>
      <c r="T15" s="9">
        <f t="shared" si="18"/>
        <v>1773.1438292361786</v>
      </c>
    </row>
    <row r="16" spans="1:20" ht="14.25" customHeight="1">
      <c r="A16" s="38">
        <v>-7.5</v>
      </c>
      <c r="B16" s="39">
        <f t="shared" si="0"/>
        <v>-0.1308996938995747</v>
      </c>
      <c r="C16" s="39">
        <f t="shared" si="1"/>
        <v>497.33891012963306</v>
      </c>
      <c r="D16" s="9">
        <f t="shared" si="2"/>
        <v>0.57191071368942781</v>
      </c>
      <c r="E16" s="9">
        <f t="shared" si="3"/>
        <v>284.43345103776062</v>
      </c>
      <c r="F16" s="39">
        <f t="shared" si="4"/>
        <v>994.67782025926613</v>
      </c>
      <c r="G16" s="9">
        <f t="shared" si="5"/>
        <v>0.57191071368942781</v>
      </c>
      <c r="H16" s="9">
        <f t="shared" si="6"/>
        <v>568.86690207552124</v>
      </c>
      <c r="I16" s="39">
        <f t="shared" si="7"/>
        <v>1492.0167303888993</v>
      </c>
      <c r="J16" s="9">
        <f t="shared" si="8"/>
        <v>0.57191071368942781</v>
      </c>
      <c r="K16" s="9">
        <f t="shared" si="9"/>
        <v>853.30035311328197</v>
      </c>
      <c r="L16" s="39">
        <f t="shared" si="10"/>
        <v>1989.3556405185323</v>
      </c>
      <c r="M16" s="9">
        <f t="shared" si="11"/>
        <v>0.57191071368942781</v>
      </c>
      <c r="N16" s="9">
        <f t="shared" si="12"/>
        <v>1137.7338041510425</v>
      </c>
      <c r="O16" s="39">
        <f t="shared" si="13"/>
        <v>2486.6945506481657</v>
      </c>
      <c r="P16" s="9">
        <f t="shared" si="14"/>
        <v>0.57191071368942781</v>
      </c>
      <c r="Q16" s="9">
        <f t="shared" si="15"/>
        <v>1422.1672551888034</v>
      </c>
      <c r="R16" s="39">
        <f t="shared" si="16"/>
        <v>3232.7029158426153</v>
      </c>
      <c r="S16" s="9">
        <f t="shared" si="17"/>
        <v>0.57191071368942781</v>
      </c>
      <c r="T16" s="9">
        <f t="shared" si="18"/>
        <v>1848.8174317454443</v>
      </c>
    </row>
    <row r="17" spans="1:20" ht="14.25" customHeight="1">
      <c r="A17" s="38">
        <v>-7</v>
      </c>
      <c r="B17" s="39">
        <f t="shared" si="0"/>
        <v>-0.12217304763960307</v>
      </c>
      <c r="C17" s="39">
        <f t="shared" si="1"/>
        <v>489.9599343965719</v>
      </c>
      <c r="D17" s="9">
        <f t="shared" si="2"/>
        <v>0.60311342978995153</v>
      </c>
      <c r="E17" s="9">
        <f t="shared" si="3"/>
        <v>295.50141649357613</v>
      </c>
      <c r="F17" s="39">
        <f t="shared" si="4"/>
        <v>979.91986879314379</v>
      </c>
      <c r="G17" s="9">
        <f t="shared" si="5"/>
        <v>0.60311342978995153</v>
      </c>
      <c r="H17" s="9">
        <f t="shared" si="6"/>
        <v>591.00283298715226</v>
      </c>
      <c r="I17" s="39">
        <f t="shared" si="7"/>
        <v>1469.8798031897156</v>
      </c>
      <c r="J17" s="9">
        <f t="shared" si="8"/>
        <v>0.60311342978995153</v>
      </c>
      <c r="K17" s="9">
        <f t="shared" si="9"/>
        <v>886.50424948072828</v>
      </c>
      <c r="L17" s="39">
        <f t="shared" si="10"/>
        <v>1959.8397375862876</v>
      </c>
      <c r="M17" s="9">
        <f t="shared" si="11"/>
        <v>0.60311342978995153</v>
      </c>
      <c r="N17" s="9">
        <f t="shared" si="12"/>
        <v>1182.0056659743045</v>
      </c>
      <c r="O17" s="39">
        <f t="shared" si="13"/>
        <v>2449.7996719828598</v>
      </c>
      <c r="P17" s="9">
        <f t="shared" si="14"/>
        <v>0.60311342978995153</v>
      </c>
      <c r="Q17" s="9">
        <f t="shared" si="15"/>
        <v>1477.5070824678808</v>
      </c>
      <c r="R17" s="39">
        <f t="shared" si="16"/>
        <v>3184.7395735777172</v>
      </c>
      <c r="S17" s="9">
        <f t="shared" si="17"/>
        <v>0.60311342978995153</v>
      </c>
      <c r="T17" s="9">
        <f t="shared" si="18"/>
        <v>1920.7592072082448</v>
      </c>
    </row>
    <row r="18" spans="1:20" ht="14.25" customHeight="1">
      <c r="A18" s="38">
        <v>-6.5</v>
      </c>
      <c r="B18" s="39">
        <f t="shared" si="0"/>
        <v>-0.11344640137963143</v>
      </c>
      <c r="C18" s="39">
        <f t="shared" si="1"/>
        <v>480.69285909706514</v>
      </c>
      <c r="D18" s="9">
        <f t="shared" si="2"/>
        <v>0.63578907964003617</v>
      </c>
      <c r="E18" s="9">
        <f t="shared" si="3"/>
        <v>305.61927047486063</v>
      </c>
      <c r="F18" s="39">
        <f t="shared" si="4"/>
        <v>961.38571819413028</v>
      </c>
      <c r="G18" s="9">
        <f t="shared" si="5"/>
        <v>0.63578907964003617</v>
      </c>
      <c r="H18" s="9">
        <f t="shared" si="6"/>
        <v>611.23854094972125</v>
      </c>
      <c r="I18" s="39">
        <f t="shared" si="7"/>
        <v>1442.0785772911954</v>
      </c>
      <c r="J18" s="9">
        <f t="shared" si="8"/>
        <v>0.63578907964003617</v>
      </c>
      <c r="K18" s="9">
        <f t="shared" si="9"/>
        <v>916.85781142458188</v>
      </c>
      <c r="L18" s="39">
        <f t="shared" si="10"/>
        <v>1922.7714363882606</v>
      </c>
      <c r="M18" s="9">
        <f t="shared" si="11"/>
        <v>0.63578907964003617</v>
      </c>
      <c r="N18" s="9">
        <f t="shared" si="12"/>
        <v>1222.4770818994425</v>
      </c>
      <c r="O18" s="39">
        <f t="shared" si="13"/>
        <v>2403.4642954853261</v>
      </c>
      <c r="P18" s="9">
        <f t="shared" si="14"/>
        <v>0.63578907964003617</v>
      </c>
      <c r="Q18" s="9">
        <f t="shared" si="15"/>
        <v>1528.0963523743035</v>
      </c>
      <c r="R18" s="39">
        <f t="shared" si="16"/>
        <v>3124.5035841309236</v>
      </c>
      <c r="S18" s="9">
        <f t="shared" si="17"/>
        <v>0.63578907964003617</v>
      </c>
      <c r="T18" s="9">
        <f t="shared" si="18"/>
        <v>1986.5252580865942</v>
      </c>
    </row>
    <row r="19" spans="1:20" ht="14.25" customHeight="1">
      <c r="A19" s="38">
        <v>-6</v>
      </c>
      <c r="B19" s="39">
        <f t="shared" si="0"/>
        <v>-0.10471975511965978</v>
      </c>
      <c r="C19" s="39">
        <f t="shared" si="1"/>
        <v>469.22030090000936</v>
      </c>
      <c r="D19" s="9">
        <f t="shared" si="2"/>
        <v>0.66983069323515509</v>
      </c>
      <c r="E19" s="9">
        <f t="shared" si="3"/>
        <v>314.29815943186134</v>
      </c>
      <c r="F19" s="39">
        <f t="shared" si="4"/>
        <v>938.44060180001873</v>
      </c>
      <c r="G19" s="9">
        <f t="shared" si="5"/>
        <v>0.66983069323515509</v>
      </c>
      <c r="H19" s="9">
        <f t="shared" si="6"/>
        <v>628.59631886372267</v>
      </c>
      <c r="I19" s="39">
        <f t="shared" si="7"/>
        <v>1407.6609027000281</v>
      </c>
      <c r="J19" s="9">
        <f t="shared" si="8"/>
        <v>0.66983069323515509</v>
      </c>
      <c r="K19" s="9">
        <f t="shared" si="9"/>
        <v>942.89447829558401</v>
      </c>
      <c r="L19" s="39">
        <f t="shared" si="10"/>
        <v>1876.8812036000375</v>
      </c>
      <c r="M19" s="9">
        <f t="shared" si="11"/>
        <v>0.66983069323515509</v>
      </c>
      <c r="N19" s="9">
        <f t="shared" si="12"/>
        <v>1257.1926377274453</v>
      </c>
      <c r="O19" s="39">
        <f t="shared" si="13"/>
        <v>2346.1015045000472</v>
      </c>
      <c r="P19" s="9">
        <f t="shared" si="14"/>
        <v>0.66983069323515509</v>
      </c>
      <c r="Q19" s="9">
        <f t="shared" si="15"/>
        <v>1571.490797159307</v>
      </c>
      <c r="R19" s="39">
        <f t="shared" si="16"/>
        <v>3049.9319558500611</v>
      </c>
      <c r="S19" s="9">
        <f t="shared" si="17"/>
        <v>0.66983069323515509</v>
      </c>
      <c r="T19" s="9">
        <f t="shared" si="18"/>
        <v>2042.9380363070989</v>
      </c>
    </row>
    <row r="20" spans="1:20" ht="14.25" customHeight="1">
      <c r="A20" s="38">
        <v>-5.5</v>
      </c>
      <c r="B20" s="39">
        <f t="shared" si="0"/>
        <v>-9.599310885968812E-2</v>
      </c>
      <c r="C20" s="39">
        <f t="shared" si="1"/>
        <v>455.16079839584523</v>
      </c>
      <c r="D20" s="9">
        <f t="shared" si="2"/>
        <v>0.70505516888557196</v>
      </c>
      <c r="E20" s="9">
        <f t="shared" si="3"/>
        <v>320.91347358307445</v>
      </c>
      <c r="F20" s="39">
        <f t="shared" si="4"/>
        <v>910.32159679169047</v>
      </c>
      <c r="G20" s="9">
        <f t="shared" si="5"/>
        <v>0.70505516888557196</v>
      </c>
      <c r="H20" s="9">
        <f t="shared" si="6"/>
        <v>641.8269471661489</v>
      </c>
      <c r="I20" s="39">
        <f t="shared" si="7"/>
        <v>1365.4823951875358</v>
      </c>
      <c r="J20" s="9">
        <f t="shared" si="8"/>
        <v>0.70505516888557196</v>
      </c>
      <c r="K20" s="9">
        <f t="shared" si="9"/>
        <v>962.74042074922329</v>
      </c>
      <c r="L20" s="39">
        <f t="shared" si="10"/>
        <v>1820.6431935833809</v>
      </c>
      <c r="M20" s="9">
        <f t="shared" si="11"/>
        <v>0.70505516888557196</v>
      </c>
      <c r="N20" s="9">
        <f t="shared" si="12"/>
        <v>1283.6538943322978</v>
      </c>
      <c r="O20" s="39">
        <f t="shared" si="13"/>
        <v>2275.8039919792263</v>
      </c>
      <c r="P20" s="9">
        <f t="shared" si="14"/>
        <v>0.70505516888557196</v>
      </c>
      <c r="Q20" s="9">
        <f t="shared" si="15"/>
        <v>1604.5673679153722</v>
      </c>
      <c r="R20" s="39">
        <f t="shared" si="16"/>
        <v>2958.5451895729943</v>
      </c>
      <c r="S20" s="9">
        <f t="shared" si="17"/>
        <v>0.70505516888557196</v>
      </c>
      <c r="T20" s="9">
        <f t="shared" si="18"/>
        <v>2085.9375782899842</v>
      </c>
    </row>
    <row r="21" spans="1:20" ht="14.25" customHeight="1">
      <c r="A21" s="38">
        <v>-5</v>
      </c>
      <c r="B21" s="39">
        <f t="shared" si="0"/>
        <v>-8.7266462599716474E-2</v>
      </c>
      <c r="C21" s="39">
        <f t="shared" si="1"/>
        <v>438.06190870782268</v>
      </c>
      <c r="D21" s="9">
        <f t="shared" si="2"/>
        <v>0.74118261262383944</v>
      </c>
      <c r="E21" s="9">
        <f t="shared" si="3"/>
        <v>324.68386998704983</v>
      </c>
      <c r="F21" s="39">
        <f t="shared" si="4"/>
        <v>876.12381741564536</v>
      </c>
      <c r="G21" s="9">
        <f t="shared" si="5"/>
        <v>0.74118261262383944</v>
      </c>
      <c r="H21" s="9">
        <f t="shared" si="6"/>
        <v>649.36773997409966</v>
      </c>
      <c r="I21" s="39">
        <f t="shared" si="7"/>
        <v>1314.1857261234682</v>
      </c>
      <c r="J21" s="9">
        <f t="shared" si="8"/>
        <v>0.74118261262383944</v>
      </c>
      <c r="K21" s="9">
        <f t="shared" si="9"/>
        <v>974.05160996114967</v>
      </c>
      <c r="L21" s="39">
        <f t="shared" si="10"/>
        <v>1752.2476348312907</v>
      </c>
      <c r="M21" s="9">
        <f t="shared" si="11"/>
        <v>0.74118261262383944</v>
      </c>
      <c r="N21" s="9">
        <f t="shared" si="12"/>
        <v>1298.7354799481993</v>
      </c>
      <c r="O21" s="39">
        <f t="shared" si="13"/>
        <v>2190.3095435391137</v>
      </c>
      <c r="P21" s="9">
        <f t="shared" si="14"/>
        <v>0.74118261262383944</v>
      </c>
      <c r="Q21" s="9">
        <f t="shared" si="15"/>
        <v>1623.4193499352496</v>
      </c>
      <c r="R21" s="39">
        <f t="shared" si="16"/>
        <v>2847.4024066008478</v>
      </c>
      <c r="S21" s="9">
        <f t="shared" si="17"/>
        <v>0.74118261262383944</v>
      </c>
      <c r="T21" s="9">
        <f t="shared" si="18"/>
        <v>2110.4451549158243</v>
      </c>
    </row>
    <row r="22" spans="1:20" ht="14.25" customHeight="1">
      <c r="A22" s="38">
        <v>-4.5</v>
      </c>
      <c r="B22" s="39">
        <f t="shared" si="0"/>
        <v>-7.8539816339744828E-2</v>
      </c>
      <c r="C22" s="39">
        <f t="shared" si="1"/>
        <v>417.39797638096439</v>
      </c>
      <c r="D22" s="9">
        <f t="shared" si="2"/>
        <v>0.77781455242938613</v>
      </c>
      <c r="E22" s="9">
        <f t="shared" si="3"/>
        <v>324.6582201836913</v>
      </c>
      <c r="F22" s="39">
        <f t="shared" si="4"/>
        <v>834.79595276192879</v>
      </c>
      <c r="G22" s="9">
        <f t="shared" si="5"/>
        <v>0.77781455242938613</v>
      </c>
      <c r="H22" s="9">
        <f t="shared" si="6"/>
        <v>649.3164403673826</v>
      </c>
      <c r="I22" s="39">
        <f t="shared" si="7"/>
        <v>1252.1939291428932</v>
      </c>
      <c r="J22" s="9">
        <f t="shared" si="8"/>
        <v>0.77781455242938613</v>
      </c>
      <c r="K22" s="9">
        <f t="shared" si="9"/>
        <v>973.97466055107395</v>
      </c>
      <c r="L22" s="39">
        <f t="shared" si="10"/>
        <v>1669.5919055238576</v>
      </c>
      <c r="M22" s="9">
        <f t="shared" si="11"/>
        <v>0.77781455242938613</v>
      </c>
      <c r="N22" s="9">
        <f t="shared" si="12"/>
        <v>1298.6328807347652</v>
      </c>
      <c r="O22" s="39">
        <f t="shared" si="13"/>
        <v>2086.9898819048221</v>
      </c>
      <c r="P22" s="9">
        <f t="shared" si="14"/>
        <v>0.77781455242938613</v>
      </c>
      <c r="Q22" s="9">
        <f t="shared" si="15"/>
        <v>1623.2911009184566</v>
      </c>
      <c r="R22" s="39">
        <f t="shared" si="16"/>
        <v>2713.0868464762689</v>
      </c>
      <c r="S22" s="9">
        <f t="shared" si="17"/>
        <v>0.77781455242938613</v>
      </c>
      <c r="T22" s="9">
        <f t="shared" si="18"/>
        <v>2110.2784311939936</v>
      </c>
    </row>
    <row r="23" spans="1:20" ht="14.25" customHeight="1">
      <c r="A23" s="38">
        <v>-4</v>
      </c>
      <c r="B23" s="39">
        <f t="shared" si="0"/>
        <v>-6.9813170079773182E-2</v>
      </c>
      <c r="C23" s="39">
        <f t="shared" si="1"/>
        <v>392.5776282580955</v>
      </c>
      <c r="D23" s="9">
        <f t="shared" si="2"/>
        <v>0.81441367009728838</v>
      </c>
      <c r="E23" s="9">
        <f t="shared" si="3"/>
        <v>319.72058702776451</v>
      </c>
      <c r="F23" s="39">
        <f t="shared" si="4"/>
        <v>785.155256516191</v>
      </c>
      <c r="G23" s="9">
        <f t="shared" si="5"/>
        <v>0.81441367009728838</v>
      </c>
      <c r="H23" s="9">
        <f t="shared" si="6"/>
        <v>639.44117405552902</v>
      </c>
      <c r="I23" s="39">
        <f t="shared" si="7"/>
        <v>1177.7328847742865</v>
      </c>
      <c r="J23" s="9">
        <f t="shared" si="8"/>
        <v>0.81441367009728838</v>
      </c>
      <c r="K23" s="9">
        <f t="shared" si="9"/>
        <v>959.16176108329353</v>
      </c>
      <c r="L23" s="39">
        <f t="shared" si="10"/>
        <v>1570.310513032382</v>
      </c>
      <c r="M23" s="9">
        <f t="shared" si="11"/>
        <v>0.81441367009728838</v>
      </c>
      <c r="N23" s="9">
        <f t="shared" si="12"/>
        <v>1278.882348111058</v>
      </c>
      <c r="O23" s="39">
        <f t="shared" si="13"/>
        <v>1962.8881412904777</v>
      </c>
      <c r="P23" s="9">
        <f t="shared" si="14"/>
        <v>0.81441367009728838</v>
      </c>
      <c r="Q23" s="9">
        <f t="shared" si="15"/>
        <v>1598.6029351388227</v>
      </c>
      <c r="R23" s="39">
        <f t="shared" si="16"/>
        <v>2551.7545836776208</v>
      </c>
      <c r="S23" s="9">
        <f t="shared" si="17"/>
        <v>0.81441367009728838</v>
      </c>
      <c r="T23" s="9">
        <f t="shared" si="18"/>
        <v>2078.1838156804693</v>
      </c>
    </row>
    <row r="24" spans="1:20" ht="14.25" customHeight="1">
      <c r="A24" s="38">
        <v>-3.5</v>
      </c>
      <c r="B24" s="39">
        <f t="shared" si="0"/>
        <v>-6.1086523819801536E-2</v>
      </c>
      <c r="C24" s="39">
        <f t="shared" si="1"/>
        <v>362.96864546149618</v>
      </c>
      <c r="D24" s="9">
        <f t="shared" si="2"/>
        <v>0.85028933003047125</v>
      </c>
      <c r="E24" s="9">
        <f t="shared" si="3"/>
        <v>308.62836637152321</v>
      </c>
      <c r="F24" s="39">
        <f t="shared" si="4"/>
        <v>725.93729092299236</v>
      </c>
      <c r="G24" s="9">
        <f t="shared" si="5"/>
        <v>0.85028933003047125</v>
      </c>
      <c r="H24" s="9">
        <f t="shared" si="6"/>
        <v>617.25673274304643</v>
      </c>
      <c r="I24" s="39">
        <f t="shared" si="7"/>
        <v>1088.9059363844885</v>
      </c>
      <c r="J24" s="9">
        <f t="shared" si="8"/>
        <v>0.85028933003047125</v>
      </c>
      <c r="K24" s="9">
        <f t="shared" si="9"/>
        <v>925.8850991145697</v>
      </c>
      <c r="L24" s="39">
        <f t="shared" si="10"/>
        <v>1451.8745818459847</v>
      </c>
      <c r="M24" s="9">
        <f t="shared" si="11"/>
        <v>0.85028933003047125</v>
      </c>
      <c r="N24" s="9">
        <f t="shared" si="12"/>
        <v>1234.5134654860929</v>
      </c>
      <c r="O24" s="39">
        <f t="shared" si="13"/>
        <v>1814.8432273074811</v>
      </c>
      <c r="P24" s="9">
        <f t="shared" si="14"/>
        <v>0.85028933003047125</v>
      </c>
      <c r="Q24" s="9">
        <f t="shared" si="15"/>
        <v>1543.1418318576164</v>
      </c>
      <c r="R24" s="39">
        <f t="shared" si="16"/>
        <v>2359.2961954997254</v>
      </c>
      <c r="S24" s="9">
        <f t="shared" si="17"/>
        <v>0.85028933003047125</v>
      </c>
      <c r="T24" s="9">
        <f t="shared" si="18"/>
        <v>2006.0843814149011</v>
      </c>
    </row>
    <row r="25" spans="1:20" ht="14.25" customHeight="1">
      <c r="A25" s="38">
        <v>-3</v>
      </c>
      <c r="B25" s="39">
        <f t="shared" si="0"/>
        <v>-5.235987755982989E-2</v>
      </c>
      <c r="C25" s="39">
        <f t="shared" si="1"/>
        <v>327.95027460362161</v>
      </c>
      <c r="D25" s="9">
        <f t="shared" si="2"/>
        <v>0.88459489884141784</v>
      </c>
      <c r="E25" s="9">
        <f t="shared" si="3"/>
        <v>290.10313998800586</v>
      </c>
      <c r="F25" s="39">
        <f t="shared" si="4"/>
        <v>655.90054920724322</v>
      </c>
      <c r="G25" s="9">
        <f t="shared" si="5"/>
        <v>0.88459489884141784</v>
      </c>
      <c r="H25" s="9">
        <f t="shared" si="6"/>
        <v>580.20627997601173</v>
      </c>
      <c r="I25" s="39">
        <f t="shared" si="7"/>
        <v>983.85082381086477</v>
      </c>
      <c r="J25" s="9">
        <f t="shared" si="8"/>
        <v>0.88459489884141784</v>
      </c>
      <c r="K25" s="9">
        <f t="shared" si="9"/>
        <v>870.30941996401748</v>
      </c>
      <c r="L25" s="39">
        <f t="shared" si="10"/>
        <v>1311.8010984144864</v>
      </c>
      <c r="M25" s="9">
        <f t="shared" si="11"/>
        <v>0.88459489884141784</v>
      </c>
      <c r="N25" s="9">
        <f t="shared" si="12"/>
        <v>1160.4125599520235</v>
      </c>
      <c r="O25" s="39">
        <f t="shared" si="13"/>
        <v>1639.7513730181081</v>
      </c>
      <c r="P25" s="9">
        <f t="shared" si="14"/>
        <v>0.88459489884141784</v>
      </c>
      <c r="Q25" s="9">
        <f t="shared" si="15"/>
        <v>1450.5156999400294</v>
      </c>
      <c r="R25" s="39">
        <f t="shared" si="16"/>
        <v>2131.6767849235407</v>
      </c>
      <c r="S25" s="9">
        <f t="shared" si="17"/>
        <v>0.88459489884141784</v>
      </c>
      <c r="T25" s="9">
        <f t="shared" si="18"/>
        <v>1885.6704099220383</v>
      </c>
    </row>
    <row r="26" spans="1:20" ht="14.25" customHeight="1">
      <c r="A26" s="38">
        <v>-2.5</v>
      </c>
      <c r="B26" s="39">
        <f t="shared" si="0"/>
        <v>-4.3633231299858237E-2</v>
      </c>
      <c r="C26" s="39">
        <f t="shared" si="1"/>
        <v>287.00327651945651</v>
      </c>
      <c r="D26" s="9">
        <f t="shared" si="2"/>
        <v>0.91634400616007383</v>
      </c>
      <c r="E26" s="9">
        <f t="shared" si="3"/>
        <v>262.99373218690624</v>
      </c>
      <c r="F26" s="39">
        <f t="shared" si="4"/>
        <v>574.00655303891301</v>
      </c>
      <c r="G26" s="9">
        <f t="shared" si="5"/>
        <v>0.91634400616007383</v>
      </c>
      <c r="H26" s="9">
        <f t="shared" si="6"/>
        <v>525.98746437381249</v>
      </c>
      <c r="I26" s="39">
        <f t="shared" si="7"/>
        <v>861.00982955836946</v>
      </c>
      <c r="J26" s="9">
        <f t="shared" si="8"/>
        <v>0.91634400616007383</v>
      </c>
      <c r="K26" s="9">
        <f t="shared" si="9"/>
        <v>788.98119656071867</v>
      </c>
      <c r="L26" s="39">
        <f t="shared" si="10"/>
        <v>1148.013106077826</v>
      </c>
      <c r="M26" s="9">
        <f t="shared" si="11"/>
        <v>0.91634400616007383</v>
      </c>
      <c r="N26" s="9">
        <f t="shared" si="12"/>
        <v>1051.974928747625</v>
      </c>
      <c r="O26" s="39">
        <f t="shared" si="13"/>
        <v>1435.0163825972825</v>
      </c>
      <c r="P26" s="9">
        <f t="shared" si="14"/>
        <v>0.91634400616007383</v>
      </c>
      <c r="Q26" s="9">
        <f t="shared" si="15"/>
        <v>1314.968660934531</v>
      </c>
      <c r="R26" s="39">
        <f t="shared" si="16"/>
        <v>1865.5212973764671</v>
      </c>
      <c r="S26" s="9">
        <f t="shared" si="17"/>
        <v>0.91634400616007383</v>
      </c>
      <c r="T26" s="9">
        <f t="shared" si="18"/>
        <v>1709.4592592148904</v>
      </c>
    </row>
    <row r="27" spans="1:20" ht="14.25" customHeight="1">
      <c r="A27" s="38">
        <v>-2</v>
      </c>
      <c r="B27" s="39">
        <f t="shared" si="0"/>
        <v>-3.4906585039886591E-2</v>
      </c>
      <c r="C27" s="39">
        <f t="shared" si="1"/>
        <v>239.84240743252153</v>
      </c>
      <c r="D27" s="9">
        <f t="shared" si="2"/>
        <v>0.94445248142535199</v>
      </c>
      <c r="E27" s="9">
        <f t="shared" si="3"/>
        <v>226.51975685067524</v>
      </c>
      <c r="F27" s="39">
        <f t="shared" si="4"/>
        <v>479.68481486504305</v>
      </c>
      <c r="G27" s="9">
        <f t="shared" si="5"/>
        <v>0.94445248142535199</v>
      </c>
      <c r="H27" s="9">
        <f t="shared" si="6"/>
        <v>453.03951370135047</v>
      </c>
      <c r="I27" s="39">
        <f t="shared" si="7"/>
        <v>719.52722229756455</v>
      </c>
      <c r="J27" s="9">
        <f t="shared" si="8"/>
        <v>0.94445248142535199</v>
      </c>
      <c r="K27" s="9">
        <f t="shared" si="9"/>
        <v>679.55927055202574</v>
      </c>
      <c r="L27" s="39">
        <f t="shared" si="10"/>
        <v>959.3696297300861</v>
      </c>
      <c r="M27" s="9">
        <f t="shared" si="11"/>
        <v>0.94445248142535199</v>
      </c>
      <c r="N27" s="9">
        <f t="shared" si="12"/>
        <v>906.07902740270094</v>
      </c>
      <c r="O27" s="39">
        <f t="shared" si="13"/>
        <v>1199.2120371626079</v>
      </c>
      <c r="P27" s="9">
        <f t="shared" si="14"/>
        <v>0.94445248142535199</v>
      </c>
      <c r="Q27" s="9">
        <f t="shared" si="15"/>
        <v>1132.5987842533764</v>
      </c>
      <c r="R27" s="39">
        <f t="shared" si="16"/>
        <v>1558.9756483113899</v>
      </c>
      <c r="S27" s="9">
        <f t="shared" si="17"/>
        <v>0.94445248142535199</v>
      </c>
      <c r="T27" s="9">
        <f t="shared" si="18"/>
        <v>1472.378419529389</v>
      </c>
    </row>
    <row r="28" spans="1:20" ht="14.25" customHeight="1">
      <c r="A28" s="38">
        <v>-1.5</v>
      </c>
      <c r="B28" s="39">
        <f t="shared" si="0"/>
        <v>-2.6179938779914945E-2</v>
      </c>
      <c r="C28" s="39">
        <f t="shared" si="1"/>
        <v>186.58021732907835</v>
      </c>
      <c r="D28" s="9">
        <f t="shared" si="2"/>
        <v>0.96780957333026718</v>
      </c>
      <c r="E28" s="9">
        <f t="shared" si="3"/>
        <v>180.57412052512385</v>
      </c>
      <c r="F28" s="39">
        <f t="shared" si="4"/>
        <v>373.1604346581567</v>
      </c>
      <c r="G28" s="9">
        <f t="shared" si="5"/>
        <v>0.96780957333026718</v>
      </c>
      <c r="H28" s="9">
        <f t="shared" si="6"/>
        <v>361.14824105024769</v>
      </c>
      <c r="I28" s="39">
        <f t="shared" si="7"/>
        <v>559.74065198723508</v>
      </c>
      <c r="J28" s="9">
        <f t="shared" si="8"/>
        <v>0.96780957333026718</v>
      </c>
      <c r="K28" s="9">
        <f t="shared" si="9"/>
        <v>541.72236157537156</v>
      </c>
      <c r="L28" s="39">
        <f t="shared" si="10"/>
        <v>746.32086931631341</v>
      </c>
      <c r="M28" s="9">
        <f t="shared" si="11"/>
        <v>0.96780957333026718</v>
      </c>
      <c r="N28" s="9">
        <f t="shared" si="12"/>
        <v>722.29648210049538</v>
      </c>
      <c r="O28" s="39">
        <f t="shared" si="13"/>
        <v>932.90108664539196</v>
      </c>
      <c r="P28" s="9">
        <f t="shared" si="14"/>
        <v>0.96780957333026718</v>
      </c>
      <c r="Q28" s="9">
        <f t="shared" si="15"/>
        <v>902.87060262561943</v>
      </c>
      <c r="R28" s="39">
        <f t="shared" si="16"/>
        <v>1212.7714126390094</v>
      </c>
      <c r="S28" s="9">
        <f t="shared" si="17"/>
        <v>0.96780957333026718</v>
      </c>
      <c r="T28" s="9">
        <f t="shared" si="18"/>
        <v>1173.731783413305</v>
      </c>
    </row>
    <row r="29" spans="1:20" ht="14.25" customHeight="1">
      <c r="A29" s="38">
        <v>-1</v>
      </c>
      <c r="B29" s="39">
        <f t="shared" si="0"/>
        <v>-1.7453292519943295E-2</v>
      </c>
      <c r="C29" s="39">
        <f t="shared" si="1"/>
        <v>127.88419493975469</v>
      </c>
      <c r="D29" s="9">
        <f t="shared" si="2"/>
        <v>0.98537561304325627</v>
      </c>
      <c r="E29" s="9">
        <f t="shared" si="3"/>
        <v>126.01396698730407</v>
      </c>
      <c r="F29" s="39">
        <f t="shared" si="4"/>
        <v>255.76838987950939</v>
      </c>
      <c r="G29" s="9">
        <f t="shared" si="5"/>
        <v>0.98537561304325627</v>
      </c>
      <c r="H29" s="9">
        <f t="shared" si="6"/>
        <v>252.02793397460815</v>
      </c>
      <c r="I29" s="39">
        <f t="shared" si="7"/>
        <v>383.65258481926406</v>
      </c>
      <c r="J29" s="9">
        <f t="shared" si="8"/>
        <v>0.98537561304325627</v>
      </c>
      <c r="K29" s="9">
        <f t="shared" si="9"/>
        <v>378.04190096191218</v>
      </c>
      <c r="L29" s="39">
        <f t="shared" si="10"/>
        <v>511.53677975901877</v>
      </c>
      <c r="M29" s="9">
        <f t="shared" si="11"/>
        <v>0.98537561304325627</v>
      </c>
      <c r="N29" s="9">
        <f t="shared" si="12"/>
        <v>504.05586794921629</v>
      </c>
      <c r="O29" s="39">
        <f t="shared" si="13"/>
        <v>639.42097469877353</v>
      </c>
      <c r="P29" s="9">
        <f t="shared" si="14"/>
        <v>0.98537561304325627</v>
      </c>
      <c r="Q29" s="9">
        <f t="shared" si="15"/>
        <v>630.06983493652046</v>
      </c>
      <c r="R29" s="39">
        <f t="shared" si="16"/>
        <v>831.24726710840559</v>
      </c>
      <c r="S29" s="9">
        <f t="shared" si="17"/>
        <v>0.98537561304325627</v>
      </c>
      <c r="T29" s="9">
        <f t="shared" si="18"/>
        <v>819.09078541747658</v>
      </c>
    </row>
    <row r="30" spans="1:20" ht="14.25" customHeight="1">
      <c r="A30" s="38">
        <v>-0.5</v>
      </c>
      <c r="B30" s="39">
        <f t="shared" si="0"/>
        <v>-8.7266462599716477E-3</v>
      </c>
      <c r="C30" s="39">
        <f t="shared" si="1"/>
        <v>65.061415158907735</v>
      </c>
      <c r="D30" s="9">
        <f t="shared" si="2"/>
        <v>0.99629438255649894</v>
      </c>
      <c r="E30" s="9">
        <f t="shared" si="3"/>
        <v>64.82032244399602</v>
      </c>
      <c r="F30" s="39">
        <f t="shared" si="4"/>
        <v>130.12283031781547</v>
      </c>
      <c r="G30" s="9">
        <f t="shared" si="5"/>
        <v>0.99629438255649894</v>
      </c>
      <c r="H30" s="9">
        <f t="shared" si="6"/>
        <v>129.64064488799204</v>
      </c>
      <c r="I30" s="39">
        <f t="shared" si="7"/>
        <v>195.18424547672319</v>
      </c>
      <c r="J30" s="9">
        <f t="shared" si="8"/>
        <v>0.99629438255649894</v>
      </c>
      <c r="K30" s="9">
        <f t="shared" si="9"/>
        <v>194.46096733198806</v>
      </c>
      <c r="L30" s="39">
        <f t="shared" si="10"/>
        <v>260.24566063563094</v>
      </c>
      <c r="M30" s="9">
        <f t="shared" si="11"/>
        <v>0.99629438255649894</v>
      </c>
      <c r="N30" s="9">
        <f t="shared" si="12"/>
        <v>259.28128977598408</v>
      </c>
      <c r="O30" s="39">
        <f t="shared" si="13"/>
        <v>325.30707579453872</v>
      </c>
      <c r="P30" s="9">
        <f t="shared" si="14"/>
        <v>0.99629438255649894</v>
      </c>
      <c r="Q30" s="9">
        <f t="shared" si="15"/>
        <v>324.10161221998015</v>
      </c>
      <c r="R30" s="39">
        <f t="shared" si="16"/>
        <v>422.89919853290024</v>
      </c>
      <c r="S30" s="9">
        <f t="shared" si="17"/>
        <v>0.99629438255649894</v>
      </c>
      <c r="T30" s="9">
        <f t="shared" si="18"/>
        <v>421.33209588597413</v>
      </c>
    </row>
    <row r="31" spans="1:20" ht="14.25" customHeight="1">
      <c r="A31" s="38">
        <v>0</v>
      </c>
      <c r="B31" s="39">
        <f t="shared" si="0"/>
        <v>0</v>
      </c>
      <c r="C31" s="39">
        <f t="shared" si="1"/>
        <v>0</v>
      </c>
      <c r="D31" s="9">
        <f t="shared" si="2"/>
        <v>1</v>
      </c>
      <c r="E31" s="9">
        <f t="shared" si="3"/>
        <v>0</v>
      </c>
      <c r="F31" s="39">
        <f t="shared" si="4"/>
        <v>0</v>
      </c>
      <c r="G31" s="9">
        <f t="shared" si="5"/>
        <v>1</v>
      </c>
      <c r="H31" s="9">
        <f t="shared" si="6"/>
        <v>0</v>
      </c>
      <c r="I31" s="39">
        <f t="shared" si="7"/>
        <v>0</v>
      </c>
      <c r="J31" s="9">
        <f t="shared" si="8"/>
        <v>1</v>
      </c>
      <c r="K31" s="9">
        <f t="shared" si="9"/>
        <v>0</v>
      </c>
      <c r="L31" s="39">
        <f t="shared" si="10"/>
        <v>0</v>
      </c>
      <c r="M31" s="9">
        <f t="shared" si="11"/>
        <v>1</v>
      </c>
      <c r="N31" s="9">
        <f t="shared" si="12"/>
        <v>0</v>
      </c>
      <c r="O31" s="39">
        <f t="shared" si="13"/>
        <v>0</v>
      </c>
      <c r="P31" s="9">
        <f t="shared" si="14"/>
        <v>1</v>
      </c>
      <c r="Q31" s="9">
        <f t="shared" si="15"/>
        <v>0</v>
      </c>
      <c r="R31" s="39">
        <f t="shared" si="16"/>
        <v>0</v>
      </c>
      <c r="S31" s="9">
        <f t="shared" si="17"/>
        <v>1</v>
      </c>
      <c r="T31" s="9">
        <f t="shared" si="18"/>
        <v>0</v>
      </c>
    </row>
    <row r="32" spans="1:20" ht="14.25" customHeight="1">
      <c r="A32" s="38">
        <v>0.5</v>
      </c>
      <c r="B32" s="39">
        <f t="shared" si="0"/>
        <v>8.7266462599716477E-3</v>
      </c>
      <c r="C32" s="39">
        <f t="shared" si="1"/>
        <v>-65.061415158907735</v>
      </c>
      <c r="D32" s="9">
        <f t="shared" si="2"/>
        <v>0.99629438255649894</v>
      </c>
      <c r="E32" s="9">
        <f t="shared" si="3"/>
        <v>-64.82032244399602</v>
      </c>
      <c r="F32" s="39">
        <f t="shared" si="4"/>
        <v>-130.12283031781547</v>
      </c>
      <c r="G32" s="9">
        <f t="shared" si="5"/>
        <v>0.99629438255649894</v>
      </c>
      <c r="H32" s="9">
        <f t="shared" si="6"/>
        <v>-129.64064488799204</v>
      </c>
      <c r="I32" s="39">
        <f t="shared" si="7"/>
        <v>-195.18424547672319</v>
      </c>
      <c r="J32" s="9">
        <f t="shared" si="8"/>
        <v>0.99629438255649894</v>
      </c>
      <c r="K32" s="9">
        <f t="shared" si="9"/>
        <v>-194.46096733198806</v>
      </c>
      <c r="L32" s="39">
        <f t="shared" si="10"/>
        <v>-260.24566063563094</v>
      </c>
      <c r="M32" s="9">
        <f t="shared" si="11"/>
        <v>0.99629438255649894</v>
      </c>
      <c r="N32" s="9">
        <f t="shared" si="12"/>
        <v>-259.28128977598408</v>
      </c>
      <c r="O32" s="39">
        <f t="shared" si="13"/>
        <v>-325.30707579453872</v>
      </c>
      <c r="P32" s="9">
        <f t="shared" si="14"/>
        <v>0.99629438255649894</v>
      </c>
      <c r="Q32" s="9">
        <f t="shared" si="15"/>
        <v>-324.10161221998015</v>
      </c>
      <c r="R32" s="39">
        <f t="shared" si="16"/>
        <v>-422.89919853290024</v>
      </c>
      <c r="S32" s="9">
        <f t="shared" si="17"/>
        <v>0.99629438255649894</v>
      </c>
      <c r="T32" s="9">
        <f t="shared" si="18"/>
        <v>-421.33209588597413</v>
      </c>
    </row>
    <row r="33" spans="1:20" ht="14.25" customHeight="1">
      <c r="A33" s="38">
        <v>1</v>
      </c>
      <c r="B33" s="39">
        <f t="shared" si="0"/>
        <v>1.7453292519943295E-2</v>
      </c>
      <c r="C33" s="39">
        <f t="shared" si="1"/>
        <v>-127.88419493975469</v>
      </c>
      <c r="D33" s="9">
        <f t="shared" si="2"/>
        <v>0.98537561304325627</v>
      </c>
      <c r="E33" s="9">
        <f t="shared" si="3"/>
        <v>-126.01396698730407</v>
      </c>
      <c r="F33" s="39">
        <f t="shared" si="4"/>
        <v>-255.76838987950939</v>
      </c>
      <c r="G33" s="9">
        <f t="shared" si="5"/>
        <v>0.98537561304325627</v>
      </c>
      <c r="H33" s="9">
        <f t="shared" si="6"/>
        <v>-252.02793397460815</v>
      </c>
      <c r="I33" s="39">
        <f t="shared" si="7"/>
        <v>-383.65258481926406</v>
      </c>
      <c r="J33" s="9">
        <f t="shared" si="8"/>
        <v>0.98537561304325627</v>
      </c>
      <c r="K33" s="9">
        <f t="shared" si="9"/>
        <v>-378.04190096191218</v>
      </c>
      <c r="L33" s="39">
        <f t="shared" si="10"/>
        <v>-511.53677975901877</v>
      </c>
      <c r="M33" s="9">
        <f t="shared" si="11"/>
        <v>0.98537561304325627</v>
      </c>
      <c r="N33" s="9">
        <f t="shared" si="12"/>
        <v>-504.05586794921629</v>
      </c>
      <c r="O33" s="39">
        <f t="shared" si="13"/>
        <v>-639.42097469877353</v>
      </c>
      <c r="P33" s="9">
        <f t="shared" si="14"/>
        <v>0.98537561304325627</v>
      </c>
      <c r="Q33" s="9">
        <f t="shared" si="15"/>
        <v>-630.06983493652046</v>
      </c>
      <c r="R33" s="39">
        <f t="shared" si="16"/>
        <v>-831.24726710840559</v>
      </c>
      <c r="S33" s="9">
        <f t="shared" si="17"/>
        <v>0.98537561304325627</v>
      </c>
      <c r="T33" s="9">
        <f t="shared" si="18"/>
        <v>-819.09078541747658</v>
      </c>
    </row>
    <row r="34" spans="1:20" ht="14.25" customHeight="1">
      <c r="A34" s="38">
        <v>1.5</v>
      </c>
      <c r="B34" s="39">
        <f t="shared" si="0"/>
        <v>2.6179938779914945E-2</v>
      </c>
      <c r="C34" s="39">
        <f t="shared" si="1"/>
        <v>-186.58021732907835</v>
      </c>
      <c r="D34" s="9">
        <f t="shared" si="2"/>
        <v>0.96780957333026718</v>
      </c>
      <c r="E34" s="9">
        <f t="shared" si="3"/>
        <v>-180.57412052512385</v>
      </c>
      <c r="F34" s="39">
        <f t="shared" si="4"/>
        <v>-373.1604346581567</v>
      </c>
      <c r="G34" s="9">
        <f t="shared" si="5"/>
        <v>0.96780957333026718</v>
      </c>
      <c r="H34" s="9">
        <f t="shared" si="6"/>
        <v>-361.14824105024769</v>
      </c>
      <c r="I34" s="39">
        <f t="shared" si="7"/>
        <v>-559.74065198723508</v>
      </c>
      <c r="J34" s="9">
        <f t="shared" si="8"/>
        <v>0.96780957333026718</v>
      </c>
      <c r="K34" s="9">
        <f t="shared" si="9"/>
        <v>-541.72236157537156</v>
      </c>
      <c r="L34" s="39">
        <f t="shared" si="10"/>
        <v>-746.32086931631341</v>
      </c>
      <c r="M34" s="9">
        <f t="shared" si="11"/>
        <v>0.96780957333026718</v>
      </c>
      <c r="N34" s="9">
        <f t="shared" si="12"/>
        <v>-722.29648210049538</v>
      </c>
      <c r="O34" s="39">
        <f t="shared" si="13"/>
        <v>-932.90108664539196</v>
      </c>
      <c r="P34" s="9">
        <f t="shared" si="14"/>
        <v>0.96780957333026718</v>
      </c>
      <c r="Q34" s="9">
        <f t="shared" si="15"/>
        <v>-902.87060262561943</v>
      </c>
      <c r="R34" s="39">
        <f t="shared" si="16"/>
        <v>-1212.7714126390094</v>
      </c>
      <c r="S34" s="9">
        <f t="shared" si="17"/>
        <v>0.96780957333026718</v>
      </c>
      <c r="T34" s="9">
        <f t="shared" si="18"/>
        <v>-1173.731783413305</v>
      </c>
    </row>
    <row r="35" spans="1:20" ht="14.25" customHeight="1">
      <c r="A35" s="38">
        <v>2</v>
      </c>
      <c r="B35" s="39">
        <f t="shared" si="0"/>
        <v>3.4906585039886591E-2</v>
      </c>
      <c r="C35" s="39">
        <f t="shared" si="1"/>
        <v>-239.84240743252153</v>
      </c>
      <c r="D35" s="9">
        <f t="shared" si="2"/>
        <v>0.94445248142535199</v>
      </c>
      <c r="E35" s="9">
        <f t="shared" si="3"/>
        <v>-226.51975685067524</v>
      </c>
      <c r="F35" s="39">
        <f t="shared" si="4"/>
        <v>-479.68481486504305</v>
      </c>
      <c r="G35" s="9">
        <f t="shared" si="5"/>
        <v>0.94445248142535199</v>
      </c>
      <c r="H35" s="9">
        <f t="shared" si="6"/>
        <v>-453.03951370135047</v>
      </c>
      <c r="I35" s="39">
        <f t="shared" si="7"/>
        <v>-719.52722229756455</v>
      </c>
      <c r="J35" s="9">
        <f t="shared" si="8"/>
        <v>0.94445248142535199</v>
      </c>
      <c r="K35" s="9">
        <f t="shared" si="9"/>
        <v>-679.55927055202574</v>
      </c>
      <c r="L35" s="39">
        <f t="shared" si="10"/>
        <v>-959.3696297300861</v>
      </c>
      <c r="M35" s="9">
        <f t="shared" si="11"/>
        <v>0.94445248142535199</v>
      </c>
      <c r="N35" s="9">
        <f t="shared" si="12"/>
        <v>-906.07902740270094</v>
      </c>
      <c r="O35" s="39">
        <f t="shared" si="13"/>
        <v>-1199.2120371626079</v>
      </c>
      <c r="P35" s="9">
        <f t="shared" si="14"/>
        <v>0.94445248142535199</v>
      </c>
      <c r="Q35" s="9">
        <f t="shared" si="15"/>
        <v>-1132.5987842533764</v>
      </c>
      <c r="R35" s="39">
        <f t="shared" si="16"/>
        <v>-1558.9756483113899</v>
      </c>
      <c r="S35" s="9">
        <f t="shared" si="17"/>
        <v>0.94445248142535199</v>
      </c>
      <c r="T35" s="9">
        <f t="shared" si="18"/>
        <v>-1472.378419529389</v>
      </c>
    </row>
    <row r="36" spans="1:20" ht="14.25" customHeight="1">
      <c r="A36" s="38">
        <v>2.5</v>
      </c>
      <c r="B36" s="39">
        <f t="shared" si="0"/>
        <v>4.3633231299858237E-2</v>
      </c>
      <c r="C36" s="39">
        <f t="shared" si="1"/>
        <v>-287.00327651945651</v>
      </c>
      <c r="D36" s="9">
        <f t="shared" si="2"/>
        <v>0.91634400616007383</v>
      </c>
      <c r="E36" s="9">
        <f t="shared" si="3"/>
        <v>-262.99373218690624</v>
      </c>
      <c r="F36" s="39">
        <f t="shared" si="4"/>
        <v>-574.00655303891301</v>
      </c>
      <c r="G36" s="9">
        <f t="shared" si="5"/>
        <v>0.91634400616007383</v>
      </c>
      <c r="H36" s="9">
        <f t="shared" si="6"/>
        <v>-525.98746437381249</v>
      </c>
      <c r="I36" s="39">
        <f t="shared" si="7"/>
        <v>-861.00982955836946</v>
      </c>
      <c r="J36" s="9">
        <f t="shared" si="8"/>
        <v>0.91634400616007383</v>
      </c>
      <c r="K36" s="9">
        <f t="shared" si="9"/>
        <v>-788.98119656071867</v>
      </c>
      <c r="L36" s="39">
        <f t="shared" si="10"/>
        <v>-1148.013106077826</v>
      </c>
      <c r="M36" s="9">
        <f t="shared" si="11"/>
        <v>0.91634400616007383</v>
      </c>
      <c r="N36" s="9">
        <f t="shared" si="12"/>
        <v>-1051.974928747625</v>
      </c>
      <c r="O36" s="39">
        <f t="shared" si="13"/>
        <v>-1435.0163825972825</v>
      </c>
      <c r="P36" s="9">
        <f t="shared" si="14"/>
        <v>0.91634400616007383</v>
      </c>
      <c r="Q36" s="9">
        <f t="shared" si="15"/>
        <v>-1314.968660934531</v>
      </c>
      <c r="R36" s="39">
        <f t="shared" si="16"/>
        <v>-1865.5212973764671</v>
      </c>
      <c r="S36" s="9">
        <f t="shared" si="17"/>
        <v>0.91634400616007383</v>
      </c>
      <c r="T36" s="9">
        <f t="shared" si="18"/>
        <v>-1709.4592592148904</v>
      </c>
    </row>
    <row r="37" spans="1:20" ht="14.25" customHeight="1">
      <c r="A37" s="38">
        <v>3</v>
      </c>
      <c r="B37" s="39">
        <f t="shared" si="0"/>
        <v>5.235987755982989E-2</v>
      </c>
      <c r="C37" s="39">
        <f t="shared" si="1"/>
        <v>-327.95027460362161</v>
      </c>
      <c r="D37" s="9">
        <f t="shared" si="2"/>
        <v>0.88459489884141784</v>
      </c>
      <c r="E37" s="9">
        <f t="shared" si="3"/>
        <v>-290.10313998800586</v>
      </c>
      <c r="F37" s="39">
        <f t="shared" si="4"/>
        <v>-655.90054920724322</v>
      </c>
      <c r="G37" s="9">
        <f t="shared" si="5"/>
        <v>0.88459489884141784</v>
      </c>
      <c r="H37" s="9">
        <f t="shared" si="6"/>
        <v>-580.20627997601173</v>
      </c>
      <c r="I37" s="39">
        <f t="shared" si="7"/>
        <v>-983.85082381086477</v>
      </c>
      <c r="J37" s="9">
        <f t="shared" si="8"/>
        <v>0.88459489884141784</v>
      </c>
      <c r="K37" s="9">
        <f t="shared" si="9"/>
        <v>-870.30941996401748</v>
      </c>
      <c r="L37" s="39">
        <f t="shared" si="10"/>
        <v>-1311.8010984144864</v>
      </c>
      <c r="M37" s="9">
        <f t="shared" si="11"/>
        <v>0.88459489884141784</v>
      </c>
      <c r="N37" s="9">
        <f t="shared" si="12"/>
        <v>-1160.4125599520235</v>
      </c>
      <c r="O37" s="39">
        <f t="shared" si="13"/>
        <v>-1639.7513730181081</v>
      </c>
      <c r="P37" s="9">
        <f t="shared" si="14"/>
        <v>0.88459489884141784</v>
      </c>
      <c r="Q37" s="9">
        <f t="shared" si="15"/>
        <v>-1450.5156999400294</v>
      </c>
      <c r="R37" s="39">
        <f t="shared" si="16"/>
        <v>-2131.6767849235407</v>
      </c>
      <c r="S37" s="9">
        <f t="shared" si="17"/>
        <v>0.88459489884141784</v>
      </c>
      <c r="T37" s="9">
        <f t="shared" si="18"/>
        <v>-1885.6704099220383</v>
      </c>
    </row>
    <row r="38" spans="1:20" ht="14.25" customHeight="1">
      <c r="A38" s="38">
        <v>3.5</v>
      </c>
      <c r="B38" s="39">
        <f t="shared" si="0"/>
        <v>6.1086523819801536E-2</v>
      </c>
      <c r="C38" s="39">
        <f t="shared" si="1"/>
        <v>-362.96864546149618</v>
      </c>
      <c r="D38" s="9">
        <f t="shared" si="2"/>
        <v>0.85028933003047125</v>
      </c>
      <c r="E38" s="9">
        <f t="shared" si="3"/>
        <v>-308.62836637152321</v>
      </c>
      <c r="F38" s="39">
        <f t="shared" si="4"/>
        <v>-725.93729092299236</v>
      </c>
      <c r="G38" s="9">
        <f t="shared" si="5"/>
        <v>0.85028933003047125</v>
      </c>
      <c r="H38" s="9">
        <f t="shared" si="6"/>
        <v>-617.25673274304643</v>
      </c>
      <c r="I38" s="39">
        <f t="shared" si="7"/>
        <v>-1088.9059363844885</v>
      </c>
      <c r="J38" s="9">
        <f t="shared" si="8"/>
        <v>0.85028933003047125</v>
      </c>
      <c r="K38" s="9">
        <f t="shared" si="9"/>
        <v>-925.8850991145697</v>
      </c>
      <c r="L38" s="39">
        <f t="shared" si="10"/>
        <v>-1451.8745818459847</v>
      </c>
      <c r="M38" s="9">
        <f t="shared" si="11"/>
        <v>0.85028933003047125</v>
      </c>
      <c r="N38" s="9">
        <f t="shared" si="12"/>
        <v>-1234.5134654860929</v>
      </c>
      <c r="O38" s="39">
        <f t="shared" si="13"/>
        <v>-1814.8432273074811</v>
      </c>
      <c r="P38" s="9">
        <f t="shared" si="14"/>
        <v>0.85028933003047125</v>
      </c>
      <c r="Q38" s="9">
        <f t="shared" si="15"/>
        <v>-1543.1418318576164</v>
      </c>
      <c r="R38" s="39">
        <f t="shared" si="16"/>
        <v>-2359.2961954997254</v>
      </c>
      <c r="S38" s="9">
        <f t="shared" si="17"/>
        <v>0.85028933003047125</v>
      </c>
      <c r="T38" s="9">
        <f t="shared" si="18"/>
        <v>-2006.0843814149011</v>
      </c>
    </row>
    <row r="39" spans="1:20" ht="14.25" customHeight="1">
      <c r="A39" s="38">
        <v>4</v>
      </c>
      <c r="B39" s="39">
        <f t="shared" si="0"/>
        <v>6.9813170079773182E-2</v>
      </c>
      <c r="C39" s="39">
        <f t="shared" si="1"/>
        <v>-392.5776282580955</v>
      </c>
      <c r="D39" s="9">
        <f t="shared" si="2"/>
        <v>0.81441367009728838</v>
      </c>
      <c r="E39" s="9">
        <f t="shared" si="3"/>
        <v>-319.72058702776451</v>
      </c>
      <c r="F39" s="39">
        <f t="shared" si="4"/>
        <v>-785.155256516191</v>
      </c>
      <c r="G39" s="9">
        <f t="shared" si="5"/>
        <v>0.81441367009728838</v>
      </c>
      <c r="H39" s="9">
        <f t="shared" si="6"/>
        <v>-639.44117405552902</v>
      </c>
      <c r="I39" s="39">
        <f t="shared" si="7"/>
        <v>-1177.7328847742865</v>
      </c>
      <c r="J39" s="9">
        <f t="shared" si="8"/>
        <v>0.81441367009728838</v>
      </c>
      <c r="K39" s="9">
        <f t="shared" si="9"/>
        <v>-959.16176108329353</v>
      </c>
      <c r="L39" s="39">
        <f t="shared" si="10"/>
        <v>-1570.310513032382</v>
      </c>
      <c r="M39" s="9">
        <f t="shared" si="11"/>
        <v>0.81441367009728838</v>
      </c>
      <c r="N39" s="9">
        <f t="shared" si="12"/>
        <v>-1278.882348111058</v>
      </c>
      <c r="O39" s="39">
        <f t="shared" si="13"/>
        <v>-1962.8881412904777</v>
      </c>
      <c r="P39" s="9">
        <f t="shared" si="14"/>
        <v>0.81441367009728838</v>
      </c>
      <c r="Q39" s="9">
        <f t="shared" si="15"/>
        <v>-1598.6029351388227</v>
      </c>
      <c r="R39" s="39">
        <f t="shared" si="16"/>
        <v>-2551.7545836776208</v>
      </c>
      <c r="S39" s="9">
        <f t="shared" si="17"/>
        <v>0.81441367009728838</v>
      </c>
      <c r="T39" s="9">
        <f t="shared" si="18"/>
        <v>-2078.1838156804693</v>
      </c>
    </row>
    <row r="40" spans="1:20" ht="14.25" customHeight="1">
      <c r="A40" s="38">
        <v>4.5</v>
      </c>
      <c r="B40" s="39">
        <f t="shared" si="0"/>
        <v>7.8539816339744828E-2</v>
      </c>
      <c r="C40" s="39">
        <f t="shared" si="1"/>
        <v>-417.39797638096439</v>
      </c>
      <c r="D40" s="9">
        <f t="shared" si="2"/>
        <v>0.77781455242938613</v>
      </c>
      <c r="E40" s="9">
        <f t="shared" si="3"/>
        <v>-324.6582201836913</v>
      </c>
      <c r="F40" s="39">
        <f t="shared" si="4"/>
        <v>-834.79595276192879</v>
      </c>
      <c r="G40" s="9">
        <f t="shared" si="5"/>
        <v>0.77781455242938613</v>
      </c>
      <c r="H40" s="9">
        <f t="shared" si="6"/>
        <v>-649.3164403673826</v>
      </c>
      <c r="I40" s="39">
        <f t="shared" si="7"/>
        <v>-1252.1939291428932</v>
      </c>
      <c r="J40" s="9">
        <f t="shared" si="8"/>
        <v>0.77781455242938613</v>
      </c>
      <c r="K40" s="9">
        <f t="shared" si="9"/>
        <v>-973.97466055107395</v>
      </c>
      <c r="L40" s="39">
        <f t="shared" si="10"/>
        <v>-1669.5919055238576</v>
      </c>
      <c r="M40" s="9">
        <f t="shared" si="11"/>
        <v>0.77781455242938613</v>
      </c>
      <c r="N40" s="9">
        <f t="shared" si="12"/>
        <v>-1298.6328807347652</v>
      </c>
      <c r="O40" s="39">
        <f t="shared" si="13"/>
        <v>-2086.9898819048221</v>
      </c>
      <c r="P40" s="9">
        <f t="shared" si="14"/>
        <v>0.77781455242938613</v>
      </c>
      <c r="Q40" s="9">
        <f t="shared" si="15"/>
        <v>-1623.2911009184566</v>
      </c>
      <c r="R40" s="39">
        <f t="shared" si="16"/>
        <v>-2713.0868464762689</v>
      </c>
      <c r="S40" s="9">
        <f t="shared" si="17"/>
        <v>0.77781455242938613</v>
      </c>
      <c r="T40" s="9">
        <f t="shared" si="18"/>
        <v>-2110.2784311939936</v>
      </c>
    </row>
    <row r="41" spans="1:20" ht="14.25" customHeight="1">
      <c r="A41" s="38">
        <v>5</v>
      </c>
      <c r="B41" s="39">
        <f t="shared" si="0"/>
        <v>8.7266462599716474E-2</v>
      </c>
      <c r="C41" s="39">
        <f t="shared" si="1"/>
        <v>-438.06190870782268</v>
      </c>
      <c r="D41" s="9">
        <f t="shared" si="2"/>
        <v>0.74118261262383944</v>
      </c>
      <c r="E41" s="9">
        <f t="shared" si="3"/>
        <v>-324.68386998704983</v>
      </c>
      <c r="F41" s="39">
        <f t="shared" si="4"/>
        <v>-876.12381741564536</v>
      </c>
      <c r="G41" s="9">
        <f t="shared" si="5"/>
        <v>0.74118261262383944</v>
      </c>
      <c r="H41" s="9">
        <f t="shared" si="6"/>
        <v>-649.36773997409966</v>
      </c>
      <c r="I41" s="39">
        <f t="shared" si="7"/>
        <v>-1314.1857261234682</v>
      </c>
      <c r="J41" s="9">
        <f t="shared" si="8"/>
        <v>0.74118261262383944</v>
      </c>
      <c r="K41" s="9">
        <f t="shared" si="9"/>
        <v>-974.05160996114967</v>
      </c>
      <c r="L41" s="39">
        <f t="shared" si="10"/>
        <v>-1752.2476348312907</v>
      </c>
      <c r="M41" s="9">
        <f t="shared" si="11"/>
        <v>0.74118261262383944</v>
      </c>
      <c r="N41" s="9">
        <f t="shared" si="12"/>
        <v>-1298.7354799481993</v>
      </c>
      <c r="O41" s="39">
        <f t="shared" si="13"/>
        <v>-2190.3095435391137</v>
      </c>
      <c r="P41" s="9">
        <f t="shared" si="14"/>
        <v>0.74118261262383944</v>
      </c>
      <c r="Q41" s="9">
        <f t="shared" si="15"/>
        <v>-1623.4193499352496</v>
      </c>
      <c r="R41" s="39">
        <f t="shared" si="16"/>
        <v>-2847.4024066008478</v>
      </c>
      <c r="S41" s="9">
        <f t="shared" si="17"/>
        <v>0.74118261262383944</v>
      </c>
      <c r="T41" s="9">
        <f t="shared" si="18"/>
        <v>-2110.4451549158243</v>
      </c>
    </row>
    <row r="42" spans="1:20" ht="14.25" customHeight="1">
      <c r="A42" s="38">
        <v>5.5</v>
      </c>
      <c r="B42" s="39">
        <f t="shared" si="0"/>
        <v>9.599310885968812E-2</v>
      </c>
      <c r="C42" s="39">
        <f t="shared" si="1"/>
        <v>-455.16079839584523</v>
      </c>
      <c r="D42" s="9">
        <f t="shared" si="2"/>
        <v>0.70505516888557196</v>
      </c>
      <c r="E42" s="9">
        <f t="shared" si="3"/>
        <v>-320.91347358307445</v>
      </c>
      <c r="F42" s="39">
        <f t="shared" si="4"/>
        <v>-910.32159679169047</v>
      </c>
      <c r="G42" s="9">
        <f t="shared" si="5"/>
        <v>0.70505516888557196</v>
      </c>
      <c r="H42" s="9">
        <f t="shared" si="6"/>
        <v>-641.8269471661489</v>
      </c>
      <c r="I42" s="39">
        <f t="shared" si="7"/>
        <v>-1365.4823951875358</v>
      </c>
      <c r="J42" s="9">
        <f t="shared" si="8"/>
        <v>0.70505516888557196</v>
      </c>
      <c r="K42" s="9">
        <f t="shared" si="9"/>
        <v>-962.74042074922329</v>
      </c>
      <c r="L42" s="39">
        <f t="shared" si="10"/>
        <v>-1820.6431935833809</v>
      </c>
      <c r="M42" s="9">
        <f t="shared" si="11"/>
        <v>0.70505516888557196</v>
      </c>
      <c r="N42" s="9">
        <f t="shared" si="12"/>
        <v>-1283.6538943322978</v>
      </c>
      <c r="O42" s="39">
        <f t="shared" si="13"/>
        <v>-2275.8039919792263</v>
      </c>
      <c r="P42" s="9">
        <f t="shared" si="14"/>
        <v>0.70505516888557196</v>
      </c>
      <c r="Q42" s="9">
        <f t="shared" si="15"/>
        <v>-1604.5673679153722</v>
      </c>
      <c r="R42" s="39">
        <f t="shared" si="16"/>
        <v>-2958.5451895729943</v>
      </c>
      <c r="S42" s="9">
        <f t="shared" si="17"/>
        <v>0.70505516888557196</v>
      </c>
      <c r="T42" s="9">
        <f t="shared" si="18"/>
        <v>-2085.9375782899842</v>
      </c>
    </row>
    <row r="43" spans="1:20" ht="14.25" customHeight="1">
      <c r="A43" s="38">
        <v>6</v>
      </c>
      <c r="B43" s="39">
        <f t="shared" si="0"/>
        <v>0.10471975511965978</v>
      </c>
      <c r="C43" s="39">
        <f t="shared" si="1"/>
        <v>-469.22030090000936</v>
      </c>
      <c r="D43" s="9">
        <f t="shared" si="2"/>
        <v>0.66983069323515509</v>
      </c>
      <c r="E43" s="9">
        <f t="shared" si="3"/>
        <v>-314.29815943186134</v>
      </c>
      <c r="F43" s="39">
        <f t="shared" si="4"/>
        <v>-938.44060180001873</v>
      </c>
      <c r="G43" s="9">
        <f t="shared" si="5"/>
        <v>0.66983069323515509</v>
      </c>
      <c r="H43" s="9">
        <f t="shared" si="6"/>
        <v>-628.59631886372267</v>
      </c>
      <c r="I43" s="39">
        <f t="shared" si="7"/>
        <v>-1407.6609027000281</v>
      </c>
      <c r="J43" s="9">
        <f t="shared" si="8"/>
        <v>0.66983069323515509</v>
      </c>
      <c r="K43" s="9">
        <f t="shared" si="9"/>
        <v>-942.89447829558401</v>
      </c>
      <c r="L43" s="39">
        <f t="shared" si="10"/>
        <v>-1876.8812036000375</v>
      </c>
      <c r="M43" s="9">
        <f t="shared" si="11"/>
        <v>0.66983069323515509</v>
      </c>
      <c r="N43" s="9">
        <f t="shared" si="12"/>
        <v>-1257.1926377274453</v>
      </c>
      <c r="O43" s="39">
        <f t="shared" si="13"/>
        <v>-2346.1015045000472</v>
      </c>
      <c r="P43" s="9">
        <f t="shared" si="14"/>
        <v>0.66983069323515509</v>
      </c>
      <c r="Q43" s="9">
        <f t="shared" si="15"/>
        <v>-1571.490797159307</v>
      </c>
      <c r="R43" s="39">
        <f t="shared" si="16"/>
        <v>-3049.9319558500611</v>
      </c>
      <c r="S43" s="9">
        <f t="shared" si="17"/>
        <v>0.66983069323515509</v>
      </c>
      <c r="T43" s="9">
        <f t="shared" si="18"/>
        <v>-2042.9380363070989</v>
      </c>
    </row>
    <row r="44" spans="1:20" ht="14.25" customHeight="1">
      <c r="A44" s="38">
        <v>6.5</v>
      </c>
      <c r="B44" s="39">
        <f t="shared" si="0"/>
        <v>0.11344640137963143</v>
      </c>
      <c r="C44" s="39">
        <f t="shared" si="1"/>
        <v>-480.69285909706514</v>
      </c>
      <c r="D44" s="9">
        <f t="shared" si="2"/>
        <v>0.63578907964003617</v>
      </c>
      <c r="E44" s="9">
        <f t="shared" si="3"/>
        <v>-305.61927047486063</v>
      </c>
      <c r="F44" s="39">
        <f t="shared" si="4"/>
        <v>-961.38571819413028</v>
      </c>
      <c r="G44" s="9">
        <f t="shared" si="5"/>
        <v>0.63578907964003617</v>
      </c>
      <c r="H44" s="9">
        <f t="shared" si="6"/>
        <v>-611.23854094972125</v>
      </c>
      <c r="I44" s="39">
        <f t="shared" si="7"/>
        <v>-1442.0785772911954</v>
      </c>
      <c r="J44" s="9">
        <f t="shared" si="8"/>
        <v>0.63578907964003617</v>
      </c>
      <c r="K44" s="9">
        <f t="shared" si="9"/>
        <v>-916.85781142458188</v>
      </c>
      <c r="L44" s="39">
        <f t="shared" si="10"/>
        <v>-1922.7714363882606</v>
      </c>
      <c r="M44" s="9">
        <f t="shared" si="11"/>
        <v>0.63578907964003617</v>
      </c>
      <c r="N44" s="9">
        <f t="shared" si="12"/>
        <v>-1222.4770818994425</v>
      </c>
      <c r="O44" s="39">
        <f t="shared" si="13"/>
        <v>-2403.4642954853261</v>
      </c>
      <c r="P44" s="9">
        <f t="shared" si="14"/>
        <v>0.63578907964003617</v>
      </c>
      <c r="Q44" s="9">
        <f t="shared" si="15"/>
        <v>-1528.0963523743035</v>
      </c>
      <c r="R44" s="39">
        <f t="shared" si="16"/>
        <v>-3124.5035841309236</v>
      </c>
      <c r="S44" s="9">
        <f t="shared" si="17"/>
        <v>0.63578907964003617</v>
      </c>
      <c r="T44" s="9">
        <f t="shared" si="18"/>
        <v>-1986.5252580865942</v>
      </c>
    </row>
    <row r="45" spans="1:20" ht="14.25" customHeight="1">
      <c r="A45" s="38">
        <v>7</v>
      </c>
      <c r="B45" s="39">
        <f t="shared" si="0"/>
        <v>0.12217304763960307</v>
      </c>
      <c r="C45" s="39">
        <f t="shared" si="1"/>
        <v>-489.9599343965719</v>
      </c>
      <c r="D45" s="9">
        <f t="shared" si="2"/>
        <v>0.60311342978995153</v>
      </c>
      <c r="E45" s="9">
        <f t="shared" si="3"/>
        <v>-295.50141649357613</v>
      </c>
      <c r="F45" s="39">
        <f t="shared" si="4"/>
        <v>-979.91986879314379</v>
      </c>
      <c r="G45" s="9">
        <f t="shared" si="5"/>
        <v>0.60311342978995153</v>
      </c>
      <c r="H45" s="9">
        <f t="shared" si="6"/>
        <v>-591.00283298715226</v>
      </c>
      <c r="I45" s="39">
        <f t="shared" si="7"/>
        <v>-1469.8798031897156</v>
      </c>
      <c r="J45" s="9">
        <f t="shared" si="8"/>
        <v>0.60311342978995153</v>
      </c>
      <c r="K45" s="9">
        <f t="shared" si="9"/>
        <v>-886.50424948072828</v>
      </c>
      <c r="L45" s="39">
        <f t="shared" si="10"/>
        <v>-1959.8397375862876</v>
      </c>
      <c r="M45" s="9">
        <f t="shared" si="11"/>
        <v>0.60311342978995153</v>
      </c>
      <c r="N45" s="9">
        <f t="shared" si="12"/>
        <v>-1182.0056659743045</v>
      </c>
      <c r="O45" s="39">
        <f t="shared" si="13"/>
        <v>-2449.7996719828598</v>
      </c>
      <c r="P45" s="9">
        <f t="shared" si="14"/>
        <v>0.60311342978995153</v>
      </c>
      <c r="Q45" s="9">
        <f t="shared" si="15"/>
        <v>-1477.5070824678808</v>
      </c>
      <c r="R45" s="39">
        <f t="shared" si="16"/>
        <v>-3184.7395735777172</v>
      </c>
      <c r="S45" s="9">
        <f t="shared" si="17"/>
        <v>0.60311342978995153</v>
      </c>
      <c r="T45" s="9">
        <f t="shared" si="18"/>
        <v>-1920.7592072082448</v>
      </c>
    </row>
    <row r="46" spans="1:20" ht="14.25" customHeight="1">
      <c r="A46" s="38">
        <v>7.5</v>
      </c>
      <c r="B46" s="39">
        <f t="shared" si="0"/>
        <v>0.1308996938995747</v>
      </c>
      <c r="C46" s="39">
        <f t="shared" si="1"/>
        <v>-497.33891012963306</v>
      </c>
      <c r="D46" s="9">
        <f t="shared" si="2"/>
        <v>0.57191071368942781</v>
      </c>
      <c r="E46" s="9">
        <f t="shared" si="3"/>
        <v>-284.43345103776062</v>
      </c>
      <c r="F46" s="39">
        <f t="shared" si="4"/>
        <v>-994.67782025926613</v>
      </c>
      <c r="G46" s="9">
        <f t="shared" si="5"/>
        <v>0.57191071368942781</v>
      </c>
      <c r="H46" s="9">
        <f t="shared" si="6"/>
        <v>-568.86690207552124</v>
      </c>
      <c r="I46" s="39">
        <f t="shared" si="7"/>
        <v>-1492.0167303888993</v>
      </c>
      <c r="J46" s="9">
        <f t="shared" si="8"/>
        <v>0.57191071368942781</v>
      </c>
      <c r="K46" s="9">
        <f t="shared" si="9"/>
        <v>-853.30035311328197</v>
      </c>
      <c r="L46" s="39">
        <f t="shared" si="10"/>
        <v>-1989.3556405185323</v>
      </c>
      <c r="M46" s="9">
        <f t="shared" si="11"/>
        <v>0.57191071368942781</v>
      </c>
      <c r="N46" s="9">
        <f t="shared" si="12"/>
        <v>-1137.7338041510425</v>
      </c>
      <c r="O46" s="39">
        <f t="shared" si="13"/>
        <v>-2486.6945506481657</v>
      </c>
      <c r="P46" s="9">
        <f t="shared" si="14"/>
        <v>0.57191071368942781</v>
      </c>
      <c r="Q46" s="9">
        <f t="shared" si="15"/>
        <v>-1422.1672551888034</v>
      </c>
      <c r="R46" s="39">
        <f t="shared" si="16"/>
        <v>-3232.7029158426153</v>
      </c>
      <c r="S46" s="9">
        <f t="shared" si="17"/>
        <v>0.57191071368942781</v>
      </c>
      <c r="T46" s="9">
        <f t="shared" si="18"/>
        <v>-1848.8174317454443</v>
      </c>
    </row>
    <row r="47" spans="1:20" ht="14.25" customHeight="1">
      <c r="A47" s="38">
        <v>8</v>
      </c>
      <c r="B47" s="39">
        <f t="shared" si="0"/>
        <v>0.13962634015954636</v>
      </c>
      <c r="C47" s="39">
        <f t="shared" si="1"/>
        <v>-503.09165626967297</v>
      </c>
      <c r="D47" s="9">
        <f t="shared" si="2"/>
        <v>0.54222993950391163</v>
      </c>
      <c r="E47" s="9">
        <f t="shared" si="3"/>
        <v>-272.79135834402746</v>
      </c>
      <c r="F47" s="39">
        <f t="shared" si="4"/>
        <v>-1006.1833125393459</v>
      </c>
      <c r="G47" s="9">
        <f t="shared" si="5"/>
        <v>0.54222993950391163</v>
      </c>
      <c r="H47" s="9">
        <f t="shared" si="6"/>
        <v>-545.58271668805492</v>
      </c>
      <c r="I47" s="39">
        <f t="shared" si="7"/>
        <v>-1509.2749688090189</v>
      </c>
      <c r="J47" s="9">
        <f t="shared" si="8"/>
        <v>0.54222993950391163</v>
      </c>
      <c r="K47" s="9">
        <f t="shared" si="9"/>
        <v>-818.37407503208237</v>
      </c>
      <c r="L47" s="39">
        <f t="shared" si="10"/>
        <v>-2012.3666250786919</v>
      </c>
      <c r="M47" s="9">
        <f t="shared" si="11"/>
        <v>0.54222993950391163</v>
      </c>
      <c r="N47" s="9">
        <f t="shared" si="12"/>
        <v>-1091.1654333761098</v>
      </c>
      <c r="O47" s="39">
        <f t="shared" si="13"/>
        <v>-2515.4582813483653</v>
      </c>
      <c r="P47" s="9">
        <f t="shared" si="14"/>
        <v>0.54222993950391163</v>
      </c>
      <c r="Q47" s="9">
        <f t="shared" si="15"/>
        <v>-1363.9567917201375</v>
      </c>
      <c r="R47" s="39">
        <f t="shared" si="16"/>
        <v>-3270.0957657528743</v>
      </c>
      <c r="S47" s="9">
        <f t="shared" si="17"/>
        <v>0.54222993950391163</v>
      </c>
      <c r="T47" s="9">
        <f t="shared" si="18"/>
        <v>-1773.1438292361786</v>
      </c>
    </row>
    <row r="48" spans="1:20" ht="14.25" customHeight="1">
      <c r="A48" s="38">
        <v>8.5</v>
      </c>
      <c r="B48" s="39">
        <f t="shared" si="0"/>
        <v>0.14835298641951802</v>
      </c>
      <c r="C48" s="39">
        <f t="shared" si="1"/>
        <v>-507.43312748947233</v>
      </c>
      <c r="D48" s="9">
        <f t="shared" si="2"/>
        <v>0.51407733559928892</v>
      </c>
      <c r="E48" s="9">
        <f t="shared" si="3"/>
        <v>-260.85987017460224</v>
      </c>
      <c r="F48" s="39">
        <f t="shared" si="4"/>
        <v>-1014.8662549789447</v>
      </c>
      <c r="G48" s="9">
        <f t="shared" si="5"/>
        <v>0.51407733559928892</v>
      </c>
      <c r="H48" s="9">
        <f t="shared" si="6"/>
        <v>-521.71974034920447</v>
      </c>
      <c r="I48" s="39">
        <f t="shared" si="7"/>
        <v>-1522.299382468417</v>
      </c>
      <c r="J48" s="9">
        <f t="shared" si="8"/>
        <v>0.51407733559928892</v>
      </c>
      <c r="K48" s="9">
        <f t="shared" si="9"/>
        <v>-782.57961052380665</v>
      </c>
      <c r="L48" s="39">
        <f t="shared" si="10"/>
        <v>-2029.7325099578893</v>
      </c>
      <c r="M48" s="9">
        <f t="shared" si="11"/>
        <v>0.51407733559928892</v>
      </c>
      <c r="N48" s="9">
        <f t="shared" si="12"/>
        <v>-1043.4394806984089</v>
      </c>
      <c r="O48" s="39">
        <f t="shared" si="13"/>
        <v>-2537.1656374473619</v>
      </c>
      <c r="P48" s="9">
        <f t="shared" si="14"/>
        <v>0.51407733559928892</v>
      </c>
      <c r="Q48" s="9">
        <f t="shared" si="15"/>
        <v>-1304.2993508730112</v>
      </c>
      <c r="R48" s="39">
        <f t="shared" si="16"/>
        <v>-3298.3153286815705</v>
      </c>
      <c r="S48" s="9">
        <f t="shared" si="17"/>
        <v>0.51407733559928892</v>
      </c>
      <c r="T48" s="9">
        <f t="shared" si="18"/>
        <v>-1695.5891561349147</v>
      </c>
    </row>
    <row r="49" spans="1:20" ht="14.25" customHeight="1">
      <c r="A49" s="38">
        <v>9</v>
      </c>
      <c r="B49" s="39">
        <f t="shared" si="0"/>
        <v>0.15707963267948966</v>
      </c>
      <c r="C49" s="39">
        <f t="shared" si="1"/>
        <v>-510.53921692074817</v>
      </c>
      <c r="D49" s="9">
        <f t="shared" si="2"/>
        <v>0.48742856982967403</v>
      </c>
      <c r="E49" s="9">
        <f t="shared" si="3"/>
        <v>-248.85140034564199</v>
      </c>
      <c r="F49" s="39">
        <f t="shared" si="4"/>
        <v>-1021.0784338414963</v>
      </c>
      <c r="G49" s="9">
        <f t="shared" si="5"/>
        <v>0.48742856982967403</v>
      </c>
      <c r="H49" s="9">
        <f t="shared" si="6"/>
        <v>-497.70280069128398</v>
      </c>
      <c r="I49" s="39">
        <f t="shared" si="7"/>
        <v>-1531.6176507622445</v>
      </c>
      <c r="J49" s="9">
        <f t="shared" si="8"/>
        <v>0.48742856982967403</v>
      </c>
      <c r="K49" s="9">
        <f t="shared" si="9"/>
        <v>-746.55420103692597</v>
      </c>
      <c r="L49" s="39">
        <f t="shared" si="10"/>
        <v>-2042.1568676829927</v>
      </c>
      <c r="M49" s="9">
        <f t="shared" si="11"/>
        <v>0.48742856982967403</v>
      </c>
      <c r="N49" s="9">
        <f t="shared" si="12"/>
        <v>-995.40560138256797</v>
      </c>
      <c r="O49" s="39">
        <f t="shared" si="13"/>
        <v>-2552.6960846037409</v>
      </c>
      <c r="P49" s="9">
        <f t="shared" si="14"/>
        <v>0.48742856982967403</v>
      </c>
      <c r="Q49" s="9">
        <f t="shared" si="15"/>
        <v>-1244.2570017282101</v>
      </c>
      <c r="R49" s="39">
        <f t="shared" si="16"/>
        <v>-3318.5049099848629</v>
      </c>
      <c r="S49" s="9">
        <f t="shared" si="17"/>
        <v>0.48742856982967403</v>
      </c>
      <c r="T49" s="9">
        <f t="shared" si="18"/>
        <v>-1617.534102246673</v>
      </c>
    </row>
    <row r="50" spans="1:20" ht="14.25" customHeight="1">
      <c r="A50" s="38">
        <v>9.5</v>
      </c>
      <c r="B50" s="39">
        <f t="shared" si="0"/>
        <v>0.16580627893946132</v>
      </c>
      <c r="C50" s="39">
        <f t="shared" si="1"/>
        <v>-512.55357219232997</v>
      </c>
      <c r="D50" s="9">
        <f t="shared" si="2"/>
        <v>0.46223830225183576</v>
      </c>
      <c r="E50" s="9">
        <f t="shared" si="3"/>
        <v>-236.92189302329635</v>
      </c>
      <c r="F50" s="39">
        <f t="shared" si="4"/>
        <v>-1025.1071443846599</v>
      </c>
      <c r="G50" s="9">
        <f t="shared" si="5"/>
        <v>0.46223830225183576</v>
      </c>
      <c r="H50" s="9">
        <f t="shared" si="6"/>
        <v>-473.8437860465927</v>
      </c>
      <c r="I50" s="39">
        <f t="shared" si="7"/>
        <v>-1537.6607165769899</v>
      </c>
      <c r="J50" s="9">
        <f t="shared" si="8"/>
        <v>0.46223830225183576</v>
      </c>
      <c r="K50" s="9">
        <f t="shared" si="9"/>
        <v>-710.76567906988907</v>
      </c>
      <c r="L50" s="39">
        <f t="shared" si="10"/>
        <v>-2050.2142887693199</v>
      </c>
      <c r="M50" s="9">
        <f t="shared" si="11"/>
        <v>0.46223830225183576</v>
      </c>
      <c r="N50" s="9">
        <f t="shared" si="12"/>
        <v>-947.68757209318539</v>
      </c>
      <c r="O50" s="39">
        <f t="shared" si="13"/>
        <v>-2562.7678609616505</v>
      </c>
      <c r="P50" s="9">
        <f t="shared" si="14"/>
        <v>0.46223830225183576</v>
      </c>
      <c r="Q50" s="9">
        <f t="shared" si="15"/>
        <v>-1184.6094651164819</v>
      </c>
      <c r="R50" s="39">
        <f t="shared" si="16"/>
        <v>-3331.5982192501451</v>
      </c>
      <c r="S50" s="9">
        <f t="shared" si="17"/>
        <v>0.46223830225183576</v>
      </c>
      <c r="T50" s="9">
        <f t="shared" si="18"/>
        <v>-1539.9923046514264</v>
      </c>
    </row>
    <row r="51" spans="1:20" ht="14.25" customHeight="1">
      <c r="A51" s="38">
        <v>10</v>
      </c>
      <c r="B51" s="39">
        <f t="shared" si="0"/>
        <v>0.17453292519943295</v>
      </c>
      <c r="C51" s="39">
        <f t="shared" si="1"/>
        <v>-513.59333535222856</v>
      </c>
      <c r="D51" s="9">
        <f t="shared" si="2"/>
        <v>0.43844747617562568</v>
      </c>
      <c r="E51" s="9">
        <f t="shared" si="3"/>
        <v>-225.18370166580635</v>
      </c>
      <c r="F51" s="39">
        <f t="shared" si="4"/>
        <v>-1027.1866707044571</v>
      </c>
      <c r="G51" s="9">
        <f t="shared" si="5"/>
        <v>0.43844747617562568</v>
      </c>
      <c r="H51" s="9">
        <f t="shared" si="6"/>
        <v>-450.36740333161271</v>
      </c>
      <c r="I51" s="39">
        <f t="shared" si="7"/>
        <v>-1540.7800060566856</v>
      </c>
      <c r="J51" s="9">
        <f t="shared" si="8"/>
        <v>0.43844747617562568</v>
      </c>
      <c r="K51" s="9">
        <f t="shared" si="9"/>
        <v>-675.55110499741909</v>
      </c>
      <c r="L51" s="39">
        <f t="shared" si="10"/>
        <v>-2054.3733414089143</v>
      </c>
      <c r="M51" s="9">
        <f t="shared" si="11"/>
        <v>0.43844747617562568</v>
      </c>
      <c r="N51" s="9">
        <f t="shared" si="12"/>
        <v>-900.73480666322541</v>
      </c>
      <c r="O51" s="39">
        <f t="shared" si="13"/>
        <v>-2567.9666767611429</v>
      </c>
      <c r="P51" s="9">
        <f t="shared" si="14"/>
        <v>0.43844747617562568</v>
      </c>
      <c r="Q51" s="9">
        <f t="shared" si="15"/>
        <v>-1125.918508329032</v>
      </c>
      <c r="R51" s="39">
        <f t="shared" si="16"/>
        <v>-3338.356679789486</v>
      </c>
      <c r="S51" s="9">
        <f t="shared" si="17"/>
        <v>0.43844747617562568</v>
      </c>
      <c r="T51" s="9">
        <f t="shared" si="18"/>
        <v>-1463.6940608277414</v>
      </c>
    </row>
    <row r="52" spans="1:20" ht="14.25" customHeight="1"/>
    <row r="53" spans="1:20" ht="14.25" customHeight="1"/>
    <row r="54" spans="1:20" ht="14.25" customHeight="1"/>
    <row r="55" spans="1:20" ht="14.25" customHeight="1"/>
    <row r="56" spans="1:20" ht="14.25" customHeight="1"/>
    <row r="57" spans="1:20" ht="14.25" customHeight="1"/>
    <row r="58" spans="1:20" ht="14.25" customHeight="1"/>
    <row r="59" spans="1:20" ht="14.25" customHeight="1"/>
    <row r="60" spans="1:20" ht="14.25" customHeight="1"/>
    <row r="61" spans="1:20" ht="14.25" customHeight="1"/>
    <row r="62" spans="1:20" ht="14.25" customHeight="1"/>
    <row r="63" spans="1:20" ht="14.25" customHeight="1"/>
    <row r="64" spans="1:2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L9:N9"/>
    <mergeCell ref="O9:Q9"/>
    <mergeCell ref="R9:T9"/>
    <mergeCell ref="B4:C4"/>
    <mergeCell ref="B7:E7"/>
    <mergeCell ref="C9:E9"/>
    <mergeCell ref="F9:H9"/>
    <mergeCell ref="I9:K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4.42578125" defaultRowHeight="15" customHeight="1"/>
  <cols>
    <col min="1" max="1" width="16" customWidth="1"/>
    <col min="2" max="4" width="8.7109375" customWidth="1"/>
    <col min="5" max="5" width="19.7109375" customWidth="1"/>
    <col min="6" max="6" width="10.7109375" customWidth="1"/>
    <col min="7" max="7" width="19.42578125" customWidth="1"/>
    <col min="8" max="26" width="8.7109375" customWidth="1"/>
  </cols>
  <sheetData>
    <row r="1" spans="1:10" ht="14.25" customHeight="1">
      <c r="A1" s="1"/>
      <c r="B1" s="40" t="s">
        <v>97</v>
      </c>
      <c r="C1" s="40" t="s">
        <v>98</v>
      </c>
      <c r="D1" s="40" t="s">
        <v>99</v>
      </c>
      <c r="E1" s="40" t="s">
        <v>100</v>
      </c>
      <c r="F1" s="40" t="s">
        <v>101</v>
      </c>
      <c r="G1" s="40" t="s">
        <v>102</v>
      </c>
    </row>
    <row r="2" spans="1:10" ht="14.25" customHeight="1">
      <c r="A2" s="40" t="s">
        <v>103</v>
      </c>
      <c r="B2" s="1">
        <v>14.36</v>
      </c>
      <c r="C2" s="1">
        <v>12.83</v>
      </c>
      <c r="D2" s="1">
        <f>((3*SQRT(3))/2)*B2^2-((3*SQRT(3))/2)*C2^2</f>
        <v>108.08178904564591</v>
      </c>
      <c r="E2" s="1">
        <f>0.1202*(B2/TAN(RADIANS(30)))^4-0.1202*(C2/TAN(RADIANS(30)))^4</f>
        <v>16688.181263297291</v>
      </c>
      <c r="F2" s="41">
        <v>100</v>
      </c>
      <c r="G2" s="1">
        <f>F2*1000*B2/E2</f>
        <v>86.048921529767213</v>
      </c>
    </row>
    <row r="3" spans="1:10" ht="14.25" customHeight="1">
      <c r="A3" s="1"/>
      <c r="B3" s="1"/>
      <c r="C3" s="1"/>
      <c r="D3" s="1"/>
      <c r="E3" s="1"/>
      <c r="F3" s="1"/>
      <c r="G3" s="1"/>
    </row>
    <row r="4" spans="1:10" ht="14.25" customHeight="1">
      <c r="A4" s="1"/>
      <c r="B4" s="1"/>
      <c r="C4" s="1"/>
      <c r="D4" s="1"/>
      <c r="E4" s="1"/>
      <c r="F4" s="1"/>
      <c r="G4" s="1"/>
    </row>
    <row r="5" spans="1:10" ht="14.25" customHeight="1">
      <c r="A5" s="1"/>
      <c r="B5" s="1"/>
      <c r="C5" s="1"/>
      <c r="D5" s="1"/>
      <c r="E5" s="1"/>
      <c r="F5" s="1"/>
      <c r="G5" s="1"/>
    </row>
    <row r="6" spans="1:10" ht="14.25" customHeight="1">
      <c r="A6" s="1"/>
      <c r="B6" s="1"/>
      <c r="C6" s="1"/>
      <c r="D6" s="1"/>
      <c r="E6" s="1"/>
      <c r="F6" s="1"/>
      <c r="G6" s="1"/>
      <c r="J6" s="9" t="s">
        <v>104</v>
      </c>
    </row>
    <row r="7" spans="1:10" ht="14.25" customHeight="1">
      <c r="A7" s="1"/>
      <c r="B7" s="40" t="s">
        <v>105</v>
      </c>
      <c r="C7" s="40" t="s">
        <v>106</v>
      </c>
      <c r="D7" s="40" t="s">
        <v>99</v>
      </c>
      <c r="E7" s="40" t="s">
        <v>100</v>
      </c>
      <c r="F7" s="40" t="s">
        <v>101</v>
      </c>
      <c r="G7" s="40" t="s">
        <v>102</v>
      </c>
      <c r="J7" s="42">
        <f>1-G8/G2</f>
        <v>0.11241777747641846</v>
      </c>
    </row>
    <row r="8" spans="1:10" ht="14.25" customHeight="1">
      <c r="A8" s="40" t="s">
        <v>107</v>
      </c>
      <c r="B8" s="1">
        <f>((B2*2)+(B2/TAN(RADIANS(30))))/2</f>
        <v>26.796124798344536</v>
      </c>
      <c r="C8" s="1">
        <f>SQRT(((PI()*(B8/2)^2)-D8)/PI())*2</f>
        <v>24.091871997207168</v>
      </c>
      <c r="D8" s="1">
        <f>D2</f>
        <v>108.08178904564591</v>
      </c>
      <c r="E8" s="1">
        <f>(PI()/32)*(B8^4-C8^4)</f>
        <v>17542.357986696199</v>
      </c>
      <c r="F8" s="41">
        <v>100</v>
      </c>
      <c r="G8" s="1">
        <f>F8*1000*(B8/2)/E8</f>
        <v>76.375493017148045</v>
      </c>
    </row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spans="2:7" ht="14.25" customHeight="1"/>
    <row r="18" spans="2:7" ht="14.25" customHeight="1"/>
    <row r="19" spans="2:7" ht="14.25" customHeight="1"/>
    <row r="20" spans="2:7" ht="14.25" customHeight="1">
      <c r="B20" s="9">
        <v>24.88</v>
      </c>
      <c r="E20" s="9">
        <v>21297</v>
      </c>
      <c r="F20" s="9">
        <v>50</v>
      </c>
      <c r="G20" s="9">
        <f>F20*1000*(B20/2)/E20</f>
        <v>29.205991454195427</v>
      </c>
    </row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42578125" defaultRowHeight="15" customHeight="1"/>
  <cols>
    <col min="1" max="1" width="12.140625" customWidth="1"/>
    <col min="2" max="2" width="12.7109375" customWidth="1"/>
    <col min="3" max="3" width="8.7109375" customWidth="1"/>
    <col min="4" max="4" width="10.5703125" customWidth="1"/>
    <col min="5" max="5" width="15.7109375" customWidth="1"/>
    <col min="6" max="6" width="10" customWidth="1"/>
    <col min="7" max="7" width="8.7109375" customWidth="1"/>
    <col min="8" max="8" width="10.7109375" customWidth="1"/>
    <col min="9" max="9" width="9.28515625" customWidth="1"/>
    <col min="10" max="26" width="8.7109375" customWidth="1"/>
  </cols>
  <sheetData>
    <row r="1" spans="1:10" ht="14.25" customHeight="1">
      <c r="A1" s="43" t="s">
        <v>108</v>
      </c>
    </row>
    <row r="2" spans="1:10" ht="14.25" customHeight="1"/>
    <row r="3" spans="1:10" ht="14.25" customHeight="1">
      <c r="A3" s="44" t="s">
        <v>109</v>
      </c>
      <c r="B3" s="45" t="s">
        <v>110</v>
      </c>
      <c r="C3" s="45" t="s">
        <v>105</v>
      </c>
      <c r="D3" s="45" t="s">
        <v>106</v>
      </c>
      <c r="E3" s="45" t="s">
        <v>111</v>
      </c>
      <c r="F3" s="45" t="s">
        <v>112</v>
      </c>
      <c r="G3" s="45" t="s">
        <v>113</v>
      </c>
      <c r="H3" s="46" t="s">
        <v>114</v>
      </c>
    </row>
    <row r="4" spans="1:10" ht="14.25" customHeight="1">
      <c r="A4" s="47">
        <v>970000000</v>
      </c>
      <c r="B4" s="48">
        <f>A4/2</f>
        <v>485000000</v>
      </c>
      <c r="C4" s="49">
        <v>8.0000000000000002E-3</v>
      </c>
      <c r="D4" s="49">
        <v>0</v>
      </c>
      <c r="E4" s="49">
        <f>(PI()*(C4/2)^4)/4-(PI()*(D4/2)^4)/4</f>
        <v>2.0106192982974676E-10</v>
      </c>
      <c r="F4" s="49">
        <v>5000</v>
      </c>
      <c r="G4" s="49">
        <f>(4*((C4/2)^3-(D4/2)^3)/(3*PI()*((C4/2)^2-(D4/2)^2)))*(PI()*(C4/2)^2-PI()*(D4/2)^2)</f>
        <v>8.5333333333333343E-8</v>
      </c>
      <c r="H4" s="78">
        <f>(F4*G4)/(E4*(C4-D4))</f>
        <v>265258238.48649228</v>
      </c>
      <c r="I4" s="50">
        <f>B4-H4</f>
        <v>219741761.51350772</v>
      </c>
      <c r="J4" s="43" t="s">
        <v>115</v>
      </c>
    </row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2578125" defaultRowHeight="15" customHeight="1"/>
  <cols>
    <col min="1" max="1" width="11.85546875" customWidth="1"/>
    <col min="2" max="2" width="8.7109375" customWidth="1"/>
    <col min="3" max="3" width="13.7109375" customWidth="1"/>
    <col min="4" max="4" width="16.5703125" customWidth="1"/>
    <col min="5" max="5" width="15.85546875" customWidth="1"/>
    <col min="6" max="6" width="16" customWidth="1"/>
    <col min="7" max="7" width="11.28515625" customWidth="1"/>
    <col min="8" max="8" width="10.140625" customWidth="1"/>
    <col min="9" max="9" width="13.85546875" customWidth="1"/>
    <col min="10" max="26" width="8.7109375" customWidth="1"/>
  </cols>
  <sheetData>
    <row r="1" spans="1:9" ht="14.25" customHeight="1">
      <c r="A1" s="51" t="s">
        <v>116</v>
      </c>
      <c r="B1" s="43"/>
      <c r="C1" s="51" t="s">
        <v>117</v>
      </c>
      <c r="D1" s="46" t="s">
        <v>118</v>
      </c>
      <c r="E1" s="44" t="s">
        <v>119</v>
      </c>
      <c r="F1" s="51" t="s">
        <v>120</v>
      </c>
      <c r="G1" s="51" t="s">
        <v>121</v>
      </c>
      <c r="H1" s="51" t="s">
        <v>122</v>
      </c>
      <c r="I1" s="51" t="s">
        <v>123</v>
      </c>
    </row>
    <row r="2" spans="1:9" ht="14.25" customHeight="1">
      <c r="A2" s="79"/>
      <c r="C2" s="52" t="s">
        <v>124</v>
      </c>
      <c r="D2" s="80">
        <v>5.03</v>
      </c>
      <c r="E2" s="53">
        <v>580</v>
      </c>
      <c r="F2" s="54">
        <f t="shared" ref="F2:F7" si="0">E2/SQRT(3)</f>
        <v>334.86315612998294</v>
      </c>
      <c r="G2" s="55" t="str">
        <f t="shared" ref="G2:G7" si="1">IF($A$2=0,"",IF($A$5=0,E2*D2/$A$2,""))</f>
        <v/>
      </c>
      <c r="H2" s="55">
        <f t="shared" ref="H2:H7" si="2">IF($A$5=0,"",IF($A$2=0,F2*D2/$A$5,""))</f>
        <v>2.1874826952387196</v>
      </c>
      <c r="I2" s="55" t="str">
        <f t="shared" ref="I2:I7" si="3">IF($A$2=0,"",IF($A$5=0,"",1/SQRT(($A$2/(D2*E2))^2+($A$5/(D2*F2))^2)))</f>
        <v/>
      </c>
    </row>
    <row r="3" spans="1:9" ht="14.25" customHeight="1">
      <c r="C3" s="52" t="s">
        <v>125</v>
      </c>
      <c r="D3" s="80">
        <v>8.7799999999999994</v>
      </c>
      <c r="E3" s="56">
        <v>580</v>
      </c>
      <c r="F3" s="54">
        <f t="shared" si="0"/>
        <v>334.86315612998294</v>
      </c>
      <c r="G3" s="55" t="str">
        <f t="shared" si="1"/>
        <v/>
      </c>
      <c r="H3" s="55">
        <f t="shared" si="2"/>
        <v>3.8183097543133115</v>
      </c>
      <c r="I3" s="55" t="str">
        <f t="shared" si="3"/>
        <v/>
      </c>
    </row>
    <row r="4" spans="1:9" ht="14.25" customHeight="1">
      <c r="A4" s="51" t="s">
        <v>112</v>
      </c>
      <c r="C4" s="52" t="s">
        <v>126</v>
      </c>
      <c r="D4" s="80">
        <v>14.2</v>
      </c>
      <c r="E4" s="56">
        <v>580</v>
      </c>
      <c r="F4" s="54">
        <f t="shared" si="0"/>
        <v>334.86315612998294</v>
      </c>
      <c r="G4" s="55" t="str">
        <f t="shared" si="1"/>
        <v/>
      </c>
      <c r="H4" s="55">
        <f t="shared" si="2"/>
        <v>6.1753984636957888</v>
      </c>
      <c r="I4" s="55" t="str">
        <f t="shared" si="3"/>
        <v/>
      </c>
    </row>
    <row r="5" spans="1:9" ht="14.25" customHeight="1">
      <c r="A5" s="57">
        <v>770</v>
      </c>
      <c r="C5" s="52" t="s">
        <v>127</v>
      </c>
      <c r="D5" s="80">
        <v>20.100000000000001</v>
      </c>
      <c r="E5" s="56">
        <v>580</v>
      </c>
      <c r="F5" s="54">
        <f t="shared" si="0"/>
        <v>334.86315612998294</v>
      </c>
      <c r="G5" s="55" t="str">
        <f t="shared" si="1"/>
        <v/>
      </c>
      <c r="H5" s="55">
        <f t="shared" si="2"/>
        <v>8.7412330366398159</v>
      </c>
      <c r="I5" s="55" t="str">
        <f t="shared" si="3"/>
        <v/>
      </c>
    </row>
    <row r="6" spans="1:9" ht="14.25" customHeight="1">
      <c r="C6" s="52" t="s">
        <v>128</v>
      </c>
      <c r="D6" s="80">
        <v>36.6</v>
      </c>
      <c r="E6" s="56">
        <v>580</v>
      </c>
      <c r="F6" s="54">
        <f t="shared" si="0"/>
        <v>334.86315612998294</v>
      </c>
      <c r="G6" s="55" t="str">
        <f t="shared" si="1"/>
        <v/>
      </c>
      <c r="H6" s="55">
        <f t="shared" si="2"/>
        <v>15.916872096568021</v>
      </c>
      <c r="I6" s="55" t="str">
        <f t="shared" si="3"/>
        <v/>
      </c>
    </row>
    <row r="7" spans="1:9" ht="14.25" customHeight="1">
      <c r="C7" s="58" t="s">
        <v>129</v>
      </c>
      <c r="D7" s="81">
        <v>58</v>
      </c>
      <c r="E7" s="59">
        <v>580</v>
      </c>
      <c r="F7" s="60">
        <f t="shared" si="0"/>
        <v>334.86315612998294</v>
      </c>
      <c r="G7" s="61" t="str">
        <f t="shared" si="1"/>
        <v/>
      </c>
      <c r="H7" s="61">
        <f t="shared" si="2"/>
        <v>25.223458513687024</v>
      </c>
      <c r="I7" s="61" t="str">
        <f t="shared" si="3"/>
        <v/>
      </c>
    </row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G2:I7">
    <cfRule type="cellIs" dxfId="2" priority="1" operator="lessThan">
      <formula>1</formula>
    </cfRule>
    <cfRule type="cellIs" dxfId="1" priority="2" operator="between">
      <formula>1</formula>
      <formula>2</formula>
    </cfRule>
    <cfRule type="cellIs" dxfId="0" priority="3" operator="greaterThan">
      <formula>2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workbookViewId="0"/>
  </sheetViews>
  <sheetFormatPr defaultColWidth="14.42578125" defaultRowHeight="15" customHeight="1"/>
  <cols>
    <col min="1" max="1" width="8.7109375" customWidth="1"/>
    <col min="2" max="2" width="13.42578125" customWidth="1"/>
    <col min="3" max="26" width="8.7109375" customWidth="1"/>
  </cols>
  <sheetData>
    <row r="1" spans="1:16" ht="14.25" customHeight="1">
      <c r="A1" s="9" t="s">
        <v>130</v>
      </c>
      <c r="B1" s="9" t="s">
        <v>131</v>
      </c>
      <c r="C1" s="9" t="s">
        <v>132</v>
      </c>
      <c r="H1" s="100" t="s">
        <v>133</v>
      </c>
      <c r="I1" s="107"/>
      <c r="J1" s="107"/>
      <c r="K1" s="107"/>
    </row>
    <row r="2" spans="1:16" ht="14.25" customHeight="1">
      <c r="A2" s="62" t="s">
        <v>134</v>
      </c>
      <c r="B2" s="63">
        <v>40.72</v>
      </c>
      <c r="C2" s="1">
        <f t="shared" ref="C2:C3" si="0">RADIANS(B2)</f>
        <v>0.71069807141209096</v>
      </c>
      <c r="H2" s="1"/>
      <c r="I2" s="1" t="s">
        <v>135</v>
      </c>
      <c r="J2" s="1" t="s">
        <v>136</v>
      </c>
      <c r="K2" s="1" t="s">
        <v>137</v>
      </c>
      <c r="M2" s="100" t="s">
        <v>138</v>
      </c>
      <c r="N2" s="107"/>
    </row>
    <row r="3" spans="1:16" ht="14.25" customHeight="1">
      <c r="A3" s="64" t="s">
        <v>139</v>
      </c>
      <c r="B3" s="65">
        <f>90-81.45</f>
        <v>8.5499999999999972</v>
      </c>
      <c r="C3" s="1">
        <f t="shared" si="0"/>
        <v>0.14922565104551513</v>
      </c>
      <c r="H3" s="1" t="s">
        <v>140</v>
      </c>
      <c r="I3" s="66">
        <f>-$B$4</f>
        <v>-156.46</v>
      </c>
      <c r="J3" s="67">
        <f>-$B$6 * COS($C$2)  - $B$5 * SIN($C$2)</f>
        <v>-314.01846168925294</v>
      </c>
      <c r="K3" s="82">
        <f>0</f>
        <v>0</v>
      </c>
      <c r="M3" s="53" t="s">
        <v>140</v>
      </c>
      <c r="N3" s="83">
        <f>B12 * B7 + B11 * B8</f>
        <v>414077.4</v>
      </c>
    </row>
    <row r="4" spans="1:16" ht="14.25" customHeight="1">
      <c r="A4" s="64" t="s">
        <v>141</v>
      </c>
      <c r="B4" s="65">
        <v>156.46</v>
      </c>
      <c r="C4" s="1"/>
      <c r="H4" s="1" t="s">
        <v>142</v>
      </c>
      <c r="I4" s="68">
        <v>0</v>
      </c>
      <c r="J4" s="38">
        <f>COS($C$2)</f>
        <v>0.7579066647302134</v>
      </c>
      <c r="K4" s="84">
        <f>-COS($C$3)</f>
        <v>-0.98888649874450463</v>
      </c>
      <c r="M4" s="56" t="s">
        <v>142</v>
      </c>
      <c r="N4" s="80">
        <f t="shared" ref="N4:N5" si="1">-B11</f>
        <v>-660</v>
      </c>
    </row>
    <row r="5" spans="1:16" ht="14.25" customHeight="1">
      <c r="A5" s="64" t="s">
        <v>143</v>
      </c>
      <c r="B5" s="65">
        <v>79.11</v>
      </c>
      <c r="C5" s="1"/>
      <c r="H5" s="1" t="s">
        <v>96</v>
      </c>
      <c r="I5" s="69">
        <v>1</v>
      </c>
      <c r="J5" s="70">
        <f>SIN($C$2)</f>
        <v>0.65236300290369309</v>
      </c>
      <c r="K5" s="85">
        <f>SIN($C$3)</f>
        <v>0.14867243389692295</v>
      </c>
      <c r="M5" s="59" t="s">
        <v>96</v>
      </c>
      <c r="N5" s="81">
        <f t="shared" si="1"/>
        <v>-660</v>
      </c>
    </row>
    <row r="6" spans="1:16" ht="14.25" customHeight="1">
      <c r="A6" s="64" t="s">
        <v>144</v>
      </c>
      <c r="B6" s="65">
        <v>346.23</v>
      </c>
      <c r="C6" s="1"/>
    </row>
    <row r="7" spans="1:16" ht="14.25" customHeight="1">
      <c r="A7" s="64" t="s">
        <v>145</v>
      </c>
      <c r="B7" s="65">
        <v>252.46</v>
      </c>
      <c r="C7" s="1"/>
      <c r="H7" s="100" t="s">
        <v>146</v>
      </c>
      <c r="I7" s="107"/>
      <c r="J7" s="107"/>
      <c r="K7" s="107"/>
      <c r="M7" s="101" t="s">
        <v>147</v>
      </c>
      <c r="N7" s="107"/>
      <c r="O7" s="43"/>
      <c r="P7" s="43"/>
    </row>
    <row r="8" spans="1:16" ht="14.25" customHeight="1">
      <c r="A8" s="34" t="s">
        <v>148</v>
      </c>
      <c r="B8" s="71">
        <v>374.93</v>
      </c>
      <c r="C8" s="1"/>
      <c r="H8" s="1"/>
      <c r="I8" s="1" t="s">
        <v>135</v>
      </c>
      <c r="J8" s="1" t="s">
        <v>136</v>
      </c>
      <c r="K8" s="1" t="s">
        <v>137</v>
      </c>
      <c r="M8" s="62" t="s">
        <v>149</v>
      </c>
      <c r="N8" s="86" t="s">
        <v>150</v>
      </c>
      <c r="O8" s="1"/>
      <c r="P8" s="1"/>
    </row>
    <row r="9" spans="1:16" ht="14.25" customHeight="1">
      <c r="H9" s="1" t="s">
        <v>140</v>
      </c>
      <c r="I9" s="66">
        <f t="array" ref="I9:K11">MINVERSE(I3:K5)</f>
        <v>3.9475703100408637E-3</v>
      </c>
      <c r="J9" s="67">
        <v>0.24320082037887766</v>
      </c>
      <c r="K9" s="82">
        <v>1.6176368507089933</v>
      </c>
      <c r="M9" s="64" t="s">
        <v>135</v>
      </c>
      <c r="N9" s="72">
        <f t="array" ref="N9:N11">MMULT(I9:K11,N3:N5)</f>
        <v>406.44678738092011</v>
      </c>
    </row>
    <row r="10" spans="1:16" ht="14.25" customHeight="1">
      <c r="B10" s="1" t="s">
        <v>151</v>
      </c>
      <c r="H10" s="1" t="s">
        <v>142</v>
      </c>
      <c r="I10" s="68">
        <v>-5.1514068376966255E-3</v>
      </c>
      <c r="J10" s="38">
        <v>-0.12117504223090547</v>
      </c>
      <c r="K10" s="84">
        <v>-0.80598911382601401</v>
      </c>
      <c r="M10" s="64" t="s">
        <v>136</v>
      </c>
      <c r="N10" s="72">
        <v>-1521.1528066980741</v>
      </c>
    </row>
    <row r="11" spans="1:16" ht="14.25" customHeight="1">
      <c r="A11" s="62" t="s">
        <v>142</v>
      </c>
      <c r="B11" s="63">
        <v>660</v>
      </c>
      <c r="H11" s="1" t="s">
        <v>96</v>
      </c>
      <c r="I11" s="69">
        <v>-3.9481634949854868E-3</v>
      </c>
      <c r="J11" s="70">
        <v>-1.1041098988528746</v>
      </c>
      <c r="K11" s="85">
        <v>-0.61772966042542943</v>
      </c>
      <c r="M11" s="34" t="s">
        <v>137</v>
      </c>
      <c r="N11" s="73">
        <v>-498.43116565482291</v>
      </c>
    </row>
    <row r="12" spans="1:16" ht="14.25" customHeight="1">
      <c r="A12" s="64" t="s">
        <v>96</v>
      </c>
      <c r="B12" s="65">
        <v>660</v>
      </c>
    </row>
    <row r="13" spans="1:16" ht="14.25" customHeight="1">
      <c r="A13" s="34" t="s">
        <v>140</v>
      </c>
      <c r="B13" s="71">
        <v>0</v>
      </c>
    </row>
    <row r="14" spans="1:16" ht="14.25" customHeight="1"/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H1:K1"/>
    <mergeCell ref="M2:N2"/>
    <mergeCell ref="H7:K7"/>
    <mergeCell ref="M7:N7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f55cf-10f0-49fa-a617-5a903818246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EDA646FF47745A6EE457436789FF5" ma:contentTypeVersion="12" ma:contentTypeDescription="Create a new document." ma:contentTypeScope="" ma:versionID="b5b76eae9aa6904517c9fa58b81db482">
  <xsd:schema xmlns:xsd="http://www.w3.org/2001/XMLSchema" xmlns:xs="http://www.w3.org/2001/XMLSchema" xmlns:p="http://schemas.microsoft.com/office/2006/metadata/properties" xmlns:ns2="fdbf55cf-10f0-49fa-a617-5a903818246b" targetNamespace="http://schemas.microsoft.com/office/2006/metadata/properties" ma:root="true" ma:fieldsID="007becb5391e6d00c76f4a70b2d80428" ns2:_="">
    <xsd:import namespace="fdbf55cf-10f0-49fa-a617-5a9038182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f55cf-10f0-49fa-a617-5a9038182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0E286-C3B3-4714-8CD9-7C309EFF9201}"/>
</file>

<file path=customXml/itemProps2.xml><?xml version="1.0" encoding="utf-8"?>
<ds:datastoreItem xmlns:ds="http://schemas.openxmlformats.org/officeDocument/2006/customXml" ds:itemID="{AD5843FC-9C13-4B7F-8C69-7740C7B6BADD}"/>
</file>

<file path=customXml/itemProps3.xml><?xml version="1.0" encoding="utf-8"?>
<ds:datastoreItem xmlns:ds="http://schemas.openxmlformats.org/officeDocument/2006/customXml" ds:itemID="{F5508208-34B9-4584-AB82-037349303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>Kelvin Kong</cp:lastModifiedBy>
  <cp:revision/>
  <dcterms:created xsi:type="dcterms:W3CDTF">2019-01-15T00:38:51Z</dcterms:created>
  <dcterms:modified xsi:type="dcterms:W3CDTF">2024-11-23T08:33:22Z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0x010100AD9EDA646FF47745A6EE457436789FF5</vt:lpwstr>
  </property>
</Properties>
</file>