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on\Desktop\Job search 2024-2025\Excel\"/>
    </mc:Choice>
  </mc:AlternateContent>
  <xr:revisionPtr revIDLastSave="0" documentId="13_ncr:1_{D9B38F59-5293-497E-B659-E8440EA0E9FB}" xr6:coauthVersionLast="47" xr6:coauthVersionMax="47" xr10:uidLastSave="{00000000-0000-0000-0000-000000000000}"/>
  <bookViews>
    <workbookView xWindow="-108" yWindow="-108" windowWidth="23256" windowHeight="12576" activeTab="2" xr2:uid="{D6F40422-C4A9-7C44-A844-FD97086FBBD7}"/>
  </bookViews>
  <sheets>
    <sheet name="Inventory" sheetId="4" r:id="rId1"/>
    <sheet name="Vendor Info" sheetId="5" r:id="rId2"/>
    <sheet name="Order Summar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4" l="1"/>
  <c r="F4" i="4"/>
  <c r="C8" i="4"/>
  <c r="C5" i="4" l="1"/>
  <c r="B6" i="5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B7" i="5" l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C9" i="4"/>
  <c r="G23" i="6"/>
  <c r="F21" i="6"/>
  <c r="F29" i="6"/>
  <c r="G24" i="6"/>
  <c r="F22" i="6"/>
  <c r="C10" i="4"/>
  <c r="C11" i="4"/>
  <c r="G25" i="6"/>
  <c r="F23" i="6"/>
  <c r="G28" i="6"/>
  <c r="G21" i="6"/>
  <c r="F27" i="6"/>
  <c r="C12" i="4"/>
  <c r="C20" i="4"/>
  <c r="G26" i="6"/>
  <c r="F24" i="6"/>
  <c r="G20" i="6"/>
  <c r="F26" i="6"/>
  <c r="C13" i="4"/>
  <c r="G27" i="6"/>
  <c r="F25" i="6"/>
  <c r="G29" i="6"/>
  <c r="C14" i="4"/>
  <c r="C15" i="4"/>
  <c r="C16" i="4"/>
  <c r="G22" i="6"/>
  <c r="F20" i="6"/>
  <c r="F28" i="6"/>
  <c r="F5" i="4"/>
  <c r="C18" i="4" l="1"/>
  <c r="D28" i="6" s="1"/>
  <c r="C17" i="4"/>
  <c r="C19" i="4"/>
  <c r="D25" i="6" l="1"/>
  <c r="E25" i="6" s="1"/>
  <c r="D24" i="6"/>
  <c r="E24" i="6" s="1"/>
  <c r="D21" i="6"/>
  <c r="E21" i="6" s="1"/>
  <c r="D20" i="6"/>
  <c r="E20" i="6" s="1"/>
  <c r="D23" i="6"/>
  <c r="E23" i="6" s="1"/>
  <c r="D22" i="6"/>
  <c r="E22" i="6" s="1"/>
  <c r="D29" i="6"/>
  <c r="E29" i="6" s="1"/>
  <c r="D26" i="6"/>
  <c r="E26" i="6" s="1"/>
  <c r="D27" i="6"/>
  <c r="E27" i="6" s="1"/>
  <c r="E28" i="6"/>
  <c r="J10" i="4"/>
  <c r="K10" i="4" s="1"/>
  <c r="G10" i="4"/>
  <c r="J11" i="4"/>
  <c r="K11" i="4"/>
  <c r="G11" i="4"/>
  <c r="J15" i="4"/>
  <c r="K15" i="4" s="1"/>
  <c r="G15" i="4"/>
  <c r="J19" i="4"/>
  <c r="K19" i="4" s="1"/>
  <c r="G19" i="4"/>
  <c r="J16" i="4"/>
  <c r="K16" i="4"/>
  <c r="G16" i="4"/>
  <c r="J20" i="4"/>
  <c r="K20" i="4"/>
  <c r="G20" i="4"/>
  <c r="J12" i="4"/>
  <c r="K12" i="4" s="1"/>
  <c r="G12" i="4"/>
  <c r="J14" i="4"/>
  <c r="K14" i="4"/>
  <c r="G14" i="4"/>
  <c r="J18" i="4"/>
  <c r="K18" i="4" s="1"/>
  <c r="G18" i="4"/>
  <c r="J13" i="4"/>
  <c r="K13" i="4" s="1"/>
  <c r="G13" i="4"/>
  <c r="G9" i="4"/>
  <c r="J9" i="4"/>
  <c r="K9" i="4" s="1"/>
  <c r="J17" i="4"/>
  <c r="K17" i="4" s="1"/>
  <c r="G17" i="4"/>
  <c r="G8" i="4"/>
  <c r="K8" i="4"/>
  <c r="C4" i="4" l="1"/>
  <c r="B7" i="6" a="1"/>
  <c r="G19" i="6" l="1"/>
  <c r="G18" i="6"/>
  <c r="G13" i="6"/>
  <c r="D11" i="6"/>
  <c r="E11" i="6" s="1"/>
  <c r="G15" i="6"/>
  <c r="G17" i="6"/>
  <c r="D10" i="6"/>
  <c r="E10" i="6" s="1"/>
  <c r="G14" i="6"/>
  <c r="F10" i="6"/>
  <c r="D7" i="6"/>
  <c r="D8" i="6"/>
  <c r="E8" i="6" s="1"/>
  <c r="F12" i="6"/>
  <c r="G16" i="6"/>
  <c r="D18" i="6"/>
  <c r="E18" i="6" s="1"/>
  <c r="D12" i="6"/>
  <c r="E12" i="6" s="1"/>
  <c r="F14" i="6"/>
  <c r="F15" i="6"/>
  <c r="F17" i="6"/>
  <c r="D19" i="6"/>
  <c r="E19" i="6" s="1"/>
  <c r="F13" i="6"/>
  <c r="D9" i="6"/>
  <c r="E9" i="6" s="1"/>
  <c r="D15" i="6"/>
  <c r="E15" i="6" s="1"/>
  <c r="F11" i="6"/>
  <c r="F9" i="6"/>
  <c r="G10" i="6"/>
  <c r="F18" i="6"/>
  <c r="D17" i="6"/>
  <c r="E17" i="6" s="1"/>
  <c r="D13" i="6"/>
  <c r="E13" i="6" s="1"/>
  <c r="B7" i="6"/>
  <c r="D14" i="6"/>
  <c r="E14" i="6" s="1"/>
  <c r="F16" i="6"/>
  <c r="G11" i="6"/>
  <c r="F8" i="6"/>
  <c r="D16" i="6"/>
  <c r="E16" i="6" s="1"/>
  <c r="F19" i="6"/>
  <c r="G8" i="6"/>
  <c r="G12" i="6"/>
  <c r="G9" i="6"/>
  <c r="E7" i="6" l="1"/>
  <c r="C4" i="6" s="1"/>
  <c r="F7" i="6"/>
  <c r="G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<sst xmlns="http://schemas.openxmlformats.org/spreadsheetml/2006/main" count="153" uniqueCount="89">
  <si>
    <t>Description</t>
  </si>
  <si>
    <t>Reorder?</t>
  </si>
  <si>
    <t>Vendor</t>
  </si>
  <si>
    <t>Website</t>
  </si>
  <si>
    <t>Contact Name</t>
  </si>
  <si>
    <t>Email Address</t>
  </si>
  <si>
    <t>Vendor &amp; Product Information</t>
  </si>
  <si>
    <t>Inventory Management System</t>
  </si>
  <si>
    <t>Current Date</t>
  </si>
  <si>
    <t>Day of Week</t>
  </si>
  <si>
    <t>Quantity</t>
  </si>
  <si>
    <t>Total Cost</t>
  </si>
  <si>
    <t>Total Order</t>
  </si>
  <si>
    <t>Daily Order Summary</t>
  </si>
  <si>
    <t>Product ID</t>
  </si>
  <si>
    <t>Product</t>
  </si>
  <si>
    <t>Typical 
Order Time</t>
  </si>
  <si>
    <t>Josh Smith</t>
  </si>
  <si>
    <t>Mike Dean</t>
  </si>
  <si>
    <t>Mikel Artena</t>
  </si>
  <si>
    <t>Sam Allargine</t>
  </si>
  <si>
    <t>Arya Janne</t>
  </si>
  <si>
    <t>Miriam Adelson</t>
  </si>
  <si>
    <t>Ken Griffin</t>
  </si>
  <si>
    <t>Jeff Yass</t>
  </si>
  <si>
    <t>Jim Simons</t>
  </si>
  <si>
    <t>Link</t>
  </si>
  <si>
    <t>Total Value</t>
  </si>
  <si>
    <t>Reorder
Threshold</t>
  </si>
  <si>
    <t>Unique Products</t>
  </si>
  <si>
    <t>Inventory Value</t>
  </si>
  <si>
    <t>ETA</t>
  </si>
  <si>
    <t>Sale Price 
per Unit</t>
  </si>
  <si>
    <t>ID</t>
  </si>
  <si>
    <t>Fading Light</t>
  </si>
  <si>
    <t>Silent Echo</t>
  </si>
  <si>
    <t>Iron Sky</t>
  </si>
  <si>
    <t>Wanderlust</t>
  </si>
  <si>
    <t>Lost Horizon</t>
  </si>
  <si>
    <t>Silver Veil</t>
  </si>
  <si>
    <t>The Win</t>
  </si>
  <si>
    <t>The Hollow</t>
  </si>
  <si>
    <t>Broker</t>
  </si>
  <si>
    <t>Frostfire</t>
  </si>
  <si>
    <t>The Tide</t>
  </si>
  <si>
    <t>Crimson</t>
  </si>
  <si>
    <t>Shattered</t>
  </si>
  <si>
    <t>Voidwalker</t>
  </si>
  <si>
    <t>Hidden Path</t>
  </si>
  <si>
    <t>Blackthron</t>
  </si>
  <si>
    <t>Echofall</t>
  </si>
  <si>
    <t>The Nexus</t>
  </si>
  <si>
    <t>Moonshade</t>
  </si>
  <si>
    <t>Shadowfall</t>
  </si>
  <si>
    <t>Thriller</t>
  </si>
  <si>
    <t>Mystery</t>
  </si>
  <si>
    <t>Sci-Fi</t>
  </si>
  <si>
    <t>Travel</t>
  </si>
  <si>
    <t>Fantasy</t>
  </si>
  <si>
    <t>History</t>
  </si>
  <si>
    <t>Horror</t>
  </si>
  <si>
    <t>Drama</t>
  </si>
  <si>
    <t>Dystopian</t>
  </si>
  <si>
    <t>Action</t>
  </si>
  <si>
    <t>Romance</t>
  </si>
  <si>
    <t>Urban</t>
  </si>
  <si>
    <t>Starlight Publishing</t>
  </si>
  <si>
    <t>Ironclad Books</t>
  </si>
  <si>
    <t>EchoBay Press</t>
  </si>
  <si>
    <t>Silverleaf Editions</t>
  </si>
  <si>
    <t>Moonlit House</t>
  </si>
  <si>
    <t>Phoenix Publishers</t>
  </si>
  <si>
    <t>Shadow Media</t>
  </si>
  <si>
    <t>Nexus Literary</t>
  </si>
  <si>
    <t>Veilbound House</t>
  </si>
  <si>
    <t>Shattered Sky</t>
  </si>
  <si>
    <t>josh.smith@gmail.com</t>
  </si>
  <si>
    <t>mike.dean@gmail.com</t>
  </si>
  <si>
    <t>mikel.artena@gmail.com</t>
  </si>
  <si>
    <t>sam.allargine@gmail.com</t>
  </si>
  <si>
    <t>arya.janne@gmail.com</t>
  </si>
  <si>
    <t>miriam.adelson@gmail.com</t>
  </si>
  <si>
    <t>ken.griffin@gmail.com</t>
  </si>
  <si>
    <t>jim.simons@gmail.com</t>
  </si>
  <si>
    <t>jeff.yass@gmail.com</t>
  </si>
  <si>
    <t>Cost per 
Unit</t>
  </si>
  <si>
    <t>Reorder</t>
  </si>
  <si>
    <t>Safety Stock</t>
  </si>
  <si>
    <t>Quantity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</si>
</sst>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d/mmm/yyyy"/>
    <numFmt numFmtId="166" formatCode="_-[$$-409]* #,##0.00_ ;_-[$$-409]* \-#,##0.00\ ;_-[$$-409]* &quot;-&quot;??_ ;_-@_ 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rgb="FF07367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2" fontId="0" fillId="0" borderId="0" xfId="0" applyNumberFormat="1"/>
    <xf numFmtId="0" fontId="5" fillId="0" borderId="1" xfId="0" applyFont="1" applyBorder="1"/>
    <xf numFmtId="0" fontId="2" fillId="3" borderId="0" xfId="0" applyFont="1" applyFill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0" fillId="4" borderId="3" xfId="0" applyFill="1" applyBorder="1"/>
    <xf numFmtId="164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3" xfId="1" applyFill="1" applyBorder="1"/>
    <xf numFmtId="0" fontId="0" fillId="0" borderId="3" xfId="0" applyBorder="1"/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1" applyBorder="1"/>
    <xf numFmtId="0" fontId="3" fillId="4" borderId="3" xfId="1" applyFill="1" applyBorder="1" applyAlignment="1">
      <alignment horizontal="center"/>
    </xf>
    <xf numFmtId="0" fontId="3" fillId="0" borderId="3" xfId="1" applyBorder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#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  <dxf>
      <numFmt numFmtId="165" formatCode="d/m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15BC7-390D-4719-A02A-D2797CC4DDB7}" name="inventory" displayName="inventory" ref="B7:K20" totalsRowShown="0" headerRowDxfId="23" dataDxfId="22">
  <autoFilter ref="B7:K20" xr:uid="{0E815BC7-390D-4719-A02A-D2797CC4DDB7}"/>
  <sortState xmlns:xlrd2="http://schemas.microsoft.com/office/spreadsheetml/2017/richdata2" ref="B8:K20">
    <sortCondition ref="B7:B20"/>
  </sortState>
  <tableColumns count="10">
    <tableColumn id="1" xr3:uid="{21BA8A9A-8416-4E11-9CE8-69EA8CC66E7A}" name="Product ID" dataDxfId="21"/>
    <tableColumn id="2" xr3:uid="{6E187209-425D-4999-9668-FB66F22E1836}" name="Product" dataDxfId="20">
      <calculatedColumnFormula>_xlfn.XLOOKUP(inventory[[#This Row],[Product ID]],'Vendor Info'!$B$5:$B$24,'Vendor Info'!$C$5:$C$24)</calculatedColumnFormula>
    </tableColumn>
    <tableColumn id="3" xr3:uid="{94E1FDAB-6544-4C25-B701-8199E4F133FB}" name="Quantity in Stock" dataDxfId="1"/>
    <tableColumn id="4" xr3:uid="{85798089-42F2-41E2-8647-7A348945080B}" name="Cost per _x000a_Unit" dataDxfId="19"/>
    <tableColumn id="5" xr3:uid="{3592845C-ABE3-4C2B-A98D-C7724732A508}" name="Sale Price _x000a_per Unit" dataDxfId="18">
      <calculatedColumnFormula>E8*3</calculatedColumnFormula>
    </tableColumn>
    <tableColumn id="6" xr3:uid="{86524AC7-1B52-4BCC-A18C-AABB43F62977}" name="Total Value" dataDxfId="17">
      <calculatedColumnFormula>inventory[[#This Row],[Sale Price 
per Unit]]*inventory[[#This Row],[Quantity in Stock]]</calculatedColumnFormula>
    </tableColumn>
    <tableColumn id="7" xr3:uid="{B10B242D-149B-4A0B-8956-249269A8F525}" name="Reorder_x000a_Threshold" dataDxfId="16"/>
    <tableColumn id="10" xr3:uid="{2656CB52-CB6A-41DC-B646-A2DA1B98ED6A}" name="Safety Stock" dataDxfId="2"/>
    <tableColumn id="8" xr3:uid="{047A4B90-71EA-430F-A00E-70B2A4B3F8C7}" name="Reorder?" dataDxfId="15">
      <calculatedColumnFormula>IF(inventory[[#This Row],[Quantity in Stock]]&lt;inventory[[#This Row],[Reorder
Threshold]],"Yes","No")</calculatedColumnFormula>
    </tableColumn>
    <tableColumn id="9" xr3:uid="{8018A5B1-2D6E-4A5E-9FB1-96D82BF3DF4D}" name="ETA" dataDxfId="14">
      <calculatedColumnFormula>IF(inventory[[#This Row],[Reorder?]]="Yes",$F$4+_xlfn.XLOOKUP(inventory[[#This Row],[Product ID]],'Vendor Info'!$B$5:$B$24,'Vendor Info'!$F$5:$F$24),"")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F0382E-DBDF-4C68-BEBD-CA261D00138F}" name="vendor" displayName="vendor" ref="B4:J24" totalsRowShown="0" headerRowDxfId="13" tableBorderDxfId="12">
  <autoFilter ref="B4:J24" xr:uid="{C2F0382E-DBDF-4C68-BEBD-CA261D00138F}"/>
  <tableColumns count="9">
    <tableColumn id="1" xr3:uid="{F08E2728-7670-4D74-BD6B-33AAB39131C8}" name="ID" dataDxfId="11">
      <calculatedColumnFormula>B4+1</calculatedColumnFormula>
    </tableColumn>
    <tableColumn id="2" xr3:uid="{3F4AFBE2-2184-4B43-B070-288341D7A976}" name="Product" dataDxfId="10"/>
    <tableColumn id="3" xr3:uid="{89259593-2DE5-4EE8-A93C-A7FCE31A38C6}" name="Description" dataDxfId="9"/>
    <tableColumn id="4" xr3:uid="{3C04EFDD-2047-405F-85AB-A249F37AEEAF}" name="Vendor" dataDxfId="8"/>
    <tableColumn id="5" xr3:uid="{3FE5465C-CA5D-4B05-A18A-F80A6CD75F14}" name="Typical _x000a_Order Time" dataDxfId="7"/>
    <tableColumn id="6" xr3:uid="{9B0C5D1C-DFB1-4738-9830-1A95079AE0F8}" name="Reorder" dataDxfId="6"/>
    <tableColumn id="7" xr3:uid="{06C2D326-347B-4A19-BDB7-FA1EB6557371}" name="Contact Name" dataDxfId="5"/>
    <tableColumn id="8" xr3:uid="{E8106AA7-CC42-4A48-926E-1A6CDFA702C8}" name="Email Address" dataDxfId="4" dataCellStyle="Hyperlink"/>
    <tableColumn id="9" xr3:uid="{D609EBD8-71B4-475F-B234-816595C87318}" name="Website" dataDxfId="3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kel.artena@gmail.com" TargetMode="External"/><Relationship Id="rId13" Type="http://schemas.openxmlformats.org/officeDocument/2006/relationships/hyperlink" Target="mailto:ken.griffin@gmail.com" TargetMode="External"/><Relationship Id="rId18" Type="http://schemas.openxmlformats.org/officeDocument/2006/relationships/hyperlink" Target="mailto:jim.simons@gmail.com" TargetMode="External"/><Relationship Id="rId3" Type="http://schemas.openxmlformats.org/officeDocument/2006/relationships/hyperlink" Target="mailto:mikel.artena@gmail.com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josh.smith@gmail.com" TargetMode="External"/><Relationship Id="rId12" Type="http://schemas.openxmlformats.org/officeDocument/2006/relationships/hyperlink" Target="mailto:miriam.adelson@gmail.com" TargetMode="External"/><Relationship Id="rId17" Type="http://schemas.openxmlformats.org/officeDocument/2006/relationships/hyperlink" Target="mailto:miriam.adelson@gmail.com" TargetMode="External"/><Relationship Id="rId2" Type="http://schemas.openxmlformats.org/officeDocument/2006/relationships/hyperlink" Target="mailto:mike.dean@gmail.com" TargetMode="External"/><Relationship Id="rId16" Type="http://schemas.openxmlformats.org/officeDocument/2006/relationships/hyperlink" Target="mailto:miriam.adelson@gmail.com" TargetMode="External"/><Relationship Id="rId20" Type="http://schemas.openxmlformats.org/officeDocument/2006/relationships/hyperlink" Target="mailto:jim.simons@gmail.com" TargetMode="External"/><Relationship Id="rId1" Type="http://schemas.openxmlformats.org/officeDocument/2006/relationships/hyperlink" Target="mailto:josh.smith@gmail.com" TargetMode="External"/><Relationship Id="rId6" Type="http://schemas.openxmlformats.org/officeDocument/2006/relationships/hyperlink" Target="mailto:josh.smith@gmail.com" TargetMode="External"/><Relationship Id="rId11" Type="http://schemas.openxmlformats.org/officeDocument/2006/relationships/hyperlink" Target="mailto:arya.janne@gmail.com" TargetMode="External"/><Relationship Id="rId5" Type="http://schemas.openxmlformats.org/officeDocument/2006/relationships/hyperlink" Target="mailto:josh.smith@gmail.com" TargetMode="External"/><Relationship Id="rId15" Type="http://schemas.openxmlformats.org/officeDocument/2006/relationships/hyperlink" Target="mailto:miriam.adelson@gmail.com" TargetMode="External"/><Relationship Id="rId10" Type="http://schemas.openxmlformats.org/officeDocument/2006/relationships/hyperlink" Target="mailto:mikel.artena@gmail.com" TargetMode="External"/><Relationship Id="rId19" Type="http://schemas.openxmlformats.org/officeDocument/2006/relationships/hyperlink" Target="mailto:jeff.yass@gmail.com" TargetMode="External"/><Relationship Id="rId4" Type="http://schemas.openxmlformats.org/officeDocument/2006/relationships/hyperlink" Target="mailto:sam.allargine@gmail.com" TargetMode="External"/><Relationship Id="rId9" Type="http://schemas.openxmlformats.org/officeDocument/2006/relationships/hyperlink" Target="mailto:mikel.artena@gmail.com" TargetMode="External"/><Relationship Id="rId14" Type="http://schemas.openxmlformats.org/officeDocument/2006/relationships/hyperlink" Target="mailto:miriam.adel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B3A3-07D3-1F45-91DB-E7072DE9AAF7}">
  <dimension ref="B1:K25"/>
  <sheetViews>
    <sheetView zoomScale="92" zoomScaleNormal="115" workbookViewId="0">
      <selection activeCell="F23" sqref="F23"/>
    </sheetView>
  </sheetViews>
  <sheetFormatPr defaultColWidth="11.19921875" defaultRowHeight="15.6" x14ac:dyDescent="0.3"/>
  <cols>
    <col min="1" max="1" width="4" customWidth="1"/>
    <col min="2" max="2" width="14.296875" customWidth="1"/>
    <col min="3" max="3" width="11.796875" customWidth="1"/>
    <col min="4" max="4" width="10" bestFit="1" customWidth="1"/>
    <col min="5" max="5" width="11.296875" bestFit="1" customWidth="1"/>
    <col min="6" max="6" width="12.19921875" bestFit="1" customWidth="1"/>
    <col min="7" max="7" width="11.5" customWidth="1"/>
    <col min="8" max="8" width="9" bestFit="1" customWidth="1"/>
    <col min="9" max="9" width="9" customWidth="1"/>
    <col min="11" max="11" width="13.19921875" style="10" customWidth="1"/>
  </cols>
  <sheetData>
    <row r="1" spans="2:11" x14ac:dyDescent="0.3">
      <c r="K1"/>
    </row>
    <row r="2" spans="2:11" ht="21" x14ac:dyDescent="0.4">
      <c r="B2" s="11" t="s">
        <v>7</v>
      </c>
      <c r="C2" s="1"/>
      <c r="D2" s="1"/>
      <c r="E2" s="1"/>
      <c r="F2" s="1"/>
      <c r="G2" s="1"/>
      <c r="H2" s="1"/>
      <c r="I2" s="1"/>
      <c r="J2" s="1"/>
      <c r="K2" s="1"/>
    </row>
    <row r="3" spans="2:11" x14ac:dyDescent="0.3">
      <c r="K3"/>
    </row>
    <row r="4" spans="2:11" x14ac:dyDescent="0.3">
      <c r="B4" t="s">
        <v>30</v>
      </c>
      <c r="C4" s="15">
        <f>SUM(inventory[Total Value])</f>
        <v>2751.9133151208443</v>
      </c>
      <c r="E4" t="s">
        <v>8</v>
      </c>
      <c r="F4" s="13">
        <f ca="1">TODAY()</f>
        <v>45644</v>
      </c>
      <c r="K4"/>
    </row>
    <row r="5" spans="2:11" x14ac:dyDescent="0.3">
      <c r="B5" t="s">
        <v>29</v>
      </c>
      <c r="C5" s="4">
        <f>COUNT(_xlfn.UNIQUE(inventory[Product ID]))</f>
        <v>13</v>
      </c>
      <c r="E5" t="s">
        <v>9</v>
      </c>
      <c r="F5" s="4" t="str">
        <f ca="1">TEXT(F4,"dddd")</f>
        <v>Wednesday</v>
      </c>
      <c r="K5"/>
    </row>
    <row r="6" spans="2:11" x14ac:dyDescent="0.3">
      <c r="K6"/>
    </row>
    <row r="7" spans="2:11" ht="33" customHeight="1" x14ac:dyDescent="0.3">
      <c r="B7" s="8" t="s">
        <v>14</v>
      </c>
      <c r="C7" s="8" t="s">
        <v>15</v>
      </c>
      <c r="D7" s="12" t="s">
        <v>88</v>
      </c>
      <c r="E7" s="12" t="s">
        <v>85</v>
      </c>
      <c r="F7" s="9" t="s">
        <v>32</v>
      </c>
      <c r="G7" s="8" t="s">
        <v>27</v>
      </c>
      <c r="H7" s="9" t="s">
        <v>28</v>
      </c>
      <c r="I7" s="12" t="s">
        <v>87</v>
      </c>
      <c r="J7" s="8" t="s">
        <v>1</v>
      </c>
      <c r="K7" s="8" t="s">
        <v>31</v>
      </c>
    </row>
    <row r="8" spans="2:11" x14ac:dyDescent="0.3">
      <c r="B8" s="2">
        <v>101</v>
      </c>
      <c r="C8" s="2" t="str">
        <f>_xlfn.XLOOKUP(inventory[[#This Row],[Product ID]],'Vendor Info'!$B$5:$B$24,'Vendor Info'!$C$5:$C$24)</f>
        <v>Fading Light</v>
      </c>
      <c r="D8" s="2">
        <v>2</v>
      </c>
      <c r="E8" s="3">
        <v>6.5357631098462861</v>
      </c>
      <c r="F8" s="3">
        <f t="shared" ref="F8:F20" si="0">E8*3</f>
        <v>19.607289329538858</v>
      </c>
      <c r="G8" s="3">
        <f>inventory[[#This Row],[Sale Price 
per Unit]]*inventory[[#This Row],[Quantity in Stock]]</f>
        <v>39.214578659077716</v>
      </c>
      <c r="H8" s="2">
        <v>4</v>
      </c>
      <c r="I8" s="2">
        <v>8</v>
      </c>
      <c r="J8" s="2" t="str">
        <f>IF(inventory[[#This Row],[Quantity in Stock]]&lt;inventory[[#This Row],[Reorder
Threshold]],"Yes","No")</f>
        <v>Yes</v>
      </c>
      <c r="K8" s="14">
        <f ca="1">IF(inventory[[#This Row],[Reorder?]]="Yes",$F$4+_xlfn.XLOOKUP(inventory[[#This Row],[Product ID]],'Vendor Info'!$B$5:$B$24,'Vendor Info'!$F$5:$F$24),"")</f>
        <v>45651</v>
      </c>
    </row>
    <row r="9" spans="2:11" x14ac:dyDescent="0.3">
      <c r="B9" s="2">
        <v>102</v>
      </c>
      <c r="C9" s="2" t="str">
        <f>_xlfn.XLOOKUP(inventory[[#This Row],[Product ID]],'Vendor Info'!$B$5:$B$24,'Vendor Info'!$C$5:$C$24)</f>
        <v>Silent Echo</v>
      </c>
      <c r="D9" s="2">
        <v>12</v>
      </c>
      <c r="E9" s="3">
        <v>8.1162716224706184</v>
      </c>
      <c r="F9" s="3">
        <f t="shared" si="0"/>
        <v>24.348814867411853</v>
      </c>
      <c r="G9" s="3">
        <f>inventory[[#This Row],[Sale Price 
per Unit]]*inventory[[#This Row],[Quantity in Stock]]</f>
        <v>292.18577840894227</v>
      </c>
      <c r="H9" s="2">
        <v>6</v>
      </c>
      <c r="I9" s="2">
        <v>15</v>
      </c>
      <c r="J9" s="2" t="str">
        <f>IF(inventory[[#This Row],[Quantity in Stock]]&lt;inventory[[#This Row],[Reorder
Threshold]],"Yes","No")</f>
        <v>No</v>
      </c>
      <c r="K9" s="14" t="str">
        <f>IF(inventory[[#This Row],[Reorder?]]="Yes",$F$4+_xlfn.XLOOKUP(inventory[[#This Row],[Product ID]],'Vendor Info'!$B$5:$B$24,'Vendor Info'!$F$5:$F$24),"")</f>
        <v/>
      </c>
    </row>
    <row r="10" spans="2:11" x14ac:dyDescent="0.3">
      <c r="B10" s="2">
        <v>103</v>
      </c>
      <c r="C10" s="2" t="str">
        <f>_xlfn.XLOOKUP(inventory[[#This Row],[Product ID]],'Vendor Info'!$B$5:$B$24,'Vendor Info'!$C$5:$C$24)</f>
        <v>Iron Sky</v>
      </c>
      <c r="D10" s="2">
        <v>4</v>
      </c>
      <c r="E10" s="3">
        <v>9.6615053146280214</v>
      </c>
      <c r="F10" s="3">
        <f t="shared" si="0"/>
        <v>28.984515943884062</v>
      </c>
      <c r="G10" s="3">
        <f>inventory[[#This Row],[Sale Price 
per Unit]]*inventory[[#This Row],[Quantity in Stock]]</f>
        <v>115.93806377553625</v>
      </c>
      <c r="H10" s="2">
        <v>7</v>
      </c>
      <c r="I10" s="2">
        <v>18</v>
      </c>
      <c r="J10" s="2" t="str">
        <f>IF(inventory[[#This Row],[Quantity in Stock]]&lt;inventory[[#This Row],[Reorder
Threshold]],"Yes","No")</f>
        <v>Yes</v>
      </c>
      <c r="K10" s="14">
        <f ca="1">IF(inventory[[#This Row],[Reorder?]]="Yes",$F$4+_xlfn.XLOOKUP(inventory[[#This Row],[Product ID]],'Vendor Info'!$B$5:$B$24,'Vendor Info'!$F$5:$F$24),"")</f>
        <v>45674</v>
      </c>
    </row>
    <row r="11" spans="2:11" x14ac:dyDescent="0.3">
      <c r="B11" s="2">
        <v>104</v>
      </c>
      <c r="C11" s="2" t="str">
        <f>_xlfn.XLOOKUP(inventory[[#This Row],[Product ID]],'Vendor Info'!$B$5:$B$24,'Vendor Info'!$C$5:$C$24)</f>
        <v>Wanderlust</v>
      </c>
      <c r="D11" s="2">
        <v>22</v>
      </c>
      <c r="E11" s="3">
        <v>7.1428555517562238</v>
      </c>
      <c r="F11" s="3">
        <f t="shared" si="0"/>
        <v>21.428566655268671</v>
      </c>
      <c r="G11" s="3">
        <f>inventory[[#This Row],[Sale Price 
per Unit]]*inventory[[#This Row],[Quantity in Stock]]</f>
        <v>471.42846641591075</v>
      </c>
      <c r="H11" s="2">
        <v>2</v>
      </c>
      <c r="I11" s="2">
        <v>25</v>
      </c>
      <c r="J11" s="2" t="str">
        <f>IF(inventory[[#This Row],[Quantity in Stock]]&lt;inventory[[#This Row],[Reorder
Threshold]],"Yes","No")</f>
        <v>No</v>
      </c>
      <c r="K11" s="14" t="str">
        <f>IF(inventory[[#This Row],[Reorder?]]="Yes",$F$4+_xlfn.XLOOKUP(inventory[[#This Row],[Product ID]],'Vendor Info'!$B$5:$B$24,'Vendor Info'!$F$5:$F$24),"")</f>
        <v/>
      </c>
    </row>
    <row r="12" spans="2:11" x14ac:dyDescent="0.3">
      <c r="B12" s="2">
        <v>105</v>
      </c>
      <c r="C12" s="2" t="str">
        <f>_xlfn.XLOOKUP(inventory[[#This Row],[Product ID]],'Vendor Info'!$B$5:$B$24,'Vendor Info'!$C$5:$C$24)</f>
        <v>Lost Horizon</v>
      </c>
      <c r="D12" s="2">
        <v>7</v>
      </c>
      <c r="E12" s="3">
        <v>3.7669670588735187</v>
      </c>
      <c r="F12" s="3">
        <f t="shared" si="0"/>
        <v>11.300901176620556</v>
      </c>
      <c r="G12" s="3">
        <f>inventory[[#This Row],[Sale Price 
per Unit]]*inventory[[#This Row],[Quantity in Stock]]</f>
        <v>79.106308236343892</v>
      </c>
      <c r="H12" s="2">
        <v>3</v>
      </c>
      <c r="I12" s="2">
        <v>15</v>
      </c>
      <c r="J12" s="2" t="str">
        <f>IF(inventory[[#This Row],[Quantity in Stock]]&lt;inventory[[#This Row],[Reorder
Threshold]],"Yes","No")</f>
        <v>No</v>
      </c>
      <c r="K12" s="14" t="str">
        <f>IF(inventory[[#This Row],[Reorder?]]="Yes",$F$4+_xlfn.XLOOKUP(inventory[[#This Row],[Product ID]],'Vendor Info'!$B$5:$B$24,'Vendor Info'!$F$5:$F$24),"")</f>
        <v/>
      </c>
    </row>
    <row r="13" spans="2:11" x14ac:dyDescent="0.3">
      <c r="B13" s="2">
        <v>106</v>
      </c>
      <c r="C13" s="2" t="str">
        <f>_xlfn.XLOOKUP(inventory[[#This Row],[Product ID]],'Vendor Info'!$B$5:$B$24,'Vendor Info'!$C$5:$C$24)</f>
        <v>Silver Veil</v>
      </c>
      <c r="D13" s="2">
        <v>19</v>
      </c>
      <c r="E13" s="3">
        <v>7.5821485560321005</v>
      </c>
      <c r="F13" s="3">
        <f t="shared" si="0"/>
        <v>22.7464456680963</v>
      </c>
      <c r="G13" s="3">
        <f>inventory[[#This Row],[Sale Price 
per Unit]]*inventory[[#This Row],[Quantity in Stock]]</f>
        <v>432.18246769382972</v>
      </c>
      <c r="H13" s="2">
        <v>5</v>
      </c>
      <c r="I13" s="2">
        <v>23</v>
      </c>
      <c r="J13" s="2" t="str">
        <f>IF(inventory[[#This Row],[Quantity in Stock]]&lt;inventory[[#This Row],[Reorder
Threshold]],"Yes","No")</f>
        <v>No</v>
      </c>
      <c r="K13" s="14" t="str">
        <f>IF(inventory[[#This Row],[Reorder?]]="Yes",$F$4+_xlfn.XLOOKUP(inventory[[#This Row],[Product ID]],'Vendor Info'!$B$5:$B$24,'Vendor Info'!$F$5:$F$24),"")</f>
        <v/>
      </c>
    </row>
    <row r="14" spans="2:11" x14ac:dyDescent="0.3">
      <c r="B14" s="2">
        <v>108</v>
      </c>
      <c r="C14" s="2" t="str">
        <f>_xlfn.XLOOKUP(inventory[[#This Row],[Product ID]],'Vendor Info'!$B$5:$B$24,'Vendor Info'!$C$5:$C$24)</f>
        <v>The Hollow</v>
      </c>
      <c r="D14" s="2">
        <v>21</v>
      </c>
      <c r="E14" s="3">
        <v>7.3073497384215322</v>
      </c>
      <c r="F14" s="3">
        <f t="shared" si="0"/>
        <v>21.922049215264597</v>
      </c>
      <c r="G14" s="3">
        <f>inventory[[#This Row],[Sale Price 
per Unit]]*inventory[[#This Row],[Quantity in Stock]]</f>
        <v>460.36303352055654</v>
      </c>
      <c r="H14" s="2">
        <v>8</v>
      </c>
      <c r="I14" s="2">
        <v>26</v>
      </c>
      <c r="J14" s="2" t="str">
        <f>IF(inventory[[#This Row],[Quantity in Stock]]&lt;inventory[[#This Row],[Reorder
Threshold]],"Yes","No")</f>
        <v>No</v>
      </c>
      <c r="K14" s="14" t="str">
        <f>IF(inventory[[#This Row],[Reorder?]]="Yes",$F$4+_xlfn.XLOOKUP(inventory[[#This Row],[Product ID]],'Vendor Info'!$B$5:$B$24,'Vendor Info'!$F$5:$F$24),"")</f>
        <v/>
      </c>
    </row>
    <row r="15" spans="2:11" x14ac:dyDescent="0.3">
      <c r="B15" s="2">
        <v>109</v>
      </c>
      <c r="C15" s="2" t="str">
        <f>_xlfn.XLOOKUP(inventory[[#This Row],[Product ID]],'Vendor Info'!$B$5:$B$24,'Vendor Info'!$C$5:$C$24)</f>
        <v>Broker</v>
      </c>
      <c r="D15" s="2">
        <v>24</v>
      </c>
      <c r="E15" s="3">
        <v>6.1967947656993907</v>
      </c>
      <c r="F15" s="3">
        <f t="shared" si="0"/>
        <v>18.590384297098172</v>
      </c>
      <c r="G15" s="3">
        <f>inventory[[#This Row],[Sale Price 
per Unit]]*inventory[[#This Row],[Quantity in Stock]]</f>
        <v>446.16922313035616</v>
      </c>
      <c r="H15" s="2">
        <v>4</v>
      </c>
      <c r="I15" s="2">
        <v>25</v>
      </c>
      <c r="J15" s="2" t="str">
        <f>IF(inventory[[#This Row],[Quantity in Stock]]&lt;inventory[[#This Row],[Reorder
Threshold]],"Yes","No")</f>
        <v>No</v>
      </c>
      <c r="K15" s="14" t="str">
        <f>IF(inventory[[#This Row],[Reorder?]]="Yes",$F$4+_xlfn.XLOOKUP(inventory[[#This Row],[Product ID]],'Vendor Info'!$B$5:$B$24,'Vendor Info'!$F$5:$F$24),"")</f>
        <v/>
      </c>
    </row>
    <row r="16" spans="2:11" x14ac:dyDescent="0.3">
      <c r="B16" s="2">
        <v>110</v>
      </c>
      <c r="C16" s="2" t="str">
        <f>_xlfn.XLOOKUP(inventory[[#This Row],[Product ID]],'Vendor Info'!$B$5:$B$24,'Vendor Info'!$C$5:$C$24)</f>
        <v>Frostfire</v>
      </c>
      <c r="D16" s="2">
        <v>5</v>
      </c>
      <c r="E16" s="3">
        <v>1.5677051405247546</v>
      </c>
      <c r="F16" s="3">
        <f t="shared" si="0"/>
        <v>4.7031154215742639</v>
      </c>
      <c r="G16" s="3">
        <f>inventory[[#This Row],[Sale Price 
per Unit]]*inventory[[#This Row],[Quantity in Stock]]</f>
        <v>23.515577107871319</v>
      </c>
      <c r="H16" s="2">
        <v>8</v>
      </c>
      <c r="I16" s="2">
        <v>13</v>
      </c>
      <c r="J16" s="2" t="str">
        <f>IF(inventory[[#This Row],[Quantity in Stock]]&lt;inventory[[#This Row],[Reorder
Threshold]],"Yes","No")</f>
        <v>Yes</v>
      </c>
      <c r="K16" s="14">
        <f ca="1">IF(inventory[[#This Row],[Reorder?]]="Yes",$F$4+_xlfn.XLOOKUP(inventory[[#This Row],[Product ID]],'Vendor Info'!$B$5:$B$24,'Vendor Info'!$F$5:$F$24),"")</f>
        <v>45674</v>
      </c>
    </row>
    <row r="17" spans="2:11" x14ac:dyDescent="0.3">
      <c r="B17" s="2">
        <v>111</v>
      </c>
      <c r="C17" s="2" t="str">
        <f>_xlfn.XLOOKUP(inventory[[#This Row],[Product ID]],'Vendor Info'!$B$5:$B$24,'Vendor Info'!$C$5:$C$24)</f>
        <v>The Tide</v>
      </c>
      <c r="D17" s="2">
        <v>5</v>
      </c>
      <c r="E17" s="3">
        <v>3.5378489709328811</v>
      </c>
      <c r="F17" s="3">
        <f t="shared" si="0"/>
        <v>10.613546912798643</v>
      </c>
      <c r="G17" s="3">
        <f>inventory[[#This Row],[Sale Price 
per Unit]]*inventory[[#This Row],[Quantity in Stock]]</f>
        <v>53.067734563993213</v>
      </c>
      <c r="H17" s="2">
        <v>2</v>
      </c>
      <c r="I17" s="2">
        <v>16</v>
      </c>
      <c r="J17" s="2" t="str">
        <f>IF(inventory[[#This Row],[Quantity in Stock]]&lt;inventory[[#This Row],[Reorder
Threshold]],"Yes","No")</f>
        <v>No</v>
      </c>
      <c r="K17" s="14" t="str">
        <f>IF(inventory[[#This Row],[Reorder?]]="Yes",$F$4+_xlfn.XLOOKUP(inventory[[#This Row],[Product ID]],'Vendor Info'!$B$5:$B$24,'Vendor Info'!$F$5:$F$24),"")</f>
        <v/>
      </c>
    </row>
    <row r="18" spans="2:11" x14ac:dyDescent="0.3">
      <c r="B18" s="2">
        <v>112</v>
      </c>
      <c r="C18" s="2" t="str">
        <f>_xlfn.XLOOKUP(inventory[[#This Row],[Product ID]],'Vendor Info'!$B$5:$B$24,'Vendor Info'!$C$5:$C$24)</f>
        <v>Crimson</v>
      </c>
      <c r="D18" s="2">
        <v>5</v>
      </c>
      <c r="E18" s="3">
        <v>7.9822216400338739</v>
      </c>
      <c r="F18" s="3">
        <f t="shared" si="0"/>
        <v>23.946664920101622</v>
      </c>
      <c r="G18" s="3">
        <f>inventory[[#This Row],[Sale Price 
per Unit]]*inventory[[#This Row],[Quantity in Stock]]</f>
        <v>119.73332460050811</v>
      </c>
      <c r="H18" s="2">
        <v>8</v>
      </c>
      <c r="I18" s="2">
        <v>14</v>
      </c>
      <c r="J18" s="2" t="str">
        <f>IF(inventory[[#This Row],[Quantity in Stock]]&lt;inventory[[#This Row],[Reorder
Threshold]],"Yes","No")</f>
        <v>Yes</v>
      </c>
      <c r="K18" s="14">
        <f ca="1">IF(inventory[[#This Row],[Reorder?]]="Yes",$F$4+_xlfn.XLOOKUP(inventory[[#This Row],[Product ID]],'Vendor Info'!$B$5:$B$24,'Vendor Info'!$F$5:$F$24),"")</f>
        <v>45704</v>
      </c>
    </row>
    <row r="19" spans="2:11" x14ac:dyDescent="0.3">
      <c r="B19" s="2">
        <v>113</v>
      </c>
      <c r="C19" s="2" t="str">
        <f>_xlfn.XLOOKUP(inventory[[#This Row],[Product ID]],'Vendor Info'!$B$5:$B$24,'Vendor Info'!$C$5:$C$24)</f>
        <v>Shattered</v>
      </c>
      <c r="D19" s="2">
        <v>8</v>
      </c>
      <c r="E19" s="3">
        <v>2.1895287319506238</v>
      </c>
      <c r="F19" s="3">
        <f t="shared" si="0"/>
        <v>6.5685861958518714</v>
      </c>
      <c r="G19" s="3">
        <f>inventory[[#This Row],[Sale Price 
per Unit]]*inventory[[#This Row],[Quantity in Stock]]</f>
        <v>52.548689566814971</v>
      </c>
      <c r="H19" s="2">
        <v>7</v>
      </c>
      <c r="I19" s="2">
        <v>18</v>
      </c>
      <c r="J19" s="2" t="str">
        <f>IF(inventory[[#This Row],[Quantity in Stock]]&lt;inventory[[#This Row],[Reorder
Threshold]],"Yes","No")</f>
        <v>No</v>
      </c>
      <c r="K19" s="14" t="str">
        <f>IF(inventory[[#This Row],[Reorder?]]="Yes",$F$4+_xlfn.XLOOKUP(inventory[[#This Row],[Product ID]],'Vendor Info'!$B$5:$B$24,'Vendor Info'!$F$5:$F$24),"")</f>
        <v/>
      </c>
    </row>
    <row r="20" spans="2:11" x14ac:dyDescent="0.3">
      <c r="B20" s="2">
        <v>116</v>
      </c>
      <c r="C20" s="2" t="str">
        <f>_xlfn.XLOOKUP(inventory[[#This Row],[Product ID]],'Vendor Info'!$B$5:$B$24,'Vendor Info'!$C$5:$C$24)</f>
        <v>Blackthron</v>
      </c>
      <c r="D20" s="2">
        <v>11</v>
      </c>
      <c r="E20" s="3">
        <v>5.0442445285182647</v>
      </c>
      <c r="F20" s="3">
        <f t="shared" si="0"/>
        <v>15.132733585554794</v>
      </c>
      <c r="G20" s="3">
        <f>inventory[[#This Row],[Sale Price 
per Unit]]*inventory[[#This Row],[Quantity in Stock]]</f>
        <v>166.46006944110275</v>
      </c>
      <c r="H20" s="2">
        <v>2</v>
      </c>
      <c r="I20" s="2">
        <v>20</v>
      </c>
      <c r="J20" s="2" t="str">
        <f>IF(inventory[[#This Row],[Quantity in Stock]]&lt;inventory[[#This Row],[Reorder
Threshold]],"Yes","No")</f>
        <v>No</v>
      </c>
      <c r="K20" s="14" t="str">
        <f>IF(inventory[[#This Row],[Reorder?]]="Yes",$F$4+_xlfn.XLOOKUP(inventory[[#This Row],[Product ID]],'Vendor Info'!$B$5:$B$24,'Vendor Info'!$F$5:$F$24),"")</f>
        <v/>
      </c>
    </row>
    <row r="23" spans="2:11" x14ac:dyDescent="0.3">
      <c r="F23" s="3"/>
    </row>
    <row r="24" spans="2:11" x14ac:dyDescent="0.3">
      <c r="F24" s="3"/>
    </row>
    <row r="25" spans="2:11" x14ac:dyDescent="0.3">
      <c r="F25" s="3"/>
    </row>
  </sheetData>
  <conditionalFormatting sqref="J8:J20">
    <cfRule type="containsText" dxfId="0" priority="1" operator="containsText" text="Yes">
      <formula>NOT(ISERROR(SEARCH("Yes",J8)))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0F16-6C46-674E-89BA-5D2A5E60E662}">
  <dimension ref="B2:J24"/>
  <sheetViews>
    <sheetView zoomScale="80" zoomScaleNormal="115" workbookViewId="0">
      <selection activeCell="H12" sqref="H12"/>
    </sheetView>
  </sheetViews>
  <sheetFormatPr defaultColWidth="11.19921875" defaultRowHeight="15.6" x14ac:dyDescent="0.3"/>
  <cols>
    <col min="1" max="1" width="4.5" customWidth="1"/>
    <col min="2" max="2" width="6.296875" customWidth="1"/>
    <col min="3" max="3" width="9.19921875" customWidth="1"/>
    <col min="4" max="4" width="12" bestFit="1" customWidth="1"/>
    <col min="6" max="6" width="10.19921875" bestFit="1" customWidth="1"/>
    <col min="7" max="7" width="10.296875" customWidth="1"/>
    <col min="8" max="8" width="14.3984375" customWidth="1"/>
    <col min="9" max="9" width="14.09765625" customWidth="1"/>
    <col min="10" max="10" width="9.296875" customWidth="1"/>
  </cols>
  <sheetData>
    <row r="2" spans="2:10" ht="21" x14ac:dyDescent="0.4">
      <c r="B2" s="11" t="s">
        <v>6</v>
      </c>
      <c r="C2" s="1"/>
      <c r="D2" s="1"/>
      <c r="E2" s="1"/>
      <c r="F2" s="1"/>
      <c r="G2" s="1"/>
      <c r="H2" s="1"/>
      <c r="I2" s="1"/>
      <c r="J2" s="1"/>
    </row>
    <row r="4" spans="2:10" ht="31.2" x14ac:dyDescent="0.3">
      <c r="B4" s="26" t="s">
        <v>33</v>
      </c>
      <c r="C4" s="26" t="s">
        <v>15</v>
      </c>
      <c r="D4" s="26" t="s">
        <v>0</v>
      </c>
      <c r="E4" s="26" t="s">
        <v>2</v>
      </c>
      <c r="F4" s="12" t="s">
        <v>16</v>
      </c>
      <c r="G4" s="12" t="s">
        <v>86</v>
      </c>
      <c r="H4" s="26" t="s">
        <v>4</v>
      </c>
      <c r="I4" s="26" t="s">
        <v>5</v>
      </c>
      <c r="J4" s="26" t="s">
        <v>3</v>
      </c>
    </row>
    <row r="5" spans="2:10" x14ac:dyDescent="0.3">
      <c r="B5" s="18">
        <v>101</v>
      </c>
      <c r="C5" s="16" t="s">
        <v>34</v>
      </c>
      <c r="D5" s="16" t="s">
        <v>54</v>
      </c>
      <c r="E5" s="16" t="s">
        <v>66</v>
      </c>
      <c r="F5" s="17">
        <v>7</v>
      </c>
      <c r="G5" s="18">
        <v>2</v>
      </c>
      <c r="H5" s="16" t="s">
        <v>17</v>
      </c>
      <c r="I5" s="19" t="s">
        <v>76</v>
      </c>
      <c r="J5" s="24" t="s">
        <v>26</v>
      </c>
    </row>
    <row r="6" spans="2:10" x14ac:dyDescent="0.3">
      <c r="B6" s="22">
        <f>B5+1</f>
        <v>102</v>
      </c>
      <c r="C6" s="20" t="s">
        <v>35</v>
      </c>
      <c r="D6" s="20" t="s">
        <v>55</v>
      </c>
      <c r="E6" s="20" t="s">
        <v>67</v>
      </c>
      <c r="F6" s="21">
        <v>14</v>
      </c>
      <c r="G6" s="22">
        <v>3</v>
      </c>
      <c r="H6" s="20" t="s">
        <v>18</v>
      </c>
      <c r="I6" s="23" t="s">
        <v>77</v>
      </c>
      <c r="J6" s="25" t="s">
        <v>26</v>
      </c>
    </row>
    <row r="7" spans="2:10" x14ac:dyDescent="0.3">
      <c r="B7" s="18">
        <f t="shared" ref="B7:B24" si="0">B6+1</f>
        <v>103</v>
      </c>
      <c r="C7" s="16" t="s">
        <v>36</v>
      </c>
      <c r="D7" s="16" t="s">
        <v>56</v>
      </c>
      <c r="E7" s="16" t="s">
        <v>68</v>
      </c>
      <c r="F7" s="17">
        <v>30</v>
      </c>
      <c r="G7" s="18">
        <v>4</v>
      </c>
      <c r="H7" s="16" t="s">
        <v>19</v>
      </c>
      <c r="I7" s="19" t="s">
        <v>78</v>
      </c>
      <c r="J7" s="24" t="s">
        <v>26</v>
      </c>
    </row>
    <row r="8" spans="2:10" x14ac:dyDescent="0.3">
      <c r="B8" s="22">
        <f t="shared" si="0"/>
        <v>104</v>
      </c>
      <c r="C8" s="20" t="s">
        <v>37</v>
      </c>
      <c r="D8" s="20" t="s">
        <v>57</v>
      </c>
      <c r="E8" s="20" t="s">
        <v>69</v>
      </c>
      <c r="F8" s="21">
        <v>7</v>
      </c>
      <c r="G8" s="22">
        <v>1</v>
      </c>
      <c r="H8" s="20" t="s">
        <v>20</v>
      </c>
      <c r="I8" s="23" t="s">
        <v>79</v>
      </c>
      <c r="J8" s="25" t="s">
        <v>26</v>
      </c>
    </row>
    <row r="9" spans="2:10" x14ac:dyDescent="0.3">
      <c r="B9" s="18">
        <f t="shared" si="0"/>
        <v>105</v>
      </c>
      <c r="C9" s="16" t="s">
        <v>38</v>
      </c>
      <c r="D9" s="16" t="s">
        <v>59</v>
      </c>
      <c r="E9" s="16" t="s">
        <v>66</v>
      </c>
      <c r="F9" s="17">
        <v>7</v>
      </c>
      <c r="G9" s="18">
        <v>2</v>
      </c>
      <c r="H9" s="16" t="s">
        <v>17</v>
      </c>
      <c r="I9" s="19" t="s">
        <v>76</v>
      </c>
      <c r="J9" s="24" t="s">
        <v>26</v>
      </c>
    </row>
    <row r="10" spans="2:10" x14ac:dyDescent="0.3">
      <c r="B10" s="22">
        <f t="shared" si="0"/>
        <v>106</v>
      </c>
      <c r="C10" s="20" t="s">
        <v>39</v>
      </c>
      <c r="D10" s="20" t="s">
        <v>58</v>
      </c>
      <c r="E10" s="20" t="s">
        <v>66</v>
      </c>
      <c r="F10" s="21">
        <v>7</v>
      </c>
      <c r="G10" s="22">
        <v>2</v>
      </c>
      <c r="H10" s="20" t="s">
        <v>17</v>
      </c>
      <c r="I10" s="23" t="s">
        <v>76</v>
      </c>
      <c r="J10" s="25" t="s">
        <v>26</v>
      </c>
    </row>
    <row r="11" spans="2:10" x14ac:dyDescent="0.3">
      <c r="B11" s="18">
        <f t="shared" si="0"/>
        <v>107</v>
      </c>
      <c r="C11" s="16" t="s">
        <v>40</v>
      </c>
      <c r="D11" s="16" t="s">
        <v>60</v>
      </c>
      <c r="E11" s="16" t="s">
        <v>66</v>
      </c>
      <c r="F11" s="17">
        <v>7</v>
      </c>
      <c r="G11" s="18">
        <v>2</v>
      </c>
      <c r="H11" s="16" t="s">
        <v>17</v>
      </c>
      <c r="I11" s="19" t="s">
        <v>76</v>
      </c>
      <c r="J11" s="24" t="s">
        <v>26</v>
      </c>
    </row>
    <row r="12" spans="2:10" x14ac:dyDescent="0.3">
      <c r="B12" s="22">
        <f t="shared" si="0"/>
        <v>108</v>
      </c>
      <c r="C12" s="20" t="s">
        <v>41</v>
      </c>
      <c r="D12" s="20" t="s">
        <v>61</v>
      </c>
      <c r="E12" s="20" t="s">
        <v>68</v>
      </c>
      <c r="F12" s="21">
        <v>30</v>
      </c>
      <c r="G12" s="22">
        <v>4</v>
      </c>
      <c r="H12" s="20" t="s">
        <v>19</v>
      </c>
      <c r="I12" s="23" t="s">
        <v>78</v>
      </c>
      <c r="J12" s="25" t="s">
        <v>26</v>
      </c>
    </row>
    <row r="13" spans="2:10" x14ac:dyDescent="0.3">
      <c r="B13" s="18">
        <f t="shared" si="0"/>
        <v>109</v>
      </c>
      <c r="C13" s="16" t="s">
        <v>42</v>
      </c>
      <c r="D13" s="16" t="s">
        <v>58</v>
      </c>
      <c r="E13" s="16" t="s">
        <v>68</v>
      </c>
      <c r="F13" s="17">
        <v>30</v>
      </c>
      <c r="G13" s="18">
        <v>4</v>
      </c>
      <c r="H13" s="16" t="s">
        <v>19</v>
      </c>
      <c r="I13" s="19" t="s">
        <v>78</v>
      </c>
      <c r="J13" s="24" t="s">
        <v>26</v>
      </c>
    </row>
    <row r="14" spans="2:10" x14ac:dyDescent="0.3">
      <c r="B14" s="22">
        <f t="shared" si="0"/>
        <v>110</v>
      </c>
      <c r="C14" s="20" t="s">
        <v>43</v>
      </c>
      <c r="D14" s="20" t="s">
        <v>62</v>
      </c>
      <c r="E14" s="20" t="s">
        <v>68</v>
      </c>
      <c r="F14" s="21">
        <v>30</v>
      </c>
      <c r="G14" s="22">
        <v>4</v>
      </c>
      <c r="H14" s="20" t="s">
        <v>19</v>
      </c>
      <c r="I14" s="23" t="s">
        <v>78</v>
      </c>
      <c r="J14" s="25" t="s">
        <v>26</v>
      </c>
    </row>
    <row r="15" spans="2:10" x14ac:dyDescent="0.3">
      <c r="B15" s="18">
        <f t="shared" si="0"/>
        <v>111</v>
      </c>
      <c r="C15" s="16" t="s">
        <v>44</v>
      </c>
      <c r="D15" s="16" t="s">
        <v>63</v>
      </c>
      <c r="E15" s="16" t="s">
        <v>70</v>
      </c>
      <c r="F15" s="17">
        <v>7</v>
      </c>
      <c r="G15" s="18">
        <v>1</v>
      </c>
      <c r="H15" s="16" t="s">
        <v>21</v>
      </c>
      <c r="I15" s="19" t="s">
        <v>80</v>
      </c>
      <c r="J15" s="24" t="s">
        <v>26</v>
      </c>
    </row>
    <row r="16" spans="2:10" x14ac:dyDescent="0.3">
      <c r="B16" s="22">
        <f t="shared" si="0"/>
        <v>112</v>
      </c>
      <c r="C16" s="20" t="s">
        <v>45</v>
      </c>
      <c r="D16" s="20" t="s">
        <v>64</v>
      </c>
      <c r="E16" s="20" t="s">
        <v>71</v>
      </c>
      <c r="F16" s="21">
        <v>60</v>
      </c>
      <c r="G16" s="22">
        <v>4</v>
      </c>
      <c r="H16" s="20" t="s">
        <v>22</v>
      </c>
      <c r="I16" s="23" t="s">
        <v>81</v>
      </c>
      <c r="J16" s="25" t="s">
        <v>26</v>
      </c>
    </row>
    <row r="17" spans="2:10" x14ac:dyDescent="0.3">
      <c r="B17" s="18">
        <f t="shared" si="0"/>
        <v>113</v>
      </c>
      <c r="C17" s="16" t="s">
        <v>46</v>
      </c>
      <c r="D17" s="16" t="s">
        <v>56</v>
      </c>
      <c r="E17" s="16" t="s">
        <v>72</v>
      </c>
      <c r="F17" s="17">
        <v>5</v>
      </c>
      <c r="G17" s="18">
        <v>4</v>
      </c>
      <c r="H17" s="16" t="s">
        <v>23</v>
      </c>
      <c r="I17" s="19" t="s">
        <v>82</v>
      </c>
      <c r="J17" s="24" t="s">
        <v>26</v>
      </c>
    </row>
    <row r="18" spans="2:10" x14ac:dyDescent="0.3">
      <c r="B18" s="22">
        <f t="shared" si="0"/>
        <v>114</v>
      </c>
      <c r="C18" s="20" t="s">
        <v>47</v>
      </c>
      <c r="D18" s="20" t="s">
        <v>55</v>
      </c>
      <c r="E18" s="20" t="s">
        <v>71</v>
      </c>
      <c r="F18" s="21">
        <v>60</v>
      </c>
      <c r="G18" s="22">
        <v>4</v>
      </c>
      <c r="H18" s="20" t="s">
        <v>22</v>
      </c>
      <c r="I18" s="23" t="s">
        <v>81</v>
      </c>
      <c r="J18" s="25" t="s">
        <v>26</v>
      </c>
    </row>
    <row r="19" spans="2:10" x14ac:dyDescent="0.3">
      <c r="B19" s="18">
        <f t="shared" si="0"/>
        <v>115</v>
      </c>
      <c r="C19" s="16" t="s">
        <v>48</v>
      </c>
      <c r="D19" s="16" t="s">
        <v>58</v>
      </c>
      <c r="E19" s="16" t="s">
        <v>71</v>
      </c>
      <c r="F19" s="17">
        <v>60</v>
      </c>
      <c r="G19" s="18">
        <v>4</v>
      </c>
      <c r="H19" s="16" t="s">
        <v>22</v>
      </c>
      <c r="I19" s="19" t="s">
        <v>81</v>
      </c>
      <c r="J19" s="24" t="s">
        <v>26</v>
      </c>
    </row>
    <row r="20" spans="2:10" x14ac:dyDescent="0.3">
      <c r="B20" s="22">
        <f t="shared" si="0"/>
        <v>116</v>
      </c>
      <c r="C20" s="20" t="s">
        <v>49</v>
      </c>
      <c r="D20" s="20" t="s">
        <v>64</v>
      </c>
      <c r="E20" s="20" t="s">
        <v>71</v>
      </c>
      <c r="F20" s="21">
        <v>60</v>
      </c>
      <c r="G20" s="22">
        <v>4</v>
      </c>
      <c r="H20" s="20" t="s">
        <v>22</v>
      </c>
      <c r="I20" s="23" t="s">
        <v>81</v>
      </c>
      <c r="J20" s="25" t="s">
        <v>26</v>
      </c>
    </row>
    <row r="21" spans="2:10" x14ac:dyDescent="0.3">
      <c r="B21" s="18">
        <f t="shared" si="0"/>
        <v>117</v>
      </c>
      <c r="C21" s="16" t="s">
        <v>50</v>
      </c>
      <c r="D21" s="16" t="s">
        <v>58</v>
      </c>
      <c r="E21" s="16" t="s">
        <v>71</v>
      </c>
      <c r="F21" s="17">
        <v>60</v>
      </c>
      <c r="G21" s="18">
        <v>4</v>
      </c>
      <c r="H21" s="16" t="s">
        <v>22</v>
      </c>
      <c r="I21" s="19" t="s">
        <v>81</v>
      </c>
      <c r="J21" s="24" t="s">
        <v>26</v>
      </c>
    </row>
    <row r="22" spans="2:10" x14ac:dyDescent="0.3">
      <c r="B22" s="22">
        <f t="shared" si="0"/>
        <v>118</v>
      </c>
      <c r="C22" s="20" t="s">
        <v>51</v>
      </c>
      <c r="D22" s="20" t="s">
        <v>56</v>
      </c>
      <c r="E22" s="20" t="s">
        <v>73</v>
      </c>
      <c r="F22" s="21">
        <v>30</v>
      </c>
      <c r="G22" s="22">
        <v>4</v>
      </c>
      <c r="H22" s="20" t="s">
        <v>25</v>
      </c>
      <c r="I22" s="23" t="s">
        <v>83</v>
      </c>
      <c r="J22" s="25" t="s">
        <v>26</v>
      </c>
    </row>
    <row r="23" spans="2:10" x14ac:dyDescent="0.3">
      <c r="B23" s="18">
        <f t="shared" si="0"/>
        <v>119</v>
      </c>
      <c r="C23" s="16" t="s">
        <v>52</v>
      </c>
      <c r="D23" s="16" t="s">
        <v>58</v>
      </c>
      <c r="E23" s="16" t="s">
        <v>74</v>
      </c>
      <c r="F23" s="17">
        <v>60</v>
      </c>
      <c r="G23" s="18">
        <v>2</v>
      </c>
      <c r="H23" s="16" t="s">
        <v>24</v>
      </c>
      <c r="I23" s="19" t="s">
        <v>84</v>
      </c>
      <c r="J23" s="24" t="s">
        <v>26</v>
      </c>
    </row>
    <row r="24" spans="2:10" x14ac:dyDescent="0.3">
      <c r="B24" s="22">
        <f t="shared" si="0"/>
        <v>120</v>
      </c>
      <c r="C24" s="20" t="s">
        <v>53</v>
      </c>
      <c r="D24" s="20" t="s">
        <v>65</v>
      </c>
      <c r="E24" s="20" t="s">
        <v>75</v>
      </c>
      <c r="F24" s="21">
        <v>60</v>
      </c>
      <c r="G24" s="22">
        <v>4</v>
      </c>
      <c r="H24" s="20" t="s">
        <v>25</v>
      </c>
      <c r="I24" s="23" t="s">
        <v>83</v>
      </c>
      <c r="J24" s="25" t="s">
        <v>26</v>
      </c>
    </row>
  </sheetData>
  <hyperlinks>
    <hyperlink ref="I5" r:id="rId1" xr:uid="{3BFF100D-5F26-3A40-BA6B-32906D0AB0C2}"/>
    <hyperlink ref="I6" r:id="rId2" xr:uid="{DAEC3547-A625-E141-9E05-E08210726355}"/>
    <hyperlink ref="I7" r:id="rId3" xr:uid="{7CD3C45A-B007-F34A-9D2B-9BF6E49698E1}"/>
    <hyperlink ref="I8" r:id="rId4" xr:uid="{CDBF5EF3-61AB-4F41-AB2E-458A0C776AC6}"/>
    <hyperlink ref="I9" r:id="rId5" xr:uid="{85442B39-6DEA-AA46-BA99-D65AA8C7CC9E}"/>
    <hyperlink ref="I10" r:id="rId6" xr:uid="{EE1067CB-3D1A-2D44-A50D-EB936EAF84CE}"/>
    <hyperlink ref="I11" r:id="rId7" xr:uid="{38123834-18FA-4B4C-983F-0AF8411856E7}"/>
    <hyperlink ref="I12" r:id="rId8" xr:uid="{F644D934-049D-DD45-B9D6-0326EB2A1399}"/>
    <hyperlink ref="I13" r:id="rId9" xr:uid="{B19601FC-7FAF-574D-8972-38D366AC531D}"/>
    <hyperlink ref="I14" r:id="rId10" xr:uid="{2BC32264-3AFA-C643-99D9-61411A191E3C}"/>
    <hyperlink ref="I15" r:id="rId11" xr:uid="{1F8B5EA1-841C-5341-9B9D-68383A21FF61}"/>
    <hyperlink ref="I16" r:id="rId12" xr:uid="{CCD91297-9CA0-F04F-BA45-FBB83CC6C9BC}"/>
    <hyperlink ref="I17" r:id="rId13" xr:uid="{D557152C-8568-8543-B2D3-EBBE66BFC6EB}"/>
    <hyperlink ref="I18" r:id="rId14" xr:uid="{AFBF0F02-0E1C-DB47-8734-77585256700C}"/>
    <hyperlink ref="I19" r:id="rId15" xr:uid="{0B086BE2-05B1-894C-BEA9-AF83922BB7C2}"/>
    <hyperlink ref="I20" r:id="rId16" xr:uid="{7DDFDBD9-3CDF-B948-8508-C335182A8D74}"/>
    <hyperlink ref="I21" r:id="rId17" xr:uid="{08398281-FD76-0040-8D7F-136D440A6335}"/>
    <hyperlink ref="I22" r:id="rId18" xr:uid="{2A2D4036-5CC2-8542-BBD4-1A36326FEB45}"/>
    <hyperlink ref="I23" r:id="rId19" xr:uid="{ABC2AC51-CF52-2F45-987F-6B1F6C310DE1}"/>
    <hyperlink ref="I24" r:id="rId20" xr:uid="{A85332C4-7871-444D-9170-246B18C24AEE}"/>
  </hyperlinks>
  <pageMargins left="0.7" right="0.7" top="0.75" bottom="0.75" header="0.3" footer="0.3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6AC4-9043-1147-98FB-218254C56D0A}">
  <dimension ref="B1:G29"/>
  <sheetViews>
    <sheetView tabSelected="1" zoomScale="74" zoomScaleNormal="115" workbookViewId="0">
      <selection activeCell="F10" sqref="F10"/>
    </sheetView>
  </sheetViews>
  <sheetFormatPr defaultColWidth="11.19921875" defaultRowHeight="15.6" x14ac:dyDescent="0.3"/>
  <cols>
    <col min="1" max="1" width="4.5" customWidth="1"/>
    <col min="2" max="3" width="11.19921875" style="2"/>
    <col min="5" max="5" width="13.5" bestFit="1" customWidth="1"/>
    <col min="6" max="6" width="14.19921875" bestFit="1" customWidth="1"/>
    <col min="7" max="7" width="25.3984375" bestFit="1" customWidth="1"/>
  </cols>
  <sheetData>
    <row r="1" spans="2:7" x14ac:dyDescent="0.3">
      <c r="B1"/>
      <c r="C1"/>
    </row>
    <row r="2" spans="2:7" ht="21" x14ac:dyDescent="0.4">
      <c r="B2" s="11" t="s">
        <v>13</v>
      </c>
      <c r="C2" s="1"/>
      <c r="D2" s="1"/>
      <c r="E2" s="1"/>
      <c r="F2" s="1"/>
      <c r="G2" s="1"/>
    </row>
    <row r="3" spans="2:7" x14ac:dyDescent="0.3">
      <c r="B3"/>
      <c r="C3"/>
    </row>
    <row r="4" spans="2:7" x14ac:dyDescent="0.3">
      <c r="B4" t="s">
        <v>12</v>
      </c>
      <c r="C4" s="6">
        <f>SUM(E7:E10)</f>
        <v>258.85728894837291</v>
      </c>
    </row>
    <row r="5" spans="2:7" x14ac:dyDescent="0.3">
      <c r="B5"/>
      <c r="C5"/>
    </row>
    <row r="6" spans="2:7" x14ac:dyDescent="0.3">
      <c r="B6" s="7" t="s">
        <v>14</v>
      </c>
      <c r="C6" s="7" t="s">
        <v>15</v>
      </c>
      <c r="D6" s="7" t="s">
        <v>10</v>
      </c>
      <c r="E6" s="7" t="s">
        <v>11</v>
      </c>
      <c r="F6" s="7" t="s">
        <v>4</v>
      </c>
      <c r="G6" s="7" t="s">
        <v>5</v>
      </c>
    </row>
    <row r="7" spans="2:7" x14ac:dyDescent="0.3">
      <c r="B7" s="2" cm="1">
        <f t="array" ref="B7:C10">_xlfn._xlws.FILTER(Inventory!B8:C20,Inventory!J8:J20="Yes","")</f>
        <v>101</v>
      </c>
      <c r="C7" s="2" t="str">
        <v>Fading Light</v>
      </c>
      <c r="D7" s="2">
        <f>IFERROR(MAX(_xlfn.XLOOKUP(C7,vendor[Product],vendor[Reorder],""),_xlfn.XLOOKUP(C7,inventory[Product],inventory[Safety Stock],"")-_xlfn.XLOOKUP(C7,inventory[Product],inventory[Quantity in Stock])),"")</f>
        <v>6</v>
      </c>
      <c r="E7" s="5">
        <f>IFERROR(D7*_xlfn.XLOOKUP(B7,inventory[Product ID],inventory[Cost per 
Unit],""),"")</f>
        <v>39.214578659077716</v>
      </c>
      <c r="F7" t="str">
        <f>IFERROR(INDEX('Vendor Info'!$B$5:$J$24,MATCH('Order Summary'!$B7,'Vendor Info'!$B$5:$B$24,0),MATCH('Order Summary'!F$6,'Vendor Info'!$B$4:$J$4,0)),"")</f>
        <v>Josh Smith</v>
      </c>
      <c r="G7" t="str">
        <f>IFERROR(INDEX('Vendor Info'!$B$5:$J$24,MATCH('Order Summary'!$B7,'Vendor Info'!$B$5:$B$24,0),MATCH('Order Summary'!G$6,'Vendor Info'!$B$4:$J$4,0)),"")</f>
        <v>josh.smith@gmail.com</v>
      </c>
    </row>
    <row r="8" spans="2:7" x14ac:dyDescent="0.3">
      <c r="B8" s="2">
        <v>103</v>
      </c>
      <c r="C8" s="2" t="str">
        <v>Iron Sky</v>
      </c>
      <c r="D8" s="2">
        <f>IFERROR(MAX(_xlfn.XLOOKUP(C8,vendor[Product],vendor[Reorder],""),_xlfn.XLOOKUP(C8,inventory[Product],inventory[Safety Stock],"")-_xlfn.XLOOKUP(C8,inventory[Product],inventory[Quantity in Stock])),"")</f>
        <v>14</v>
      </c>
      <c r="E8" s="5">
        <f>IFERROR(D8*_xlfn.XLOOKUP(B8,inventory[Product ID],inventory[Cost per 
Unit],""),"")</f>
        <v>135.26107440479231</v>
      </c>
      <c r="F8" t="str">
        <f>IFERROR(INDEX('Vendor Info'!$B$5:$J$24,MATCH('Order Summary'!$B8,'Vendor Info'!$B$5:$B$24,0),MATCH('Order Summary'!F$6,'Vendor Info'!$B$4:$J$4,0)),"")</f>
        <v>Mikel Artena</v>
      </c>
      <c r="G8" t="str">
        <f>IFERROR(INDEX('Vendor Info'!$B$5:$J$24,MATCH('Order Summary'!$B8,'Vendor Info'!$B$5:$B$24,0),MATCH('Order Summary'!G$6,'Vendor Info'!$B$4:$J$4,0)),"")</f>
        <v>mikel.artena@gmail.com</v>
      </c>
    </row>
    <row r="9" spans="2:7" x14ac:dyDescent="0.3">
      <c r="B9" s="2">
        <v>110</v>
      </c>
      <c r="C9" s="2" t="str">
        <v>Frostfire</v>
      </c>
      <c r="D9" s="2">
        <f>IFERROR(MAX(_xlfn.XLOOKUP(C9,vendor[Product],vendor[Reorder],""),_xlfn.XLOOKUP(C9,inventory[Product],inventory[Safety Stock],"")-_xlfn.XLOOKUP(C9,inventory[Product],inventory[Quantity in Stock])),"")</f>
        <v>8</v>
      </c>
      <c r="E9" s="5">
        <f>IFERROR(D9*_xlfn.XLOOKUP(B9,inventory[Product ID],inventory[Cost per 
Unit],""),"")</f>
        <v>12.541641124198037</v>
      </c>
      <c r="F9" t="str">
        <f>IFERROR(INDEX('Vendor Info'!$B$5:$J$24,MATCH('Order Summary'!$B9,'Vendor Info'!$B$5:$B$24,0),MATCH('Order Summary'!F$6,'Vendor Info'!$B$4:$J$4,0)),"")</f>
        <v>Mikel Artena</v>
      </c>
      <c r="G9" t="str">
        <f>IFERROR(INDEX('Vendor Info'!$B$5:$J$24,MATCH('Order Summary'!$B9,'Vendor Info'!$B$5:$B$24,0),MATCH('Order Summary'!G$6,'Vendor Info'!$B$4:$J$4,0)),"")</f>
        <v>mikel.artena@gmail.com</v>
      </c>
    </row>
    <row r="10" spans="2:7" x14ac:dyDescent="0.3">
      <c r="B10" s="2">
        <v>112</v>
      </c>
      <c r="C10" s="2" t="str">
        <v>Crimson</v>
      </c>
      <c r="D10" s="2">
        <f>IFERROR(MAX(_xlfn.XLOOKUP(C10,vendor[Product],vendor[Reorder],""),_xlfn.XLOOKUP(C10,inventory[Product],inventory[Safety Stock],"")-_xlfn.XLOOKUP(C10,inventory[Product],inventory[Quantity in Stock])),"")</f>
        <v>9</v>
      </c>
      <c r="E10" s="5">
        <f>IFERROR(D10*_xlfn.XLOOKUP(B10,inventory[Product ID],inventory[Cost per 
Unit],""),"")</f>
        <v>71.839994760304862</v>
      </c>
      <c r="F10" t="str">
        <f>IFERROR(INDEX('Vendor Info'!$B$5:$J$24,MATCH('Order Summary'!$B10,'Vendor Info'!$B$5:$B$24,0),MATCH('Order Summary'!F$6,'Vendor Info'!$B$4:$J$4,0)),"")</f>
        <v>Miriam Adelson</v>
      </c>
      <c r="G10" t="str">
        <f>IFERROR(INDEX('Vendor Info'!$B$5:$J$24,MATCH('Order Summary'!$B10,'Vendor Info'!$B$5:$B$24,0),MATCH('Order Summary'!G$6,'Vendor Info'!$B$4:$J$4,0)),"")</f>
        <v>miriam.adelson@gmail.com</v>
      </c>
    </row>
    <row r="11" spans="2:7" x14ac:dyDescent="0.3">
      <c r="D11" s="2" t="str">
        <f>IFERROR(MAX(_xlfn.XLOOKUP(C11,vendor[Product],vendor[Reorder],""),_xlfn.XLOOKUP(C11,inventory[Product],inventory[Safety Stock],"")-_xlfn.XLOOKUP(C11,inventory[Product],inventory[Quantity in Stock])),"")</f>
        <v/>
      </c>
      <c r="E11" s="5" t="str">
        <f>IFERROR(D11*_xlfn.XLOOKUP(B11,inventory[Product ID],inventory[Cost per 
Unit],""),"")</f>
        <v/>
      </c>
      <c r="F11" t="str">
        <f>IFERROR(INDEX('Vendor Info'!$B$5:$J$24,MATCH('Order Summary'!$B11,'Vendor Info'!$B$5:$B$24,0),MATCH('Order Summary'!F$6,'Vendor Info'!$B$4:$J$4,0)),"")</f>
        <v/>
      </c>
      <c r="G11" t="str">
        <f>IFERROR(INDEX('Vendor Info'!$B$5:$J$24,MATCH('Order Summary'!$B11,'Vendor Info'!$B$5:$B$24,0),MATCH('Order Summary'!G$6,'Vendor Info'!$B$4:$J$4,0)),"")</f>
        <v/>
      </c>
    </row>
    <row r="12" spans="2:7" x14ac:dyDescent="0.3">
      <c r="D12" s="2" t="str">
        <f>IFERROR(MAX(_xlfn.XLOOKUP(C12,vendor[Product],vendor[Reorder],""),_xlfn.XLOOKUP(C12,inventory[Product],inventory[Safety Stock],"")-_xlfn.XLOOKUP(C12,inventory[Product],inventory[Quantity in Stock])),"")</f>
        <v/>
      </c>
      <c r="E12" s="5" t="str">
        <f>IFERROR(D12*_xlfn.XLOOKUP(B12,inventory[Product ID],inventory[Cost per 
Unit],""),"")</f>
        <v/>
      </c>
      <c r="F12" t="str">
        <f>IFERROR(INDEX('Vendor Info'!$B$5:$J$24,MATCH('Order Summary'!$B12,'Vendor Info'!$B$5:$B$24,0),MATCH('Order Summary'!F$6,'Vendor Info'!$B$4:$J$4,0)),"")</f>
        <v/>
      </c>
      <c r="G12" t="str">
        <f>IFERROR(INDEX('Vendor Info'!$B$5:$J$24,MATCH('Order Summary'!$B12,'Vendor Info'!$B$5:$B$24,0),MATCH('Order Summary'!G$6,'Vendor Info'!$B$4:$J$4,0)),"")</f>
        <v/>
      </c>
    </row>
    <row r="13" spans="2:7" x14ac:dyDescent="0.3">
      <c r="D13" s="2" t="str">
        <f>IFERROR(MAX(_xlfn.XLOOKUP(C13,vendor[Product],vendor[Reorder],""),_xlfn.XLOOKUP(C13,inventory[Product],inventory[Safety Stock],"")-_xlfn.XLOOKUP(C13,inventory[Product],inventory[Quantity in Stock])),"")</f>
        <v/>
      </c>
      <c r="E13" s="5" t="str">
        <f>IFERROR(D13*_xlfn.XLOOKUP(B13,inventory[Product ID],inventory[Cost per 
Unit],""),"")</f>
        <v/>
      </c>
      <c r="F13" t="str">
        <f>IFERROR(INDEX('Vendor Info'!$B$5:$J$24,MATCH('Order Summary'!$B13,'Vendor Info'!$B$5:$B$24,0),MATCH('Order Summary'!F$6,'Vendor Info'!$B$4:$J$4,0)),"")</f>
        <v/>
      </c>
      <c r="G13" t="str">
        <f>IFERROR(INDEX('Vendor Info'!$B$5:$J$24,MATCH('Order Summary'!$B13,'Vendor Info'!$B$5:$B$24,0),MATCH('Order Summary'!G$6,'Vendor Info'!$B$4:$J$4,0)),"")</f>
        <v/>
      </c>
    </row>
    <row r="14" spans="2:7" x14ac:dyDescent="0.3">
      <c r="D14" s="2" t="str">
        <f>IFERROR(MAX(_xlfn.XLOOKUP(C14,vendor[Product],vendor[Reorder],""),_xlfn.XLOOKUP(C14,inventory[Product],inventory[Safety Stock],"")-_xlfn.XLOOKUP(C14,inventory[Product],inventory[Quantity in Stock])),"")</f>
        <v/>
      </c>
      <c r="E14" s="5" t="str">
        <f>IFERROR(D14*_xlfn.XLOOKUP(B14,inventory[Product ID],inventory[Cost per 
Unit],""),"")</f>
        <v/>
      </c>
      <c r="F14" t="str">
        <f>IFERROR(INDEX('Vendor Info'!$B$5:$J$24,MATCH('Order Summary'!$B14,'Vendor Info'!$B$5:$B$24,0),MATCH('Order Summary'!F$6,'Vendor Info'!$B$4:$J$4,0)),"")</f>
        <v/>
      </c>
      <c r="G14" t="str">
        <f>IFERROR(INDEX('Vendor Info'!$B$5:$J$24,MATCH('Order Summary'!$B14,'Vendor Info'!$B$5:$B$24,0),MATCH('Order Summary'!G$6,'Vendor Info'!$B$4:$J$4,0)),"")</f>
        <v/>
      </c>
    </row>
    <row r="15" spans="2:7" x14ac:dyDescent="0.3">
      <c r="D15" s="2" t="str">
        <f>IFERROR(MAX(_xlfn.XLOOKUP(C15,vendor[Product],vendor[Reorder],""),_xlfn.XLOOKUP(C15,inventory[Product],inventory[Safety Stock],"")-_xlfn.XLOOKUP(C15,inventory[Product],inventory[Quantity in Stock])),"")</f>
        <v/>
      </c>
      <c r="E15" s="5" t="str">
        <f>IFERROR(D15*_xlfn.XLOOKUP(B15,inventory[Product ID],inventory[Cost per 
Unit],""),"")</f>
        <v/>
      </c>
      <c r="F15" t="str">
        <f>IFERROR(INDEX('Vendor Info'!$B$5:$J$24,MATCH('Order Summary'!$B15,'Vendor Info'!$B$5:$B$24,0),MATCH('Order Summary'!F$6,'Vendor Info'!$B$4:$J$4,0)),"")</f>
        <v/>
      </c>
      <c r="G15" t="str">
        <f>IFERROR(INDEX('Vendor Info'!$B$5:$J$24,MATCH('Order Summary'!$B15,'Vendor Info'!$B$5:$B$24,0),MATCH('Order Summary'!G$6,'Vendor Info'!$B$4:$J$4,0)),"")</f>
        <v/>
      </c>
    </row>
    <row r="16" spans="2:7" x14ac:dyDescent="0.3">
      <c r="D16" s="2" t="str">
        <f>IFERROR(MAX(_xlfn.XLOOKUP(C16,vendor[Product],vendor[Reorder],""),_xlfn.XLOOKUP(C16,inventory[Product],inventory[Safety Stock],"")-_xlfn.XLOOKUP(C16,inventory[Product],inventory[Quantity in Stock])),"")</f>
        <v/>
      </c>
      <c r="E16" s="5" t="str">
        <f>IFERROR(D16*_xlfn.XLOOKUP(B16,inventory[Product ID],inventory[Cost per 
Unit],""),"")</f>
        <v/>
      </c>
      <c r="F16" t="str">
        <f>IFERROR(INDEX('Vendor Info'!$B$5:$J$24,MATCH('Order Summary'!$B16,'Vendor Info'!$B$5:$B$24,0),MATCH('Order Summary'!F$6,'Vendor Info'!$B$4:$J$4,0)),"")</f>
        <v/>
      </c>
      <c r="G16" t="str">
        <f>IFERROR(INDEX('Vendor Info'!$B$5:$J$24,MATCH('Order Summary'!$B16,'Vendor Info'!$B$5:$B$24,0),MATCH('Order Summary'!G$6,'Vendor Info'!$B$4:$J$4,0)),"")</f>
        <v/>
      </c>
    </row>
    <row r="17" spans="4:7" x14ac:dyDescent="0.3">
      <c r="D17" s="2" t="str">
        <f>IFERROR(MAX(_xlfn.XLOOKUP(C17,vendor[Product],vendor[Reorder],""),_xlfn.XLOOKUP(C17,inventory[Product],inventory[Safety Stock],"")-_xlfn.XLOOKUP(C17,inventory[Product],inventory[Quantity in Stock])),"")</f>
        <v/>
      </c>
      <c r="E17" s="5" t="str">
        <f>IFERROR(D17*_xlfn.XLOOKUP(B17,inventory[Product ID],inventory[Cost per 
Unit],""),"")</f>
        <v/>
      </c>
      <c r="F17" t="str">
        <f>IFERROR(INDEX('Vendor Info'!$B$5:$J$24,MATCH('Order Summary'!$B17,'Vendor Info'!$B$5:$B$24,0),MATCH('Order Summary'!F$6,'Vendor Info'!$B$4:$J$4,0)),"")</f>
        <v/>
      </c>
      <c r="G17" t="str">
        <f>IFERROR(INDEX('Vendor Info'!$B$5:$J$24,MATCH('Order Summary'!$B17,'Vendor Info'!$B$5:$B$24,0),MATCH('Order Summary'!G$6,'Vendor Info'!$B$4:$J$4,0)),"")</f>
        <v/>
      </c>
    </row>
    <row r="18" spans="4:7" x14ac:dyDescent="0.3">
      <c r="D18" s="2" t="str">
        <f>IFERROR(MAX(_xlfn.XLOOKUP(C18,vendor[Product],vendor[Reorder],""),_xlfn.XLOOKUP(C18,inventory[Product],inventory[Safety Stock],"")-_xlfn.XLOOKUP(C18,inventory[Product],inventory[Quantity in Stock])),"")</f>
        <v/>
      </c>
      <c r="E18" s="5" t="str">
        <f>IFERROR(D18*_xlfn.XLOOKUP(B18,inventory[Product ID],inventory[Cost per 
Unit],""),"")</f>
        <v/>
      </c>
      <c r="F18" t="str">
        <f>IFERROR(INDEX('Vendor Info'!$B$5:$J$24,MATCH('Order Summary'!$B18,'Vendor Info'!$B$5:$B$24,0),MATCH('Order Summary'!F$6,'Vendor Info'!$B$4:$J$4,0)),"")</f>
        <v/>
      </c>
      <c r="G18" t="str">
        <f>IFERROR(INDEX('Vendor Info'!$B$5:$J$24,MATCH('Order Summary'!$B18,'Vendor Info'!$B$5:$B$24,0),MATCH('Order Summary'!G$6,'Vendor Info'!$B$4:$J$4,0)),"")</f>
        <v/>
      </c>
    </row>
    <row r="19" spans="4:7" x14ac:dyDescent="0.3">
      <c r="D19" s="2" t="str">
        <f>IFERROR(MAX(_xlfn.XLOOKUP(C19,vendor[Product],vendor[Reorder],""),_xlfn.XLOOKUP(C19,inventory[Product],inventory[Safety Stock],"")-_xlfn.XLOOKUP(C19,inventory[Product],inventory[Quantity in Stock])),"")</f>
        <v/>
      </c>
      <c r="E19" s="5" t="str">
        <f>IFERROR(D19*_xlfn.XLOOKUP(B19,inventory[Product ID],inventory[Cost per 
Unit],""),"")</f>
        <v/>
      </c>
      <c r="F19" t="str">
        <f>IFERROR(INDEX('Vendor Info'!$B$5:$J$24,MATCH('Order Summary'!$B19,'Vendor Info'!$B$5:$B$24,0),MATCH('Order Summary'!F$6,'Vendor Info'!$B$4:$J$4,0)),"")</f>
        <v/>
      </c>
      <c r="G19" t="str">
        <f>IFERROR(INDEX('Vendor Info'!$B$5:$J$24,MATCH('Order Summary'!$B19,'Vendor Info'!$B$5:$B$24,0),MATCH('Order Summary'!G$6,'Vendor Info'!$B$4:$J$4,0)),"")</f>
        <v/>
      </c>
    </row>
    <row r="20" spans="4:7" x14ac:dyDescent="0.3">
      <c r="D20" s="2" t="str">
        <f>IFERROR(MAX(_xlfn.XLOOKUP(C20,vendor[Product],vendor[Reorder],""),_xlfn.XLOOKUP(C20,inventory[Product],inventory[Safety Stock],"")-_xlfn.XLOOKUP(C20,inventory[Product],inventory[Quantity in Stock])),"")</f>
        <v/>
      </c>
      <c r="E20" s="5" t="str">
        <f>IFERROR(D20*_xlfn.XLOOKUP(B20,inventory[Product ID],inventory[Cost per 
Unit],""),"")</f>
        <v/>
      </c>
      <c r="F20" t="str">
        <f>IFERROR(INDEX('Vendor Info'!$B$5:$J$24,MATCH('Order Summary'!$B20,'Vendor Info'!$B$5:$B$24,0),MATCH('Order Summary'!F$6,'Vendor Info'!$B$4:$J$4,0)),"")</f>
        <v/>
      </c>
      <c r="G20" t="str">
        <f>IFERROR(INDEX('Vendor Info'!$B$5:$J$24,MATCH('Order Summary'!$B20,'Vendor Info'!$B$5:$B$24,0),MATCH('Order Summary'!G$6,'Vendor Info'!$B$4:$J$4,0)),"")</f>
        <v/>
      </c>
    </row>
    <row r="21" spans="4:7" x14ac:dyDescent="0.3">
      <c r="D21" s="2" t="str">
        <f>IFERROR(MAX(_xlfn.XLOOKUP(C21,vendor[Product],vendor[Reorder],""),_xlfn.XLOOKUP(C21,inventory[Product],inventory[Safety Stock],"")-_xlfn.XLOOKUP(C21,inventory[Product],inventory[Quantity in Stock])),"")</f>
        <v/>
      </c>
      <c r="E21" s="5" t="str">
        <f>IFERROR(D21*_xlfn.XLOOKUP(B21,inventory[Product ID],inventory[Cost per 
Unit],""),"")</f>
        <v/>
      </c>
      <c r="F21" t="str">
        <f>IFERROR(INDEX('Vendor Info'!$B$5:$J$24,MATCH('Order Summary'!$B21,'Vendor Info'!$B$5:$B$24,0),MATCH('Order Summary'!F$6,'Vendor Info'!$B$4:$J$4,0)),"")</f>
        <v/>
      </c>
      <c r="G21" t="str">
        <f>IFERROR(INDEX('Vendor Info'!$B$5:$J$24,MATCH('Order Summary'!$B21,'Vendor Info'!$B$5:$B$24,0),MATCH('Order Summary'!G$6,'Vendor Info'!$B$4:$J$4,0)),"")</f>
        <v/>
      </c>
    </row>
    <row r="22" spans="4:7" x14ac:dyDescent="0.3">
      <c r="D22" s="2" t="str">
        <f>IFERROR(MAX(_xlfn.XLOOKUP(C22,vendor[Product],vendor[Reorder],""),_xlfn.XLOOKUP(C22,inventory[Product],inventory[Safety Stock],"")-_xlfn.XLOOKUP(C22,inventory[Product],inventory[Quantity in Stock])),"")</f>
        <v/>
      </c>
      <c r="E22" s="5" t="str">
        <f>IFERROR(D22*_xlfn.XLOOKUP(B22,inventory[Product ID],inventory[Cost per 
Unit],""),"")</f>
        <v/>
      </c>
      <c r="F22" t="str">
        <f>IFERROR(INDEX('Vendor Info'!$B$5:$J$24,MATCH('Order Summary'!$B22,'Vendor Info'!$B$5:$B$24,0),MATCH('Order Summary'!F$6,'Vendor Info'!$B$4:$J$4,0)),"")</f>
        <v/>
      </c>
      <c r="G22" t="str">
        <f>IFERROR(INDEX('Vendor Info'!$B$5:$J$24,MATCH('Order Summary'!$B22,'Vendor Info'!$B$5:$B$24,0),MATCH('Order Summary'!G$6,'Vendor Info'!$B$4:$J$4,0)),"")</f>
        <v/>
      </c>
    </row>
    <row r="23" spans="4:7" x14ac:dyDescent="0.3">
      <c r="D23" s="2" t="str">
        <f>IFERROR(MAX(_xlfn.XLOOKUP(C23,vendor[Product],vendor[Reorder],""),_xlfn.XLOOKUP(C23,inventory[Product],inventory[Safety Stock],"")-_xlfn.XLOOKUP(C23,inventory[Product],inventory[Quantity in Stock])),"")</f>
        <v/>
      </c>
      <c r="E23" s="5" t="str">
        <f>IFERROR(D23*_xlfn.XLOOKUP(B23,inventory[Product ID],inventory[Cost per 
Unit],""),"")</f>
        <v/>
      </c>
      <c r="F23" t="str">
        <f>IFERROR(INDEX('Vendor Info'!$B$5:$J$24,MATCH('Order Summary'!$B23,'Vendor Info'!$B$5:$B$24,0),MATCH('Order Summary'!F$6,'Vendor Info'!$B$4:$J$4,0)),"")</f>
        <v/>
      </c>
      <c r="G23" t="str">
        <f>IFERROR(INDEX('Vendor Info'!$B$5:$J$24,MATCH('Order Summary'!$B23,'Vendor Info'!$B$5:$B$24,0),MATCH('Order Summary'!G$6,'Vendor Info'!$B$4:$J$4,0)),"")</f>
        <v/>
      </c>
    </row>
    <row r="24" spans="4:7" x14ac:dyDescent="0.3">
      <c r="D24" s="2" t="str">
        <f>IFERROR(MAX(_xlfn.XLOOKUP(C24,vendor[Product],vendor[Reorder],""),_xlfn.XLOOKUP(C24,inventory[Product],inventory[Safety Stock],"")-_xlfn.XLOOKUP(C24,inventory[Product],inventory[Quantity in Stock])),"")</f>
        <v/>
      </c>
      <c r="E24" s="5" t="str">
        <f>IFERROR(D24*_xlfn.XLOOKUP(B24,inventory[Product ID],inventory[Cost per 
Unit],""),"")</f>
        <v/>
      </c>
      <c r="F24" t="str">
        <f>IFERROR(INDEX('Vendor Info'!$B$5:$J$24,MATCH('Order Summary'!$B24,'Vendor Info'!$B$5:$B$24,0),MATCH('Order Summary'!F$6,'Vendor Info'!$B$4:$J$4,0)),"")</f>
        <v/>
      </c>
      <c r="G24" t="str">
        <f>IFERROR(INDEX('Vendor Info'!$B$5:$J$24,MATCH('Order Summary'!$B24,'Vendor Info'!$B$5:$B$24,0),MATCH('Order Summary'!G$6,'Vendor Info'!$B$4:$J$4,0)),"")</f>
        <v/>
      </c>
    </row>
    <row r="25" spans="4:7" x14ac:dyDescent="0.3">
      <c r="D25" s="2" t="str">
        <f>IFERROR(MAX(_xlfn.XLOOKUP(C25,vendor[Product],vendor[Reorder],""),_xlfn.XLOOKUP(C25,inventory[Product],inventory[Safety Stock],"")-_xlfn.XLOOKUP(C25,inventory[Product],inventory[Quantity in Stock])),"")</f>
        <v/>
      </c>
      <c r="E25" s="5" t="str">
        <f>IFERROR(D25*_xlfn.XLOOKUP(B25,inventory[Product ID],inventory[Cost per 
Unit],""),"")</f>
        <v/>
      </c>
      <c r="F25" t="str">
        <f>IFERROR(INDEX('Vendor Info'!$B$5:$J$24,MATCH('Order Summary'!$B25,'Vendor Info'!$B$5:$B$24,0),MATCH('Order Summary'!F$6,'Vendor Info'!$B$4:$J$4,0)),"")</f>
        <v/>
      </c>
      <c r="G25" t="str">
        <f>IFERROR(INDEX('Vendor Info'!$B$5:$J$24,MATCH('Order Summary'!$B25,'Vendor Info'!$B$5:$B$24,0),MATCH('Order Summary'!G$6,'Vendor Info'!$B$4:$J$4,0)),"")</f>
        <v/>
      </c>
    </row>
    <row r="26" spans="4:7" x14ac:dyDescent="0.3">
      <c r="D26" s="2" t="str">
        <f>IFERROR(MAX(_xlfn.XLOOKUP(C26,vendor[Product],vendor[Reorder],""),_xlfn.XLOOKUP(C26,inventory[Product],inventory[Safety Stock],"")-_xlfn.XLOOKUP(C26,inventory[Product],inventory[Quantity in Stock])),"")</f>
        <v/>
      </c>
      <c r="E26" s="5" t="str">
        <f>IFERROR(D26*_xlfn.XLOOKUP(B26,inventory[Product ID],inventory[Cost per 
Unit],""),"")</f>
        <v/>
      </c>
      <c r="F26" t="str">
        <f>IFERROR(INDEX('Vendor Info'!$B$5:$J$24,MATCH('Order Summary'!$B26,'Vendor Info'!$B$5:$B$24,0),MATCH('Order Summary'!F$6,'Vendor Info'!$B$4:$J$4,0)),"")</f>
        <v/>
      </c>
      <c r="G26" t="str">
        <f>IFERROR(INDEX('Vendor Info'!$B$5:$J$24,MATCH('Order Summary'!$B26,'Vendor Info'!$B$5:$B$24,0),MATCH('Order Summary'!G$6,'Vendor Info'!$B$4:$J$4,0)),"")</f>
        <v/>
      </c>
    </row>
    <row r="27" spans="4:7" x14ac:dyDescent="0.3">
      <c r="D27" s="2" t="str">
        <f>IFERROR(MAX(_xlfn.XLOOKUP(C27,vendor[Product],vendor[Reorder],""),_xlfn.XLOOKUP(C27,inventory[Product],inventory[Safety Stock],"")-_xlfn.XLOOKUP(C27,inventory[Product],inventory[Quantity in Stock])),"")</f>
        <v/>
      </c>
      <c r="E27" s="5" t="str">
        <f>IFERROR(D27*_xlfn.XLOOKUP(B27,inventory[Product ID],inventory[Cost per 
Unit],""),"")</f>
        <v/>
      </c>
      <c r="F27" t="str">
        <f>IFERROR(INDEX('Vendor Info'!$B$5:$J$24,MATCH('Order Summary'!$B27,'Vendor Info'!$B$5:$B$24,0),MATCH('Order Summary'!F$6,'Vendor Info'!$B$4:$J$4,0)),"")</f>
        <v/>
      </c>
      <c r="G27" t="str">
        <f>IFERROR(INDEX('Vendor Info'!$B$5:$J$24,MATCH('Order Summary'!$B27,'Vendor Info'!$B$5:$B$24,0),MATCH('Order Summary'!G$6,'Vendor Info'!$B$4:$J$4,0)),"")</f>
        <v/>
      </c>
    </row>
    <row r="28" spans="4:7" x14ac:dyDescent="0.3">
      <c r="D28" s="2" t="str">
        <f>IFERROR(MAX(_xlfn.XLOOKUP(C28,vendor[Product],vendor[Reorder],""),_xlfn.XLOOKUP(C28,inventory[Product],inventory[Safety Stock],"")-_xlfn.XLOOKUP(C28,inventory[Product],inventory[Quantity in Stock])),"")</f>
        <v/>
      </c>
      <c r="E28" s="5" t="str">
        <f>IFERROR(D28*_xlfn.XLOOKUP(B28,inventory[Product ID],inventory[Cost per 
Unit],""),"")</f>
        <v/>
      </c>
      <c r="F28" t="str">
        <f>IFERROR(INDEX('Vendor Info'!$B$5:$J$24,MATCH('Order Summary'!$B28,'Vendor Info'!$B$5:$B$24,0),MATCH('Order Summary'!F$6,'Vendor Info'!$B$4:$J$4,0)),"")</f>
        <v/>
      </c>
      <c r="G28" t="str">
        <f>IFERROR(INDEX('Vendor Info'!$B$5:$J$24,MATCH('Order Summary'!$B28,'Vendor Info'!$B$5:$B$24,0),MATCH('Order Summary'!G$6,'Vendor Info'!$B$4:$J$4,0)),"")</f>
        <v/>
      </c>
    </row>
    <row r="29" spans="4:7" x14ac:dyDescent="0.3">
      <c r="D29" s="2" t="str">
        <f>IFERROR(MAX(_xlfn.XLOOKUP(C29,vendor[Product],vendor[Reorder],""),_xlfn.XLOOKUP(C29,inventory[Product],inventory[Safety Stock],"")-_xlfn.XLOOKUP(C29,inventory[Product],inventory[Quantity in Stock])),"")</f>
        <v/>
      </c>
      <c r="E29" s="5" t="str">
        <f>IFERROR(D29*_xlfn.XLOOKUP(B29,inventory[Product ID],inventory[Cost per 
Unit],""),"")</f>
        <v/>
      </c>
      <c r="F29" t="str">
        <f>IFERROR(INDEX('Vendor Info'!$B$5:$J$24,MATCH('Order Summary'!$B29,'Vendor Info'!$B$5:$B$24,0),MATCH('Order Summary'!F$6,'Vendor Info'!$B$4:$J$4,0)),"")</f>
        <v/>
      </c>
      <c r="G29" t="str">
        <f>IFERROR(INDEX('Vendor Info'!$B$5:$J$24,MATCH('Order Summary'!$B29,'Vendor Info'!$B$5:$B$24,0),MATCH('Order Summary'!G$6,'Vendor Info'!$B$4:$J$4,0)),"")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Vendor Info</vt:lpstr>
      <vt:lpstr>Order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Phuong Nguyen</cp:lastModifiedBy>
  <dcterms:created xsi:type="dcterms:W3CDTF">2024-08-31T08:46:09Z</dcterms:created>
  <dcterms:modified xsi:type="dcterms:W3CDTF">2024-12-18T10:42:52Z</dcterms:modified>
</cp:coreProperties>
</file>