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LSR_33\Desktop\05 CFA\1 Financial Module\1.1 Getting Started - Introduction Downloadable Files\DAN\"/>
    </mc:Choice>
  </mc:AlternateContent>
  <xr:revisionPtr revIDLastSave="0" documentId="13_ncr:1_{E623B3BB-1DD1-44AD-BB80-0CD663258A82}" xr6:coauthVersionLast="47" xr6:coauthVersionMax="47" xr10:uidLastSave="{00000000-0000-0000-0000-000000000000}"/>
  <bookViews>
    <workbookView xWindow="-96" yWindow="-96" windowWidth="23232" windowHeight="12552" tabRatio="845" xr2:uid="{00000000-000D-0000-FFFF-FFFF00000000}"/>
  </bookViews>
  <sheets>
    <sheet name="Cover" sheetId="28" r:id="rId1"/>
    <sheet name="Summary" sheetId="21" r:id="rId2"/>
    <sheet name="Assumptions" sheetId="2" r:id="rId3"/>
    <sheet name="Scenarios" sheetId="7" r:id="rId4"/>
    <sheet name="Model" sheetId="6" r:id="rId5"/>
  </sheets>
  <definedNames>
    <definedName name="_xlnm.Print_Area" localSheetId="2">Assumptions!$B$1:$O$42,Assumptions!$B$44:$O$76</definedName>
    <definedName name="_xlnm.Print_Area" localSheetId="4">Model!$B$1:$O$29,Model!$B$31:$O$70,Model!$B$72:$O$111,Model!$B$113:$O$145,Model!$B$147:$O$189,Model!$B$191:$O$218,Model!$B$220:$O$242,Model!$B$244:$O$276,Model!$B$278:$O$325,Model!$B$327:$O$350</definedName>
    <definedName name="_xlnm.Print_Area" localSheetId="3">Scenarios!$B$1:$K$36</definedName>
    <definedName name="_xlnm.Print_Area" localSheetId="1">Summary!$B$1:$Q$66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1" l="1"/>
  <c r="N72" i="2"/>
  <c r="J349" i="6"/>
  <c r="K346" i="6"/>
  <c r="K340" i="6"/>
  <c r="L340" i="6" s="1"/>
  <c r="M340" i="6" s="1"/>
  <c r="N340" i="6" s="1"/>
  <c r="O340" i="6" s="1"/>
  <c r="J338" i="6"/>
  <c r="K336" i="6" s="1"/>
  <c r="K338" i="6" s="1"/>
  <c r="O337" i="6"/>
  <c r="O137" i="6" s="1"/>
  <c r="N337" i="6"/>
  <c r="N137" i="6" s="1"/>
  <c r="M337" i="6"/>
  <c r="M137" i="6" s="1"/>
  <c r="L337" i="6"/>
  <c r="L301" i="6" s="1"/>
  <c r="K337" i="6"/>
  <c r="K320" i="6"/>
  <c r="L320" i="6" s="1"/>
  <c r="M320" i="6" s="1"/>
  <c r="N320" i="6" s="1"/>
  <c r="O320" i="6" s="1"/>
  <c r="J318" i="6"/>
  <c r="K316" i="6" s="1"/>
  <c r="O317" i="6"/>
  <c r="O136" i="6" s="1"/>
  <c r="N317" i="6"/>
  <c r="N136" i="6" s="1"/>
  <c r="M317" i="6"/>
  <c r="M300" i="6" s="1"/>
  <c r="L317" i="6"/>
  <c r="L300" i="6" s="1"/>
  <c r="K317" i="6"/>
  <c r="K309" i="6"/>
  <c r="L309" i="6" s="1"/>
  <c r="M309" i="6" s="1"/>
  <c r="N309" i="6" s="1"/>
  <c r="O309" i="6" s="1"/>
  <c r="J307" i="6"/>
  <c r="K305" i="6" s="1"/>
  <c r="K310" i="6" s="1"/>
  <c r="K301" i="6"/>
  <c r="K300" i="6"/>
  <c r="K293" i="6"/>
  <c r="L293" i="6" s="1"/>
  <c r="M293" i="6" s="1"/>
  <c r="N293" i="6" s="1"/>
  <c r="O293" i="6" s="1"/>
  <c r="J291" i="6"/>
  <c r="K289" i="6" s="1"/>
  <c r="J272" i="6"/>
  <c r="I272" i="6"/>
  <c r="J271" i="6"/>
  <c r="I271" i="6"/>
  <c r="J270" i="6"/>
  <c r="I270" i="6"/>
  <c r="J269" i="6"/>
  <c r="I269" i="6"/>
  <c r="J268" i="6"/>
  <c r="I268" i="6"/>
  <c r="J267" i="6"/>
  <c r="I267" i="6"/>
  <c r="I273" i="6" s="1"/>
  <c r="O264" i="6"/>
  <c r="N264" i="6"/>
  <c r="M264" i="6"/>
  <c r="L264" i="6"/>
  <c r="K264" i="6"/>
  <c r="O263" i="6"/>
  <c r="N263" i="6"/>
  <c r="M263" i="6"/>
  <c r="L263" i="6"/>
  <c r="K263" i="6"/>
  <c r="O262" i="6"/>
  <c r="N262" i="6"/>
  <c r="M262" i="6"/>
  <c r="L262" i="6"/>
  <c r="K262" i="6"/>
  <c r="O261" i="6"/>
  <c r="N261" i="6"/>
  <c r="M261" i="6"/>
  <c r="L261" i="6"/>
  <c r="K261" i="6"/>
  <c r="O260" i="6"/>
  <c r="N260" i="6"/>
  <c r="M260" i="6"/>
  <c r="L260" i="6"/>
  <c r="K260" i="6"/>
  <c r="O259" i="6"/>
  <c r="N259" i="6"/>
  <c r="M259" i="6"/>
  <c r="L259" i="6"/>
  <c r="K259" i="6"/>
  <c r="J256" i="6"/>
  <c r="I256" i="6"/>
  <c r="D237" i="6"/>
  <c r="O231" i="6"/>
  <c r="N231" i="6"/>
  <c r="M231" i="6"/>
  <c r="L231" i="6"/>
  <c r="K231" i="6"/>
  <c r="E226" i="6"/>
  <c r="D234" i="6" s="1"/>
  <c r="J216" i="6"/>
  <c r="K202" i="6" s="1"/>
  <c r="F200" i="6"/>
  <c r="F199" i="6"/>
  <c r="K205" i="6" s="1"/>
  <c r="L205" i="6" s="1"/>
  <c r="M205" i="6" s="1"/>
  <c r="N205" i="6" s="1"/>
  <c r="O205" i="6" s="1"/>
  <c r="J184" i="6"/>
  <c r="I184" i="6"/>
  <c r="H184" i="6"/>
  <c r="J178" i="6"/>
  <c r="J180" i="6" s="1"/>
  <c r="I178" i="6"/>
  <c r="H178" i="6"/>
  <c r="H180" i="6" s="1"/>
  <c r="J174" i="6"/>
  <c r="I174" i="6"/>
  <c r="H174" i="6"/>
  <c r="J165" i="6"/>
  <c r="I165" i="6"/>
  <c r="H165" i="6"/>
  <c r="J161" i="6"/>
  <c r="J167" i="6" s="1"/>
  <c r="I161" i="6"/>
  <c r="H161" i="6"/>
  <c r="H167" i="6" s="1"/>
  <c r="J139" i="6"/>
  <c r="J142" i="6" s="1"/>
  <c r="I139" i="6"/>
  <c r="I142" i="6" s="1"/>
  <c r="H139" i="6"/>
  <c r="H142" i="6" s="1"/>
  <c r="H144" i="6" s="1"/>
  <c r="I143" i="6" s="1"/>
  <c r="I144" i="6" s="1"/>
  <c r="J143" i="6" s="1"/>
  <c r="J144" i="6" s="1"/>
  <c r="K143" i="6" s="1"/>
  <c r="K137" i="6"/>
  <c r="L136" i="6"/>
  <c r="K136" i="6"/>
  <c r="J131" i="6"/>
  <c r="I131" i="6"/>
  <c r="H131" i="6"/>
  <c r="O130" i="6"/>
  <c r="N130" i="6"/>
  <c r="M130" i="6"/>
  <c r="L130" i="6"/>
  <c r="K130" i="6"/>
  <c r="K164" i="6" s="1"/>
  <c r="L164" i="6" s="1"/>
  <c r="M164" i="6" s="1"/>
  <c r="N164" i="6" s="1"/>
  <c r="O164" i="6" s="1"/>
  <c r="O129" i="6"/>
  <c r="O203" i="6" s="1"/>
  <c r="N129" i="6"/>
  <c r="N203" i="6" s="1"/>
  <c r="M129" i="6"/>
  <c r="M203" i="6" s="1"/>
  <c r="L129" i="6"/>
  <c r="L203" i="6" s="1"/>
  <c r="K129" i="6"/>
  <c r="K203" i="6" s="1"/>
  <c r="J125" i="6"/>
  <c r="I125" i="6"/>
  <c r="H125" i="6"/>
  <c r="J102" i="6"/>
  <c r="I102" i="6"/>
  <c r="H102" i="6"/>
  <c r="O91" i="6"/>
  <c r="N91" i="6"/>
  <c r="M91" i="6"/>
  <c r="L91" i="6"/>
  <c r="K91" i="6"/>
  <c r="J89" i="6"/>
  <c r="I89" i="6"/>
  <c r="H89" i="6"/>
  <c r="K88" i="6"/>
  <c r="J85" i="6"/>
  <c r="J92" i="6" s="1"/>
  <c r="I85" i="6"/>
  <c r="I255" i="6" s="1"/>
  <c r="H85" i="6"/>
  <c r="H92" i="6" s="1"/>
  <c r="K66" i="6"/>
  <c r="D66" i="6"/>
  <c r="K65" i="6"/>
  <c r="K64" i="6"/>
  <c r="D50" i="6"/>
  <c r="D65" i="6" s="1"/>
  <c r="D49" i="6"/>
  <c r="D64" i="6" s="1"/>
  <c r="K45" i="6"/>
  <c r="K46" i="6" s="1"/>
  <c r="K54" i="6" s="1"/>
  <c r="D45" i="6"/>
  <c r="D60" i="6" s="1"/>
  <c r="K44" i="6"/>
  <c r="D44" i="6"/>
  <c r="D59" i="6" s="1"/>
  <c r="J27" i="6"/>
  <c r="J26" i="6"/>
  <c r="J28" i="6" s="1"/>
  <c r="J20" i="6"/>
  <c r="J39" i="6" s="1"/>
  <c r="K17" i="6"/>
  <c r="L17" i="6" s="1"/>
  <c r="M17" i="6" s="1"/>
  <c r="N17" i="6" s="1"/>
  <c r="O17" i="6" s="1"/>
  <c r="J13" i="6"/>
  <c r="O1" i="6"/>
  <c r="O327" i="6" s="1"/>
  <c r="K30" i="7"/>
  <c r="O19" i="6" s="1"/>
  <c r="J30" i="7"/>
  <c r="N19" i="6" s="1"/>
  <c r="I30" i="7"/>
  <c r="M19" i="6" s="1"/>
  <c r="H30" i="7"/>
  <c r="L19" i="6" s="1"/>
  <c r="G30" i="7"/>
  <c r="K19" i="6" s="1"/>
  <c r="H27" i="7"/>
  <c r="H23" i="7" s="1"/>
  <c r="L10" i="6" s="1"/>
  <c r="A27" i="7"/>
  <c r="C27" i="7" s="1"/>
  <c r="H26" i="7"/>
  <c r="G26" i="7"/>
  <c r="A26" i="7"/>
  <c r="K27" i="7" s="1"/>
  <c r="K23" i="7" s="1"/>
  <c r="O10" i="6" s="1"/>
  <c r="C16" i="7"/>
  <c r="C34" i="7" s="1"/>
  <c r="C15" i="7"/>
  <c r="C33" i="7" s="1"/>
  <c r="C14" i="7"/>
  <c r="C25" i="7" s="1"/>
  <c r="K12" i="7" a="1"/>
  <c r="K12" i="7" s="1"/>
  <c r="O11" i="6" s="1"/>
  <c r="O40" i="6" s="1"/>
  <c r="J12" i="7" a="1"/>
  <c r="J12" i="7" s="1"/>
  <c r="N11" i="6" s="1"/>
  <c r="N40" i="6" s="1"/>
  <c r="I12" i="7"/>
  <c r="M11" i="6" s="1"/>
  <c r="H12" i="7"/>
  <c r="L11" i="6" s="1"/>
  <c r="L40" i="6" s="1"/>
  <c r="G12" i="7"/>
  <c r="K11" i="6" s="1"/>
  <c r="K12" i="6" s="1"/>
  <c r="L12" i="6" s="1"/>
  <c r="G6" i="7"/>
  <c r="K7" i="6" s="1"/>
  <c r="N48" i="2"/>
  <c r="M48" i="2"/>
  <c r="L48" i="2"/>
  <c r="K48" i="2"/>
  <c r="J48" i="2"/>
  <c r="E26" i="2"/>
  <c r="J9" i="2"/>
  <c r="J8" i="2"/>
  <c r="Z12" i="21"/>
  <c r="Y12" i="21"/>
  <c r="Y13" i="21" s="1"/>
  <c r="X12" i="21"/>
  <c r="T5" i="21"/>
  <c r="B44" i="2"/>
  <c r="I180" i="6" l="1"/>
  <c r="I167" i="6"/>
  <c r="J273" i="6"/>
  <c r="M136" i="6"/>
  <c r="J186" i="6"/>
  <c r="J188" i="6" s="1"/>
  <c r="J255" i="6"/>
  <c r="K67" i="6"/>
  <c r="J80" i="6"/>
  <c r="I92" i="6"/>
  <c r="Y16" i="21" s="1"/>
  <c r="Y17" i="21" s="1"/>
  <c r="Z13" i="21"/>
  <c r="Z16" i="21"/>
  <c r="J108" i="6"/>
  <c r="J95" i="6"/>
  <c r="I186" i="6"/>
  <c r="I188" i="6" s="1"/>
  <c r="K318" i="6"/>
  <c r="K321" i="6"/>
  <c r="K182" i="6"/>
  <c r="L336" i="6"/>
  <c r="L338" i="6" s="1"/>
  <c r="H186" i="6"/>
  <c r="H188" i="6" s="1"/>
  <c r="X16" i="21"/>
  <c r="X17" i="21" s="1"/>
  <c r="H108" i="6"/>
  <c r="H95" i="6"/>
  <c r="I108" i="6"/>
  <c r="N300" i="6"/>
  <c r="O300" i="6"/>
  <c r="K20" i="6"/>
  <c r="K80" i="6" s="1"/>
  <c r="L137" i="6"/>
  <c r="M301" i="6"/>
  <c r="K131" i="6"/>
  <c r="K299" i="6" s="1"/>
  <c r="N301" i="6"/>
  <c r="L131" i="6"/>
  <c r="L299" i="6" s="1"/>
  <c r="O301" i="6"/>
  <c r="M131" i="6"/>
  <c r="M299" i="6" s="1"/>
  <c r="N131" i="6"/>
  <c r="N299" i="6" s="1"/>
  <c r="O131" i="6"/>
  <c r="O299" i="6" s="1"/>
  <c r="L13" i="6"/>
  <c r="G27" i="7"/>
  <c r="G23" i="7" s="1"/>
  <c r="K10" i="6" s="1"/>
  <c r="I27" i="7"/>
  <c r="I23" i="7" s="1"/>
  <c r="M10" i="6" s="1"/>
  <c r="I26" i="7"/>
  <c r="J26" i="7"/>
  <c r="K26" i="7"/>
  <c r="K284" i="6"/>
  <c r="J7" i="6"/>
  <c r="AA7" i="21"/>
  <c r="K7" i="21" s="1"/>
  <c r="K28" i="21" s="1"/>
  <c r="K49" i="21" s="1"/>
  <c r="K250" i="6"/>
  <c r="K119" i="6"/>
  <c r="K78" i="6"/>
  <c r="K37" i="6"/>
  <c r="K333" i="6"/>
  <c r="K197" i="6"/>
  <c r="K153" i="6"/>
  <c r="K226" i="6"/>
  <c r="H6" i="7"/>
  <c r="C32" i="7"/>
  <c r="J27" i="7"/>
  <c r="J23" i="7" s="1"/>
  <c r="N10" i="6" s="1"/>
  <c r="C26" i="7"/>
  <c r="L66" i="6"/>
  <c r="L88" i="6"/>
  <c r="L65" i="6"/>
  <c r="L64" i="6"/>
  <c r="L45" i="6"/>
  <c r="L44" i="6"/>
  <c r="O244" i="6"/>
  <c r="O72" i="6"/>
  <c r="O31" i="6"/>
  <c r="O147" i="6"/>
  <c r="O278" i="6"/>
  <c r="O113" i="6"/>
  <c r="O191" i="6"/>
  <c r="O220" i="6"/>
  <c r="B1" i="2"/>
  <c r="B1" i="7" s="1"/>
  <c r="B2" i="6" s="1"/>
  <c r="J275" i="6"/>
  <c r="K294" i="6"/>
  <c r="M12" i="6"/>
  <c r="M40" i="6"/>
  <c r="K39" i="6" l="1"/>
  <c r="K324" i="6"/>
  <c r="K97" i="6" s="1"/>
  <c r="L20" i="6"/>
  <c r="K22" i="6"/>
  <c r="K27" i="6"/>
  <c r="K84" i="6" s="1"/>
  <c r="K26" i="6"/>
  <c r="K28" i="6" s="1"/>
  <c r="I95" i="6"/>
  <c r="Z18" i="21"/>
  <c r="Z17" i="21"/>
  <c r="J98" i="6"/>
  <c r="J104" i="6" s="1"/>
  <c r="J109" i="6"/>
  <c r="Y18" i="21"/>
  <c r="K177" i="6"/>
  <c r="L316" i="6"/>
  <c r="H109" i="6"/>
  <c r="H98" i="6"/>
  <c r="H104" i="6" s="1"/>
  <c r="X21" i="21" s="1"/>
  <c r="L182" i="6"/>
  <c r="M336" i="6"/>
  <c r="M338" i="6" s="1"/>
  <c r="I109" i="6"/>
  <c r="I98" i="6"/>
  <c r="I104" i="6" s="1"/>
  <c r="Y21" i="21" s="1"/>
  <c r="Y22" i="21" s="1"/>
  <c r="K13" i="6"/>
  <c r="J284" i="6"/>
  <c r="I7" i="6"/>
  <c r="Z7" i="21"/>
  <c r="J7" i="21" s="1"/>
  <c r="J28" i="21" s="1"/>
  <c r="J49" i="21" s="1"/>
  <c r="J250" i="6"/>
  <c r="J119" i="6"/>
  <c r="J78" i="6"/>
  <c r="J37" i="6"/>
  <c r="J333" i="6"/>
  <c r="J197" i="6"/>
  <c r="J153" i="6"/>
  <c r="L7" i="6"/>
  <c r="I6" i="7"/>
  <c r="K252" i="6"/>
  <c r="D208" i="6"/>
  <c r="K60" i="6"/>
  <c r="K50" i="6"/>
  <c r="K59" i="6"/>
  <c r="K49" i="6"/>
  <c r="K51" i="6"/>
  <c r="M20" i="6"/>
  <c r="L26" i="6"/>
  <c r="L80" i="6"/>
  <c r="L39" i="6"/>
  <c r="L59" i="6" s="1"/>
  <c r="L27" i="6"/>
  <c r="L84" i="6" s="1"/>
  <c r="L22" i="6"/>
  <c r="L46" i="6"/>
  <c r="L54" i="6" s="1"/>
  <c r="L67" i="6"/>
  <c r="B73" i="6"/>
  <c r="B32" i="6"/>
  <c r="B221" i="6"/>
  <c r="B279" i="6"/>
  <c r="B192" i="6"/>
  <c r="B114" i="6"/>
  <c r="B245" i="6"/>
  <c r="B148" i="6"/>
  <c r="B328" i="6"/>
  <c r="M66" i="6"/>
  <c r="M64" i="6"/>
  <c r="M88" i="6"/>
  <c r="N88" i="6" s="1"/>
  <c r="O88" i="6" s="1"/>
  <c r="M44" i="6"/>
  <c r="M65" i="6"/>
  <c r="M45" i="6"/>
  <c r="N12" i="6"/>
  <c r="M13" i="6"/>
  <c r="K83" i="6" l="1"/>
  <c r="K85" i="6" s="1"/>
  <c r="K61" i="6"/>
  <c r="K69" i="6" s="1"/>
  <c r="K87" i="6" s="1"/>
  <c r="K89" i="6" s="1"/>
  <c r="K92" i="6" s="1"/>
  <c r="L318" i="6"/>
  <c r="L321" i="6"/>
  <c r="M182" i="6"/>
  <c r="N336" i="6"/>
  <c r="N338" i="6" s="1"/>
  <c r="Y23" i="21"/>
  <c r="X22" i="21"/>
  <c r="Z21" i="21"/>
  <c r="J110" i="6"/>
  <c r="M7" i="6"/>
  <c r="J6" i="7"/>
  <c r="AB7" i="21"/>
  <c r="L7" i="21" s="1"/>
  <c r="L28" i="21" s="1"/>
  <c r="L49" i="21" s="1"/>
  <c r="L284" i="6"/>
  <c r="L250" i="6"/>
  <c r="L252" i="6" s="1"/>
  <c r="L119" i="6"/>
  <c r="L78" i="6"/>
  <c r="L37" i="6"/>
  <c r="L333" i="6"/>
  <c r="L197" i="6"/>
  <c r="L153" i="6"/>
  <c r="L226" i="6"/>
  <c r="K52" i="6"/>
  <c r="D209" i="6"/>
  <c r="I197" i="6"/>
  <c r="I153" i="6"/>
  <c r="Y7" i="21"/>
  <c r="I7" i="21" s="1"/>
  <c r="I28" i="21" s="1"/>
  <c r="I49" i="21" s="1"/>
  <c r="H7" i="6"/>
  <c r="I250" i="6"/>
  <c r="I119" i="6"/>
  <c r="I78" i="6"/>
  <c r="I37" i="6"/>
  <c r="N20" i="6"/>
  <c r="N27" i="6" s="1"/>
  <c r="M26" i="6"/>
  <c r="M83" i="6" s="1"/>
  <c r="M39" i="6"/>
  <c r="M59" i="6" s="1"/>
  <c r="M80" i="6"/>
  <c r="M22" i="6"/>
  <c r="L51" i="6"/>
  <c r="K256" i="6"/>
  <c r="L83" i="6"/>
  <c r="L85" i="6" s="1"/>
  <c r="L28" i="6"/>
  <c r="L50" i="6"/>
  <c r="L49" i="6"/>
  <c r="L60" i="6"/>
  <c r="L61" i="6" s="1"/>
  <c r="L69" i="6" s="1"/>
  <c r="L87" i="6" s="1"/>
  <c r="M27" i="6"/>
  <c r="M84" i="6" s="1"/>
  <c r="M85" i="6" s="1"/>
  <c r="K255" i="6"/>
  <c r="K267" i="6" s="1"/>
  <c r="AA12" i="21"/>
  <c r="AA13" i="21" s="1"/>
  <c r="N66" i="6"/>
  <c r="N45" i="6"/>
  <c r="N64" i="6"/>
  <c r="M67" i="6"/>
  <c r="O12" i="6"/>
  <c r="N13" i="6"/>
  <c r="N65" i="6"/>
  <c r="N44" i="6"/>
  <c r="M46" i="6"/>
  <c r="M54" i="6" s="1"/>
  <c r="Z23" i="21" l="1"/>
  <c r="Z22" i="21"/>
  <c r="O336" i="6"/>
  <c r="O338" i="6" s="1"/>
  <c r="O182" i="6" s="1"/>
  <c r="N182" i="6"/>
  <c r="M316" i="6"/>
  <c r="L177" i="6"/>
  <c r="M50" i="6"/>
  <c r="M49" i="6"/>
  <c r="M51" i="6"/>
  <c r="M60" i="6"/>
  <c r="M61" i="6" s="1"/>
  <c r="M69" i="6" s="1"/>
  <c r="M87" i="6" s="1"/>
  <c r="M89" i="6" s="1"/>
  <c r="M92" i="6" s="1"/>
  <c r="J252" i="6"/>
  <c r="D210" i="6"/>
  <c r="X7" i="21"/>
  <c r="H7" i="21" s="1"/>
  <c r="H28" i="21" s="1"/>
  <c r="H49" i="21" s="1"/>
  <c r="H197" i="6"/>
  <c r="H153" i="6"/>
  <c r="H250" i="6"/>
  <c r="I252" i="6" s="1"/>
  <c r="H119" i="6"/>
  <c r="H78" i="6"/>
  <c r="H37" i="6"/>
  <c r="N7" i="6"/>
  <c r="K6" i="7"/>
  <c r="M284" i="6"/>
  <c r="M250" i="6"/>
  <c r="M252" i="6" s="1"/>
  <c r="M119" i="6"/>
  <c r="M78" i="6"/>
  <c r="M37" i="6"/>
  <c r="M333" i="6"/>
  <c r="M197" i="6"/>
  <c r="M153" i="6"/>
  <c r="M226" i="6"/>
  <c r="AC7" i="21"/>
  <c r="M7" i="21" s="1"/>
  <c r="M28" i="21" s="1"/>
  <c r="M49" i="21" s="1"/>
  <c r="K108" i="6"/>
  <c r="AA16" i="21"/>
  <c r="L89" i="6"/>
  <c r="L92" i="6" s="1"/>
  <c r="L256" i="6"/>
  <c r="M28" i="6"/>
  <c r="L52" i="6"/>
  <c r="L255" i="6"/>
  <c r="L267" i="6" s="1"/>
  <c r="AB12" i="21"/>
  <c r="AB13" i="21" s="1"/>
  <c r="K271" i="6"/>
  <c r="K172" i="6" s="1"/>
  <c r="K269" i="6"/>
  <c r="K159" i="6" s="1"/>
  <c r="K272" i="6"/>
  <c r="K173" i="6" s="1"/>
  <c r="K268" i="6"/>
  <c r="K158" i="6" s="1"/>
  <c r="K270" i="6"/>
  <c r="K160" i="6" s="1"/>
  <c r="K157" i="6"/>
  <c r="O20" i="6"/>
  <c r="N26" i="6"/>
  <c r="N83" i="6" s="1"/>
  <c r="N39" i="6"/>
  <c r="N60" i="6" s="1"/>
  <c r="N22" i="6"/>
  <c r="N80" i="6"/>
  <c r="O13" i="6"/>
  <c r="N84" i="6"/>
  <c r="O66" i="6"/>
  <c r="O64" i="6"/>
  <c r="N67" i="6"/>
  <c r="O65" i="6"/>
  <c r="O45" i="6"/>
  <c r="O44" i="6"/>
  <c r="N46" i="6"/>
  <c r="N54" i="6" s="1"/>
  <c r="AC12" i="21"/>
  <c r="M255" i="6"/>
  <c r="M267" i="6" l="1"/>
  <c r="M157" i="6" s="1"/>
  <c r="M321" i="6"/>
  <c r="M318" i="6"/>
  <c r="M52" i="6"/>
  <c r="N49" i="6"/>
  <c r="AC13" i="21"/>
  <c r="N250" i="6"/>
  <c r="N252" i="6" s="1"/>
  <c r="N119" i="6"/>
  <c r="N78" i="6"/>
  <c r="N37" i="6"/>
  <c r="N333" i="6"/>
  <c r="N197" i="6"/>
  <c r="N153" i="6"/>
  <c r="N226" i="6"/>
  <c r="N284" i="6"/>
  <c r="AD7" i="21"/>
  <c r="N7" i="21" s="1"/>
  <c r="N28" i="21" s="1"/>
  <c r="N49" i="21" s="1"/>
  <c r="N50" i="6"/>
  <c r="E17" i="2"/>
  <c r="O7" i="6"/>
  <c r="I261" i="6"/>
  <c r="I260" i="6"/>
  <c r="I262" i="6"/>
  <c r="I264" i="6"/>
  <c r="I259" i="6"/>
  <c r="I263" i="6"/>
  <c r="D211" i="6"/>
  <c r="J259" i="6"/>
  <c r="J261" i="6"/>
  <c r="J263" i="6"/>
  <c r="J262" i="6"/>
  <c r="J260" i="6"/>
  <c r="J264" i="6"/>
  <c r="N51" i="6"/>
  <c r="O26" i="6"/>
  <c r="O83" i="6" s="1"/>
  <c r="O39" i="6"/>
  <c r="O60" i="6" s="1"/>
  <c r="O80" i="6"/>
  <c r="O22" i="6"/>
  <c r="N19" i="2" s="1"/>
  <c r="N28" i="6"/>
  <c r="K273" i="6"/>
  <c r="L270" i="6"/>
  <c r="L160" i="6" s="1"/>
  <c r="L269" i="6"/>
  <c r="L159" i="6" s="1"/>
  <c r="L272" i="6"/>
  <c r="L173" i="6" s="1"/>
  <c r="L271" i="6"/>
  <c r="L172" i="6" s="1"/>
  <c r="L268" i="6"/>
  <c r="L158" i="6" s="1"/>
  <c r="AB16" i="21"/>
  <c r="L108" i="6"/>
  <c r="AA17" i="21"/>
  <c r="AA18" i="21"/>
  <c r="N59" i="6"/>
  <c r="N61" i="6" s="1"/>
  <c r="N69" i="6" s="1"/>
  <c r="N87" i="6" s="1"/>
  <c r="L157" i="6"/>
  <c r="N85" i="6"/>
  <c r="N255" i="6" s="1"/>
  <c r="O27" i="6"/>
  <c r="M256" i="6"/>
  <c r="M269" i="6" s="1"/>
  <c r="M159" i="6" s="1"/>
  <c r="AC16" i="21"/>
  <c r="M108" i="6"/>
  <c r="O67" i="6"/>
  <c r="O46" i="6"/>
  <c r="O54" i="6" s="1"/>
  <c r="O59" i="6"/>
  <c r="N267" i="6" l="1"/>
  <c r="N157" i="6" s="1"/>
  <c r="M177" i="6"/>
  <c r="N316" i="6"/>
  <c r="O49" i="6"/>
  <c r="O50" i="6"/>
  <c r="O28" i="6"/>
  <c r="N52" i="6"/>
  <c r="L273" i="6"/>
  <c r="L275" i="6" s="1"/>
  <c r="L124" i="6" s="1"/>
  <c r="AE7" i="21"/>
  <c r="O7" i="21" s="1"/>
  <c r="O28" i="21" s="1"/>
  <c r="O49" i="21" s="1"/>
  <c r="O250" i="6"/>
  <c r="O252" i="6" s="1"/>
  <c r="O119" i="6"/>
  <c r="O78" i="6"/>
  <c r="O37" i="6"/>
  <c r="O333" i="6"/>
  <c r="O197" i="6"/>
  <c r="O153" i="6"/>
  <c r="O226" i="6"/>
  <c r="O284" i="6"/>
  <c r="O51" i="6"/>
  <c r="E209" i="6"/>
  <c r="D212" i="6"/>
  <c r="E212" i="6" s="1"/>
  <c r="E211" i="6"/>
  <c r="N211" i="6" s="1"/>
  <c r="AD12" i="21"/>
  <c r="AD13" i="21" s="1"/>
  <c r="O84" i="6"/>
  <c r="O85" i="6" s="1"/>
  <c r="AE12" i="21" s="1"/>
  <c r="O61" i="6"/>
  <c r="O69" i="6" s="1"/>
  <c r="O87" i="6" s="1"/>
  <c r="K275" i="6"/>
  <c r="K124" i="6" s="1"/>
  <c r="AB17" i="21"/>
  <c r="AB18" i="21"/>
  <c r="M271" i="6"/>
  <c r="M172" i="6" s="1"/>
  <c r="M270" i="6"/>
  <c r="M160" i="6" s="1"/>
  <c r="M268" i="6"/>
  <c r="M158" i="6" s="1"/>
  <c r="M272" i="6"/>
  <c r="M173" i="6" s="1"/>
  <c r="N256" i="6"/>
  <c r="N89" i="6"/>
  <c r="N92" i="6" s="1"/>
  <c r="AC18" i="21"/>
  <c r="AC17" i="21"/>
  <c r="N318" i="6" l="1"/>
  <c r="N321" i="6"/>
  <c r="O52" i="6"/>
  <c r="AE13" i="21"/>
  <c r="E210" i="6"/>
  <c r="E208" i="6"/>
  <c r="L209" i="6"/>
  <c r="M209" i="6"/>
  <c r="O212" i="6"/>
  <c r="O211" i="6"/>
  <c r="O255" i="6"/>
  <c r="O267" i="6" s="1"/>
  <c r="O157" i="6" s="1"/>
  <c r="M273" i="6"/>
  <c r="M275" i="6" s="1"/>
  <c r="M124" i="6" s="1"/>
  <c r="O256" i="6"/>
  <c r="O89" i="6"/>
  <c r="O92" i="6" s="1"/>
  <c r="AD16" i="21"/>
  <c r="N108" i="6"/>
  <c r="N271" i="6"/>
  <c r="N172" i="6" s="1"/>
  <c r="N269" i="6"/>
  <c r="N159" i="6" s="1"/>
  <c r="N272" i="6"/>
  <c r="N173" i="6" s="1"/>
  <c r="N270" i="6"/>
  <c r="N160" i="6" s="1"/>
  <c r="N268" i="6"/>
  <c r="O316" i="6" l="1"/>
  <c r="N177" i="6"/>
  <c r="K208" i="6"/>
  <c r="K214" i="6" s="1"/>
  <c r="N209" i="6"/>
  <c r="O209" i="6" s="1"/>
  <c r="M210" i="6"/>
  <c r="AD18" i="21"/>
  <c r="AD17" i="21"/>
  <c r="N158" i="6"/>
  <c r="N273" i="6"/>
  <c r="AE16" i="21"/>
  <c r="O108" i="6"/>
  <c r="O272" i="6"/>
  <c r="O173" i="6" s="1"/>
  <c r="O270" i="6"/>
  <c r="O160" i="6" s="1"/>
  <c r="O268" i="6"/>
  <c r="O271" i="6"/>
  <c r="O172" i="6" s="1"/>
  <c r="O269" i="6"/>
  <c r="O159" i="6" s="1"/>
  <c r="O318" i="6" l="1"/>
  <c r="O177" i="6" s="1"/>
  <c r="O321" i="6"/>
  <c r="N210" i="6"/>
  <c r="O210" i="6" s="1"/>
  <c r="K216" i="6"/>
  <c r="K94" i="6"/>
  <c r="L208" i="6"/>
  <c r="AE18" i="21"/>
  <c r="AE17" i="21"/>
  <c r="N275" i="6"/>
  <c r="N124" i="6" s="1"/>
  <c r="O158" i="6"/>
  <c r="O273" i="6"/>
  <c r="O275" i="6" s="1"/>
  <c r="O124" i="6" s="1"/>
  <c r="L202" i="6" l="1"/>
  <c r="K163" i="6"/>
  <c r="K165" i="6" s="1"/>
  <c r="K122" i="6"/>
  <c r="K95" i="6"/>
  <c r="L214" i="6"/>
  <c r="L94" i="6" s="1"/>
  <c r="M208" i="6"/>
  <c r="M214" i="6" s="1"/>
  <c r="M94" i="6" s="1"/>
  <c r="L216" i="6" l="1"/>
  <c r="M202" i="6" s="1"/>
  <c r="M216" i="6" s="1"/>
  <c r="M122" i="6"/>
  <c r="M95" i="6"/>
  <c r="M109" i="6" s="1"/>
  <c r="N208" i="6"/>
  <c r="L122" i="6"/>
  <c r="L95" i="6"/>
  <c r="L109" i="6" s="1"/>
  <c r="K98" i="6"/>
  <c r="K229" i="6" s="1"/>
  <c r="K109" i="6"/>
  <c r="L163" i="6" l="1"/>
  <c r="L165" i="6" s="1"/>
  <c r="K234" i="6"/>
  <c r="K239" i="6" s="1"/>
  <c r="K232" i="6"/>
  <c r="K237" i="6" s="1"/>
  <c r="K100" i="6" s="1"/>
  <c r="N214" i="6"/>
  <c r="N94" i="6" s="1"/>
  <c r="O208" i="6"/>
  <c r="O214" i="6" s="1"/>
  <c r="O94" i="6" s="1"/>
  <c r="N202" i="6"/>
  <c r="M163" i="6"/>
  <c r="M165" i="6" s="1"/>
  <c r="N216" i="6" l="1"/>
  <c r="O122" i="6"/>
  <c r="O95" i="6"/>
  <c r="O109" i="6" s="1"/>
  <c r="N122" i="6"/>
  <c r="N95" i="6"/>
  <c r="N109" i="6" s="1"/>
  <c r="K238" i="6"/>
  <c r="K176" i="6" l="1"/>
  <c r="K178" i="6" s="1"/>
  <c r="K101" i="6"/>
  <c r="O202" i="6"/>
  <c r="O216" i="6" s="1"/>
  <c r="O163" i="6" s="1"/>
  <c r="O165" i="6" s="1"/>
  <c r="N163" i="6"/>
  <c r="N165" i="6" s="1"/>
  <c r="K123" i="6" l="1"/>
  <c r="K102" i="6"/>
  <c r="K104" i="6" s="1"/>
  <c r="AA21" i="21" l="1"/>
  <c r="K341" i="6"/>
  <c r="K342" i="6" s="1"/>
  <c r="K347" i="6"/>
  <c r="K121" i="6"/>
  <c r="K125" i="6" s="1"/>
  <c r="K298" i="6" s="1"/>
  <c r="K138" i="6" l="1"/>
  <c r="K348" i="6"/>
  <c r="K349" i="6" s="1"/>
  <c r="K302" i="6"/>
  <c r="K303" i="6" s="1"/>
  <c r="K306" i="6" s="1"/>
  <c r="AA23" i="21"/>
  <c r="AA22" i="21"/>
  <c r="L346" i="6" l="1"/>
  <c r="K183" i="6"/>
  <c r="K184" i="6" s="1"/>
  <c r="K110" i="6" s="1"/>
  <c r="K135" i="6"/>
  <c r="K139" i="6" s="1"/>
  <c r="K142" i="6" s="1"/>
  <c r="K307" i="6"/>
  <c r="L305" i="6" l="1"/>
  <c r="L310" i="6" s="1"/>
  <c r="K171" i="6"/>
  <c r="K174" i="6" s="1"/>
  <c r="K180" i="6" s="1"/>
  <c r="K186" i="6" s="1"/>
  <c r="K290" i="6"/>
  <c r="K291" i="6" s="1"/>
  <c r="L289" i="6" s="1"/>
  <c r="L294" i="6" s="1"/>
  <c r="K144" i="6"/>
  <c r="L143" i="6" l="1"/>
  <c r="K156" i="6"/>
  <c r="K161" i="6" s="1"/>
  <c r="K167" i="6" s="1"/>
  <c r="K188" i="6" s="1"/>
  <c r="L324" i="6"/>
  <c r="L97" i="6" s="1"/>
  <c r="L98" i="6" s="1"/>
  <c r="L229" i="6" s="1"/>
  <c r="L234" i="6" l="1"/>
  <c r="L239" i="6" s="1"/>
  <c r="L232" i="6"/>
  <c r="L237" i="6" s="1"/>
  <c r="L100" i="6" s="1"/>
  <c r="L238" i="6" l="1"/>
  <c r="L176" i="6" s="1"/>
  <c r="L178" i="6" s="1"/>
  <c r="L101" i="6" l="1"/>
  <c r="L123" i="6" s="1"/>
  <c r="L102" i="6" l="1"/>
  <c r="L104" i="6" s="1"/>
  <c r="AB21" i="21" s="1"/>
  <c r="L347" i="6" l="1"/>
  <c r="L341" i="6"/>
  <c r="L342" i="6" s="1"/>
  <c r="L302" i="6" s="1"/>
  <c r="L121" i="6"/>
  <c r="L125" i="6" s="1"/>
  <c r="L298" i="6" s="1"/>
  <c r="L348" i="6"/>
  <c r="AB22" i="21"/>
  <c r="AB23" i="21"/>
  <c r="L138" i="6" l="1"/>
  <c r="L303" i="6"/>
  <c r="L306" i="6" s="1"/>
  <c r="L135" i="6" s="1"/>
  <c r="L139" i="6" s="1"/>
  <c r="L142" i="6" s="1"/>
  <c r="L349" i="6"/>
  <c r="M346" i="6" s="1"/>
  <c r="L307" i="6" l="1"/>
  <c r="M305" i="6" s="1"/>
  <c r="M310" i="6" s="1"/>
  <c r="L183" i="6"/>
  <c r="L184" i="6" s="1"/>
  <c r="L110" i="6" s="1"/>
  <c r="L144" i="6"/>
  <c r="L290" i="6"/>
  <c r="L291" i="6" s="1"/>
  <c r="M289" i="6" s="1"/>
  <c r="M294" i="6" s="1"/>
  <c r="L171" i="6" l="1"/>
  <c r="L174" i="6" s="1"/>
  <c r="L180" i="6" s="1"/>
  <c r="L186" i="6" s="1"/>
  <c r="M324" i="6"/>
  <c r="M97" i="6" s="1"/>
  <c r="M98" i="6" s="1"/>
  <c r="M229" i="6" s="1"/>
  <c r="M232" i="6" s="1"/>
  <c r="M237" i="6" s="1"/>
  <c r="M100" i="6" s="1"/>
  <c r="L156" i="6"/>
  <c r="L161" i="6" s="1"/>
  <c r="L167" i="6" s="1"/>
  <c r="L188" i="6" s="1"/>
  <c r="M143" i="6"/>
  <c r="M234" i="6" l="1"/>
  <c r="M239" i="6" s="1"/>
  <c r="M238" i="6" s="1"/>
  <c r="M101" i="6" s="1"/>
  <c r="M123" i="6" l="1"/>
  <c r="M102" i="6"/>
  <c r="M104" i="6" s="1"/>
  <c r="M341" i="6" s="1"/>
  <c r="M342" i="6" s="1"/>
  <c r="M176" i="6"/>
  <c r="M178" i="6" s="1"/>
  <c r="AC21" i="21" l="1"/>
  <c r="AC23" i="21" s="1"/>
  <c r="M347" i="6"/>
  <c r="M121" i="6"/>
  <c r="M125" i="6" s="1"/>
  <c r="M298" i="6" s="1"/>
  <c r="M302" i="6"/>
  <c r="M348" i="6"/>
  <c r="M138" i="6"/>
  <c r="M349" i="6" l="1"/>
  <c r="N346" i="6" s="1"/>
  <c r="M303" i="6"/>
  <c r="M306" i="6" s="1"/>
  <c r="M135" i="6" s="1"/>
  <c r="M139" i="6" s="1"/>
  <c r="M142" i="6" s="1"/>
  <c r="AC22" i="21"/>
  <c r="M183" i="6" l="1"/>
  <c r="M184" i="6" s="1"/>
  <c r="M110" i="6" s="1"/>
  <c r="M307" i="6"/>
  <c r="N305" i="6" s="1"/>
  <c r="N310" i="6" s="1"/>
  <c r="M290" i="6"/>
  <c r="M291" i="6" s="1"/>
  <c r="N289" i="6" s="1"/>
  <c r="N294" i="6" s="1"/>
  <c r="M144" i="6"/>
  <c r="M171" i="6" l="1"/>
  <c r="M174" i="6" s="1"/>
  <c r="M180" i="6" s="1"/>
  <c r="M186" i="6" s="1"/>
  <c r="N143" i="6"/>
  <c r="M156" i="6"/>
  <c r="M161" i="6" s="1"/>
  <c r="M167" i="6" s="1"/>
  <c r="N324" i="6"/>
  <c r="N97" i="6" s="1"/>
  <c r="N98" i="6" s="1"/>
  <c r="N229" i="6" s="1"/>
  <c r="M188" i="6" l="1"/>
  <c r="N232" i="6"/>
  <c r="N237" i="6" s="1"/>
  <c r="N100" i="6" s="1"/>
  <c r="N234" i="6"/>
  <c r="N239" i="6" s="1"/>
  <c r="N238" i="6" l="1"/>
  <c r="N101" i="6" s="1"/>
  <c r="N123" i="6" l="1"/>
  <c r="N102" i="6"/>
  <c r="N104" i="6" s="1"/>
  <c r="N121" i="6" s="1"/>
  <c r="N176" i="6"/>
  <c r="N178" i="6" s="1"/>
  <c r="AD21" i="21" l="1"/>
  <c r="AD23" i="21" s="1"/>
  <c r="N125" i="6"/>
  <c r="N298" i="6" s="1"/>
  <c r="N341" i="6"/>
  <c r="N342" i="6" s="1"/>
  <c r="N348" i="6" s="1"/>
  <c r="N347" i="6"/>
  <c r="AD22" i="21" l="1"/>
  <c r="N349" i="6"/>
  <c r="O346" i="6" s="1"/>
  <c r="N302" i="6"/>
  <c r="N303" i="6" s="1"/>
  <c r="N306" i="6" s="1"/>
  <c r="N307" i="6" s="1"/>
  <c r="N138" i="6"/>
  <c r="N183" i="6" l="1"/>
  <c r="N184" i="6" s="1"/>
  <c r="N110" i="6" s="1"/>
  <c r="N135" i="6"/>
  <c r="N139" i="6" s="1"/>
  <c r="N142" i="6" s="1"/>
  <c r="N290" i="6" s="1"/>
  <c r="N291" i="6" s="1"/>
  <c r="O289" i="6" s="1"/>
  <c r="O294" i="6" s="1"/>
  <c r="O305" i="6"/>
  <c r="O310" i="6" s="1"/>
  <c r="N171" i="6"/>
  <c r="N174" i="6" s="1"/>
  <c r="N180" i="6" s="1"/>
  <c r="N186" i="6" l="1"/>
  <c r="N144" i="6"/>
  <c r="N156" i="6" s="1"/>
  <c r="N161" i="6" s="1"/>
  <c r="N167" i="6" s="1"/>
  <c r="O324" i="6"/>
  <c r="O97" i="6" s="1"/>
  <c r="O98" i="6" s="1"/>
  <c r="O229" i="6" s="1"/>
  <c r="O234" i="6" s="1"/>
  <c r="O239" i="6" s="1"/>
  <c r="N188" i="6" l="1"/>
  <c r="O143" i="6"/>
  <c r="O232" i="6"/>
  <c r="O237" i="6" s="1"/>
  <c r="O100" i="6" s="1"/>
  <c r="O238" i="6" l="1"/>
  <c r="O101" i="6" l="1"/>
  <c r="O176" i="6"/>
  <c r="O178" i="6" s="1"/>
  <c r="O123" i="6" l="1"/>
  <c r="O102" i="6"/>
  <c r="O104" i="6" s="1"/>
  <c r="O121" i="6" l="1"/>
  <c r="O125" i="6" s="1"/>
  <c r="O298" i="6" s="1"/>
  <c r="AE21" i="21"/>
  <c r="O341" i="6"/>
  <c r="O342" i="6" s="1"/>
  <c r="O347" i="6"/>
  <c r="O302" i="6" l="1"/>
  <c r="O303" i="6" s="1"/>
  <c r="O306" i="6" s="1"/>
  <c r="O138" i="6"/>
  <c r="O348" i="6"/>
  <c r="O349" i="6" s="1"/>
  <c r="O183" i="6" s="1"/>
  <c r="O184" i="6" s="1"/>
  <c r="O110" i="6" s="1"/>
  <c r="AE22" i="21"/>
  <c r="AE23" i="21"/>
  <c r="O307" i="6" l="1"/>
  <c r="O171" i="6" s="1"/>
  <c r="O174" i="6" s="1"/>
  <c r="O180" i="6" s="1"/>
  <c r="O186" i="6" s="1"/>
  <c r="O135" i="6"/>
  <c r="O139" i="6" s="1"/>
  <c r="O142" i="6" s="1"/>
  <c r="O144" i="6" l="1"/>
  <c r="O156" i="6" s="1"/>
  <c r="O161" i="6" s="1"/>
  <c r="O167" i="6" s="1"/>
  <c r="O188" i="6" s="1"/>
  <c r="O290" i="6"/>
  <c r="O29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94" authorId="0" shapeId="0" xr:uid="{9348DE71-38AA-42E6-8F50-93D8511549CA}">
      <text>
        <r>
          <rPr>
            <b/>
            <sz val="9"/>
            <color indexed="81"/>
            <rFont val="Arial"/>
            <family val="2"/>
          </rPr>
          <t xml:space="preserve">Note on Interest Expense
</t>
        </r>
        <r>
          <rPr>
            <sz val="9"/>
            <color indexed="81"/>
            <rFont val="Arial"/>
            <family val="2"/>
          </rPr>
          <t xml:space="preserve">
In the video tutorial series, we indicated that you can calculate Interest Expense and Interest Income in one of two ways:
1) =Rate x Avg(Beg Bal, End Bal);  or 
2) = Rate x Beg Bal
We chose to use Rate x Beg Bal in this sample model to avoid having a circular reference in the file.  
Both approaches are used by organizations all over the world so check with your team to see if there is a preference.</t>
        </r>
      </text>
    </comment>
    <comment ref="K310" authorId="0" shapeId="0" xr:uid="{AC8474A6-D4A4-4FEA-8C4F-EE553D3A978B}">
      <text>
        <r>
          <rPr>
            <b/>
            <sz val="9"/>
            <color indexed="81"/>
            <rFont val="Arial"/>
            <family val="2"/>
          </rPr>
          <t xml:space="preserve">Note on Interest Expense
</t>
        </r>
        <r>
          <rPr>
            <sz val="9"/>
            <color indexed="81"/>
            <rFont val="Arial"/>
            <family val="2"/>
          </rPr>
          <t xml:space="preserve">
In the video tutorial series, we indicated that you can calculate Interest Expense and Interest Income in one of two ways:
1) =Rate x Avg(Beg Bal, End Bal);  or 
2) = Rate x Beg Bal
We chose to use Rate x Beg Bal in this sample model to avoid having a circular reference in the file.  
Both approaches are used by organizations all over the world so check with your team to see if there is a preference.</t>
        </r>
      </text>
    </comment>
    <comment ref="K321" authorId="0" shapeId="0" xr:uid="{190634BD-9407-42EF-BA36-6EA5AB3FFB02}">
      <text>
        <r>
          <rPr>
            <b/>
            <sz val="9"/>
            <color indexed="81"/>
            <rFont val="Arial"/>
            <family val="2"/>
          </rPr>
          <t xml:space="preserve">Note on Interest Expense
</t>
        </r>
        <r>
          <rPr>
            <sz val="9"/>
            <color indexed="81"/>
            <rFont val="Arial"/>
            <family val="2"/>
          </rPr>
          <t xml:space="preserve">
In the video tutorial series, we indicated that you can calculate Interest Expense and Interest Income in one of two ways:
1) =Rate x Avg(Beg Bal, End Bal);  or 
2) = Rate x Beg Bal
We chose to use Rate x Beg Bal in this sample model to avoid having a circular reference in the file.  
Both approaches are used by organizations all over the world so check with your team to see if there is a preference.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<sst xmlns="http://schemas.openxmlformats.org/spreadsheetml/2006/main" count="409" uniqueCount="210">
  <si>
    <t>Pricing Case</t>
  </si>
  <si>
    <t>Pricing</t>
  </si>
  <si>
    <t>Projected</t>
  </si>
  <si>
    <t>Net Revenue</t>
  </si>
  <si>
    <t>Cost of Sales</t>
  </si>
  <si>
    <t>EBITDA</t>
  </si>
  <si>
    <t>Depreciation &amp; Amortization</t>
  </si>
  <si>
    <t>EBIT</t>
  </si>
  <si>
    <t>Net Income</t>
  </si>
  <si>
    <t>Operating Activities</t>
  </si>
  <si>
    <t>Other</t>
  </si>
  <si>
    <t>Operating Cash Flow</t>
  </si>
  <si>
    <t>ASSETS</t>
  </si>
  <si>
    <t>Cash</t>
  </si>
  <si>
    <t>Accounts Receivable</t>
  </si>
  <si>
    <t>Inventory</t>
  </si>
  <si>
    <t>Total Current Assets</t>
  </si>
  <si>
    <t>Net PP&amp;E</t>
  </si>
  <si>
    <t>Total Assets</t>
  </si>
  <si>
    <t>LIABILITIES AND EQUITY</t>
  </si>
  <si>
    <t>Accounts Payable</t>
  </si>
  <si>
    <t>Total Current Liabilities</t>
  </si>
  <si>
    <t>Total Long Term Liabilities</t>
  </si>
  <si>
    <t>Total Liabilities</t>
  </si>
  <si>
    <t>Shareholder's Equity</t>
  </si>
  <si>
    <t>Total Liabilities and Equity</t>
  </si>
  <si>
    <t>Check</t>
  </si>
  <si>
    <t>Days In</t>
  </si>
  <si>
    <t>Inventories</t>
  </si>
  <si>
    <t>Account Balances</t>
  </si>
  <si>
    <t>Net Working Capital</t>
  </si>
  <si>
    <t>A</t>
  </si>
  <si>
    <t>B</t>
  </si>
  <si>
    <t>Variable Costs</t>
  </si>
  <si>
    <t>Total Variable Costs</t>
  </si>
  <si>
    <t>Fixed Costs</t>
  </si>
  <si>
    <t>S,G &amp; A</t>
  </si>
  <si>
    <t>Income Statement</t>
  </si>
  <si>
    <t>Margins</t>
  </si>
  <si>
    <t>EBITDA Margin</t>
  </si>
  <si>
    <t>EBIT Margin</t>
  </si>
  <si>
    <t>Depreciation to Existing Assets</t>
  </si>
  <si>
    <t>Total Depreciation</t>
  </si>
  <si>
    <t>Revenue</t>
  </si>
  <si>
    <t>Gross Revenue</t>
  </si>
  <si>
    <t>Total Costs</t>
  </si>
  <si>
    <t>Depreciation</t>
  </si>
  <si>
    <t>Cash Flow Statement</t>
  </si>
  <si>
    <t>Income Tax Schedule</t>
  </si>
  <si>
    <t>Working Capital Schedule</t>
  </si>
  <si>
    <t>Total Fixed Costs</t>
  </si>
  <si>
    <t>Freight &amp; Warehousing</t>
  </si>
  <si>
    <t>Implied Operating Rate</t>
  </si>
  <si>
    <t>Operating Labour</t>
  </si>
  <si>
    <t>CAPEX</t>
  </si>
  <si>
    <t>Change in the Cash Position</t>
  </si>
  <si>
    <t>Beginning Cash</t>
  </si>
  <si>
    <t>Ending Cash</t>
  </si>
  <si>
    <t>Base Case</t>
  </si>
  <si>
    <t>Best Case</t>
  </si>
  <si>
    <t>Worst Case</t>
  </si>
  <si>
    <t>(days)</t>
  </si>
  <si>
    <t xml:space="preserve">Gross Sales Price </t>
  </si>
  <si>
    <t>Debt and Interest Schedule</t>
  </si>
  <si>
    <t>Net Sales Price</t>
  </si>
  <si>
    <t>Amount Outstanding - Beginning</t>
  </si>
  <si>
    <t>Additions / (Repayments)</t>
  </si>
  <si>
    <t>Amount Outstanding - Ending</t>
  </si>
  <si>
    <t>Interest Rate</t>
  </si>
  <si>
    <t>Annual Interest Expense</t>
  </si>
  <si>
    <t>Annual Interest Income</t>
  </si>
  <si>
    <t>Change in Cash</t>
  </si>
  <si>
    <t>Financing Activities</t>
  </si>
  <si>
    <t>Interest Expense</t>
  </si>
  <si>
    <t>Net Interest Expense</t>
  </si>
  <si>
    <t>EBT</t>
  </si>
  <si>
    <t>(000's units)</t>
  </si>
  <si>
    <t>COSTS PER UNIT</t>
  </si>
  <si>
    <t>The product pricing cases used in the model are as follows:</t>
  </si>
  <si>
    <t>-</t>
  </si>
  <si>
    <t>GENERAL</t>
  </si>
  <si>
    <t>PRODUCT PRICING</t>
  </si>
  <si>
    <t>OPERATIONS</t>
  </si>
  <si>
    <t>TAXES</t>
  </si>
  <si>
    <t>COSTS</t>
  </si>
  <si>
    <t>Cost Item</t>
  </si>
  <si>
    <t>Raw Materials</t>
  </si>
  <si>
    <t>Increases</t>
  </si>
  <si>
    <t>Inflation on a unit basis</t>
  </si>
  <si>
    <t>SG&amp;A</t>
  </si>
  <si>
    <t>DEPRECIATION</t>
  </si>
  <si>
    <t>Straight Line</t>
  </si>
  <si>
    <t>ECONOMIC SCENARIOS</t>
  </si>
  <si>
    <t>Current Income Taxes</t>
  </si>
  <si>
    <t>Total Income Taxes</t>
  </si>
  <si>
    <t>Tax Rate</t>
  </si>
  <si>
    <t>Taxes as Appearing on Income Statement</t>
  </si>
  <si>
    <t>Total Income Taxes (Same as Accounting Taxes Above)</t>
  </si>
  <si>
    <t>Cost Inflation</t>
  </si>
  <si>
    <t>SCENARIO SWITCH:</t>
  </si>
  <si>
    <t>Revenue Schedule</t>
  </si>
  <si>
    <t>Capital Expenditures</t>
  </si>
  <si>
    <t>Investing Activities</t>
  </si>
  <si>
    <t>Investing Cash Flow</t>
  </si>
  <si>
    <t>Financing Cash Flow</t>
  </si>
  <si>
    <t>Balance Sheet</t>
  </si>
  <si>
    <t>Days per Year</t>
  </si>
  <si>
    <t>Inputs and Assumptions</t>
  </si>
  <si>
    <t>SALES SCENARIOS</t>
  </si>
  <si>
    <t>Sales Volume Growth</t>
  </si>
  <si>
    <t>(%)</t>
  </si>
  <si>
    <t>Sales Volume</t>
  </si>
  <si>
    <t>Annual Sales Volume</t>
  </si>
  <si>
    <t>Change in Working Capital</t>
  </si>
  <si>
    <t>Shareholders' Equity Schedule</t>
  </si>
  <si>
    <t>Common Shares</t>
  </si>
  <si>
    <t>Dividend Payout Rate</t>
  </si>
  <si>
    <t>Common Dividend</t>
  </si>
  <si>
    <t>Retained Earnings</t>
  </si>
  <si>
    <t>EQUITY</t>
  </si>
  <si>
    <t>Common Dividend Payout Rate</t>
  </si>
  <si>
    <t>Common Stock Issuance / (Buy-back)</t>
  </si>
  <si>
    <t>Common Shares Issuance/ (Buy-Back)</t>
  </si>
  <si>
    <t>Common Dividends</t>
  </si>
  <si>
    <t>New Issuance / (Buy-Back)</t>
  </si>
  <si>
    <t>Return on Equity</t>
  </si>
  <si>
    <t>Changes in working capital</t>
  </si>
  <si>
    <t>Dividends</t>
  </si>
  <si>
    <t>FINANCING COMPONENT</t>
  </si>
  <si>
    <t>and sales volume growth</t>
  </si>
  <si>
    <t>Revolver</t>
  </si>
  <si>
    <t>Senior Secured Term Debt</t>
  </si>
  <si>
    <t>Revolver Issuance / (Repayment)</t>
  </si>
  <si>
    <t>Term Debt Issuance / (Repayment)</t>
  </si>
  <si>
    <t>Bank Debt - Revolver</t>
  </si>
  <si>
    <t>FCF After Mandatory Debt Repayment and Dividend</t>
  </si>
  <si>
    <t>Mandatory Debt Repayments</t>
  </si>
  <si>
    <t>Revolver Outstanding - Beginning</t>
  </si>
  <si>
    <t>Revolver Outstanding - Ending</t>
  </si>
  <si>
    <t>Research Forecast</t>
  </si>
  <si>
    <t xml:space="preserve"> </t>
  </si>
  <si>
    <t>Depreciation Years on New Assets:</t>
  </si>
  <si>
    <t>Income Statement Items</t>
  </si>
  <si>
    <t>First year of forecast in financial model:</t>
  </si>
  <si>
    <t>per Unit</t>
  </si>
  <si>
    <t>MM</t>
  </si>
  <si>
    <t>Deferred Income Taxes</t>
  </si>
  <si>
    <t>Increase (Decrease) in Deferred Income Taxes</t>
  </si>
  <si>
    <t>SUMMARY VALUES - BASE CASE</t>
  </si>
  <si>
    <t xml:space="preserve">   Growth</t>
  </si>
  <si>
    <t xml:space="preserve">   Margin</t>
  </si>
  <si>
    <t>SUMMARY VALUES - WORST CASE</t>
  </si>
  <si>
    <t>Utilities</t>
  </si>
  <si>
    <t>Rent</t>
  </si>
  <si>
    <t>Depreciation Methodology Used:</t>
  </si>
  <si>
    <t>Years remaining for depreciation of existing assets:</t>
  </si>
  <si>
    <t>Years used for depreciation of new assets:</t>
  </si>
  <si>
    <t>OTHER ASSUMPTIONS</t>
  </si>
  <si>
    <t>Working Capital Days</t>
  </si>
  <si>
    <t>days</t>
  </si>
  <si>
    <t>Change in Debt &amp; Equity</t>
  </si>
  <si>
    <t>Annual Factory Capacity</t>
  </si>
  <si>
    <t>Cost Adjustments - Gain/(Loss)</t>
  </si>
  <si>
    <t>Investing Activities - Other</t>
  </si>
  <si>
    <t>Prepaid Expenses</t>
  </si>
  <si>
    <t>Other Assets</t>
  </si>
  <si>
    <t>Other Liabilities</t>
  </si>
  <si>
    <t>Three scenarios have been used for Inflation, Product Pricing</t>
  </si>
  <si>
    <t>(MM)</t>
  </si>
  <si>
    <t>Sales Price - $/Unit</t>
  </si>
  <si>
    <t>($/unit)</t>
  </si>
  <si>
    <t>($ MM)</t>
  </si>
  <si>
    <t>($ Millions)</t>
  </si>
  <si>
    <t>Income Tax</t>
  </si>
  <si>
    <t xml:space="preserve">Accounting EBT (as is on I/S)   </t>
  </si>
  <si>
    <t>Government EBT</t>
  </si>
  <si>
    <t>(1) Assumes aggregate reduction in government pre-tax earnings due to timing differences between accounting and government rules.</t>
  </si>
  <si>
    <t>Reduction in EBT for timing differences</t>
  </si>
  <si>
    <t>Total Long Term Assets</t>
  </si>
  <si>
    <t>Summary Outputs</t>
  </si>
  <si>
    <t>SUMMARY VALUES - BEST CASE</t>
  </si>
  <si>
    <t>Costs of Production Schedule</t>
  </si>
  <si>
    <t>COSTS IN MILLIONS</t>
  </si>
  <si>
    <t>INTEREST RATES</t>
  </si>
  <si>
    <r>
      <t xml:space="preserve">Less: Reduction in EBT for timing differences </t>
    </r>
    <r>
      <rPr>
        <vertAlign val="superscript"/>
        <sz val="10"/>
        <rFont val="Arial"/>
        <family val="2"/>
      </rPr>
      <t>(1)</t>
    </r>
  </si>
  <si>
    <t>Senior Term Debt Issuance / (Repayment)</t>
  </si>
  <si>
    <t>Annual Factory Capacity (000's units):</t>
  </si>
  <si>
    <t>Tax rate assumed in the model:</t>
  </si>
  <si>
    <t>Additional tax assumptions in "Other Assumptions" box</t>
  </si>
  <si>
    <t>Interest rate on Bank Revolver:</t>
  </si>
  <si>
    <t>Interest rate on Senior Secured Term Debt:</t>
  </si>
  <si>
    <t>Inflation on a total basis</t>
  </si>
  <si>
    <t>Interest earned on Cash balances:</t>
  </si>
  <si>
    <t>Economic and Sales Scenarios</t>
  </si>
  <si>
    <t>Trend</t>
  </si>
  <si>
    <t>Years Remaining Existing Assets:</t>
  </si>
  <si>
    <t>Financial Model Worksheet - Vertical Orientation</t>
  </si>
  <si>
    <t>Fixed Assets (PP&amp;E) - Beginning</t>
  </si>
  <si>
    <t>Plus CAPEX</t>
  </si>
  <si>
    <t>Fixed Assets (PP&amp;E) - Ending</t>
  </si>
  <si>
    <t>Senior Term Debt Repayment Percent</t>
  </si>
  <si>
    <t>%</t>
  </si>
  <si>
    <t>***</t>
  </si>
  <si>
    <t>CFO</t>
  </si>
  <si>
    <t>CFI</t>
  </si>
  <si>
    <t>CFF</t>
  </si>
  <si>
    <t>Dummy Co.</t>
  </si>
  <si>
    <t>FMV1: Financial Modeling</t>
  </si>
  <si>
    <t>Fixed Assets (PP&amp;E)</t>
  </si>
  <si>
    <t>CAPACITY  - Operative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</si>
</sst>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">
    <numFmt numFmtId="44" formatCode="_-&quot;$&quot;* #,##0.00_-;\-&quot;$&quot;* #,##0.00_-;_-&quot;$&quot;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* #,##0.00_);_(* \(#,##0.00\);_(* &quot;-&quot;??_);_(@_)"/>
    <numFmt numFmtId="169" formatCode="_(* #,##0.0_);_(* \(#,##0.0\);_(* &quot;-&quot;??_);_(@_)"/>
    <numFmt numFmtId="170" formatCode="_(* #,##0_);_(* \(#,##0\);_(* &quot;-&quot;??_);_(@_)"/>
    <numFmt numFmtId="171" formatCode="0.0%"/>
    <numFmt numFmtId="172" formatCode="#,##0.0_);\(#,##0.0\)"/>
    <numFmt numFmtId="173" formatCode="&quot;$&quot;#,##0.0_);\(&quot;$&quot;#,##0.0\)"/>
    <numFmt numFmtId="174" formatCode="#,##0.000_);\(#,##0.000\)"/>
    <numFmt numFmtId="175" formatCode="0.0_);\(0.0\)"/>
    <numFmt numFmtId="176" formatCode="0.00_);\(0.00\)"/>
    <numFmt numFmtId="177" formatCode="0.000_);\(0.000\)"/>
    <numFmt numFmtId="178" formatCode="0\A"/>
    <numFmt numFmtId="179" formatCode="&quot;- EBITDA margin of &quot;0.0%"/>
    <numFmt numFmtId="180" formatCode="&quot;- Opening UCC pool of &quot;&quot;$&quot;#,###.0&quot; million as of January 1, 1999&quot;"/>
    <numFmt numFmtId="181" formatCode="0%;\(0%\)"/>
    <numFmt numFmtId="182" formatCode="0.00\ "/>
    <numFmt numFmtId="183" formatCode="_-* #,##0_-;\-* #,##0_-;_-* &quot;-&quot;??_-;_-@_-"/>
    <numFmt numFmtId="184" formatCode="0_);\(0\)"/>
    <numFmt numFmtId="185" formatCode="0.0%\ ;\(0.0%\)"/>
    <numFmt numFmtId="186" formatCode="mmmm\ d\,\ yyyy"/>
    <numFmt numFmtId="187" formatCode="\+0%;\(0%\)"/>
    <numFmt numFmtId="188" formatCode="&quot;$&quot;#,##0.0"/>
    <numFmt numFmtId="189" formatCode="0\ &quot;years&quot;"/>
    <numFmt numFmtId="190" formatCode="0.0\ \x"/>
    <numFmt numFmtId="191" formatCode="#,##0.0000_);\(#,##0.0000\)"/>
    <numFmt numFmtId="192" formatCode="&quot;$&quot;#,##0.000_);\(&quot;$&quot;#,##0.000\)"/>
    <numFmt numFmtId="193" formatCode="0\F"/>
    <numFmt numFmtId="194" formatCode="&quot;$&quot;#,##0.0000_);\(&quot;$&quot;#,##0.0000\)"/>
    <numFmt numFmtId="195" formatCode="&quot;$&quot;#,##0.000000_);\(&quot;$&quot;#,##0.000000\)"/>
    <numFmt numFmtId="196" formatCode="0.0%;\(0.0%\)"/>
    <numFmt numFmtId="197" formatCode="[&gt;-0.000001]\ 0.0_);\ \(0.0\)_)"/>
    <numFmt numFmtId="198" formatCode="_-&quot;$&quot;* #,##0_-;\-&quot;$&quot;* #,##0_-;_-&quot;$&quot;* &quot;-&quot;??_-;_-@_-"/>
    <numFmt numFmtId="199" formatCode="_-&quot;$&quot;* #,##0.0_-;\-&quot;$&quot;* #,##0.0_-;_-&quot;$&quot;* &quot;-&quot;??_-;_-@_-"/>
  </numFmts>
  <fonts count="85">
    <font>
      <sz val="10"/>
      <name val="Arial"/>
      <family val="2"/>
    </font>
    <font>
      <sz val="10"/>
      <name val="Book Antiqua"/>
      <family val="1"/>
    </font>
    <font>
      <sz val="10"/>
      <name val="Aldine401 BT"/>
    </font>
    <font>
      <sz val="10"/>
      <name val="Arial"/>
      <family val="2"/>
    </font>
    <font>
      <sz val="11"/>
      <color indexed="12"/>
      <name val="Book Antiqua"/>
      <family val="1"/>
    </font>
    <font>
      <sz val="8"/>
      <name val="Arial"/>
      <family val="2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8"/>
      <color theme="1"/>
      <name val="Arial"/>
      <family val="2"/>
    </font>
    <font>
      <b/>
      <sz val="24"/>
      <color theme="4"/>
      <name val="Arial"/>
      <family val="2"/>
    </font>
    <font>
      <sz val="14"/>
      <name val="Arial"/>
      <family val="2"/>
    </font>
    <font>
      <b/>
      <sz val="12"/>
      <color theme="4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sz val="18"/>
      <name val="Arial"/>
      <family val="2"/>
    </font>
    <font>
      <b/>
      <sz val="18"/>
      <color indexed="12"/>
      <name val="Arial"/>
      <family val="2"/>
    </font>
    <font>
      <b/>
      <sz val="14"/>
      <color indexed="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10"/>
      <color indexed="12"/>
      <name val="Arial"/>
      <family val="2"/>
    </font>
    <font>
      <b/>
      <i/>
      <sz val="12"/>
      <name val="Arial"/>
      <family val="2"/>
    </font>
    <font>
      <b/>
      <sz val="11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i/>
      <sz val="14"/>
      <color indexed="10"/>
      <name val="Arial"/>
      <family val="2"/>
    </font>
    <font>
      <b/>
      <i/>
      <sz val="9"/>
      <color indexed="10"/>
      <name val="Arial"/>
      <family val="2"/>
    </font>
    <font>
      <b/>
      <i/>
      <sz val="10"/>
      <name val="Arial"/>
      <family val="2"/>
    </font>
    <font>
      <sz val="10"/>
      <color indexed="9"/>
      <name val="Arial"/>
      <family val="2"/>
    </font>
    <font>
      <sz val="10"/>
      <color rgb="FF0000FF"/>
      <name val="Arial"/>
      <family val="2"/>
    </font>
    <font>
      <sz val="10"/>
      <color indexed="61"/>
      <name val="Arial"/>
      <family val="2"/>
    </font>
    <font>
      <i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0"/>
      <color rgb="FF0000FF"/>
      <name val="Arial"/>
      <family val="2"/>
    </font>
    <font>
      <b/>
      <sz val="9"/>
      <name val="Arial"/>
      <family val="2"/>
    </font>
    <font>
      <vertAlign val="superscript"/>
      <sz val="7"/>
      <name val="Arial"/>
      <family val="2"/>
    </font>
    <font>
      <b/>
      <sz val="10"/>
      <color indexed="10"/>
      <name val="Arial"/>
      <family val="2"/>
    </font>
    <font>
      <u/>
      <sz val="10"/>
      <color rgb="FF0000FF"/>
      <name val="Arial"/>
      <family val="2"/>
    </font>
    <font>
      <sz val="8"/>
      <color indexed="12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9"/>
      <color indexed="12"/>
      <name val="Arial"/>
      <family val="2"/>
    </font>
    <font>
      <b/>
      <sz val="20"/>
      <name val="Arial"/>
      <family val="2"/>
    </font>
    <font>
      <b/>
      <u/>
      <sz val="9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color indexed="8"/>
      <name val="Arial"/>
      <family val="2"/>
    </font>
    <font>
      <vertAlign val="superscript"/>
      <sz val="10"/>
      <name val="Arial"/>
      <family val="2"/>
    </font>
    <font>
      <i/>
      <sz val="9"/>
      <name val="Arial"/>
      <family val="2"/>
    </font>
    <font>
      <sz val="10"/>
      <color rgb="FF009B73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i/>
      <sz val="10"/>
      <color rgb="FF009B73"/>
      <name val="Arial"/>
      <family val="2"/>
    </font>
    <font>
      <b/>
      <sz val="10"/>
      <color rgb="FF009B73"/>
      <name val="Arial"/>
      <family val="2"/>
    </font>
    <font>
      <sz val="9"/>
      <color rgb="FF009B73"/>
      <name val="Arial"/>
      <family val="2"/>
    </font>
    <font>
      <b/>
      <sz val="20"/>
      <color indexed="12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b/>
      <i/>
      <sz val="10"/>
      <color theme="0"/>
      <name val="Arial"/>
      <family val="2"/>
    </font>
    <font>
      <i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4586BB"/>
      <name val="Arial"/>
      <family val="2"/>
    </font>
    <font>
      <b/>
      <sz val="28"/>
      <color rgb="FF008ED6"/>
      <name val="Arial"/>
      <family val="2"/>
    </font>
    <font>
      <b/>
      <sz val="8"/>
      <color rgb="FF008ED6"/>
      <name val="Arial"/>
      <family val="2"/>
    </font>
    <font>
      <sz val="10"/>
      <color rgb="FF002F6C"/>
      <name val="Arial"/>
      <family val="2"/>
    </font>
    <font>
      <i/>
      <sz val="9"/>
      <color rgb="FF002F6C"/>
      <name val="Arial"/>
      <family val="2"/>
    </font>
    <font>
      <sz val="9"/>
      <color rgb="FF002F6C"/>
      <name val="Arial"/>
      <family val="2"/>
    </font>
    <font>
      <u/>
      <sz val="12"/>
      <color theme="1"/>
      <name val="Arial"/>
      <family val="2"/>
    </font>
    <font>
      <sz val="10"/>
      <color rgb="FF009966"/>
      <name val="Arial"/>
      <family val="2"/>
    </font>
    <font>
      <b/>
      <sz val="8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F6C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5B77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4586BB"/>
      </left>
      <right/>
      <top style="thin">
        <color rgb="FF4586BB"/>
      </top>
      <bottom/>
      <diagonal/>
    </border>
    <border>
      <left/>
      <right/>
      <top style="thin">
        <color rgb="FF4586BB"/>
      </top>
      <bottom/>
      <diagonal/>
    </border>
    <border>
      <left/>
      <right style="thin">
        <color rgb="FF4586BB"/>
      </right>
      <top style="thin">
        <color rgb="FF4586BB"/>
      </top>
      <bottom/>
      <diagonal/>
    </border>
    <border>
      <left style="thin">
        <color rgb="FF4586BB"/>
      </left>
      <right/>
      <top/>
      <bottom/>
      <diagonal/>
    </border>
    <border>
      <left/>
      <right style="thin">
        <color rgb="FF4586BB"/>
      </right>
      <top/>
      <bottom/>
      <diagonal/>
    </border>
    <border>
      <left style="thin">
        <color rgb="FF4586BB"/>
      </left>
      <right/>
      <top/>
      <bottom style="thin">
        <color rgb="FF4586BB"/>
      </bottom>
      <diagonal/>
    </border>
    <border>
      <left/>
      <right/>
      <top/>
      <bottom style="thin">
        <color rgb="FF4586BB"/>
      </bottom>
      <diagonal/>
    </border>
    <border>
      <left/>
      <right style="thin">
        <color rgb="FF4586BB"/>
      </right>
      <top/>
      <bottom style="thin">
        <color rgb="FF4586BB"/>
      </bottom>
      <diagonal/>
    </border>
    <border>
      <left style="thin">
        <color rgb="FF002F6C"/>
      </left>
      <right/>
      <top style="thin">
        <color rgb="FF002F6C"/>
      </top>
      <bottom/>
      <diagonal/>
    </border>
    <border>
      <left/>
      <right/>
      <top style="thin">
        <color rgb="FF002F6C"/>
      </top>
      <bottom/>
      <diagonal/>
    </border>
    <border>
      <left/>
      <right/>
      <top style="thin">
        <color rgb="FF002F6C"/>
      </top>
      <bottom style="thin">
        <color theme="0"/>
      </bottom>
      <diagonal/>
    </border>
    <border>
      <left/>
      <right style="thin">
        <color rgb="FF002F6C"/>
      </right>
      <top style="thin">
        <color rgb="FF002F6C"/>
      </top>
      <bottom/>
      <diagonal/>
    </border>
    <border>
      <left style="thin">
        <color rgb="FF002F6C"/>
      </left>
      <right/>
      <top/>
      <bottom/>
      <diagonal/>
    </border>
    <border>
      <left/>
      <right style="thin">
        <color rgb="FF002F6C"/>
      </right>
      <top/>
      <bottom/>
      <diagonal/>
    </border>
    <border>
      <left style="thin">
        <color rgb="FF002F6C"/>
      </left>
      <right/>
      <top/>
      <bottom style="thin">
        <color rgb="FF002F6C"/>
      </bottom>
      <diagonal/>
    </border>
    <border>
      <left/>
      <right/>
      <top/>
      <bottom style="thin">
        <color rgb="FF002F6C"/>
      </bottom>
      <diagonal/>
    </border>
    <border>
      <left/>
      <right style="thin">
        <color rgb="FF002F6C"/>
      </right>
      <top/>
      <bottom style="thin">
        <color rgb="FF002F6C"/>
      </bottom>
      <diagonal/>
    </border>
    <border>
      <left style="thin">
        <color rgb="FF002F6C"/>
      </left>
      <right/>
      <top/>
      <bottom style="thin">
        <color rgb="FF4586BB"/>
      </bottom>
      <diagonal/>
    </border>
    <border>
      <left/>
      <right style="thin">
        <color rgb="FF002F6C"/>
      </right>
      <top/>
      <bottom style="thin">
        <color rgb="FF4586BB"/>
      </bottom>
      <diagonal/>
    </border>
    <border>
      <left/>
      <right/>
      <top/>
      <bottom style="dotted">
        <color rgb="FF009966"/>
      </bottom>
      <diagonal/>
    </border>
    <border>
      <left/>
      <right/>
      <top style="thin">
        <color rgb="FF5B77CC"/>
      </top>
      <bottom/>
      <diagonal/>
    </border>
    <border>
      <left/>
      <right style="thin">
        <color rgb="FF4586BB"/>
      </right>
      <top style="thin">
        <color rgb="FF5B77CC"/>
      </top>
      <bottom/>
      <diagonal/>
    </border>
  </borders>
  <cellStyleXfs count="16">
    <xf numFmtId="0" fontId="0" fillId="0" borderId="0"/>
    <xf numFmtId="0" fontId="1" fillId="0" borderId="0" applyNumberFormat="0" applyFont="0" applyFill="0" applyBorder="0" applyProtection="0">
      <alignment horizontal="centerContinuous"/>
    </xf>
    <xf numFmtId="0" fontId="1" fillId="0" borderId="1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168" fontId="2" fillId="0" borderId="0" applyFont="0" applyFill="0" applyBorder="0" applyAlignment="0" applyProtection="0"/>
    <xf numFmtId="167" fontId="4" fillId="0" borderId="2">
      <protection locked="0"/>
    </xf>
    <xf numFmtId="0" fontId="1" fillId="0" borderId="3" applyNumberFormat="0" applyFont="0" applyFill="0" applyAlignment="0" applyProtection="0"/>
    <xf numFmtId="0" fontId="3" fillId="0" borderId="0"/>
    <xf numFmtId="0" fontId="3" fillId="0" borderId="0"/>
    <xf numFmtId="0" fontId="6" fillId="0" borderId="0"/>
    <xf numFmtId="0" fontId="5" fillId="0" borderId="0" applyNumberFormat="0" applyFill="0" applyBorder="0" applyAlignment="0" applyProtection="0"/>
    <xf numFmtId="183" fontId="2" fillId="0" borderId="0" applyNumberFormat="0" applyFill="0" applyBorder="0" applyAlignment="0" applyProtection="0"/>
    <xf numFmtId="0" fontId="1" fillId="0" borderId="4" applyNumberFormat="0" applyFont="0" applyFill="0" applyAlignment="0" applyProtection="0"/>
    <xf numFmtId="0" fontId="7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41">
    <xf numFmtId="0" fontId="0" fillId="0" borderId="0" xfId="0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8" fillId="0" borderId="0" xfId="0" applyFont="1" applyAlignment="1">
      <alignment horizontal="centerContinuous"/>
    </xf>
    <xf numFmtId="37" fontId="20" fillId="0" borderId="0" xfId="0" applyNumberFormat="1" applyFont="1" applyAlignment="1">
      <alignment horizontal="right"/>
    </xf>
    <xf numFmtId="10" fontId="0" fillId="0" borderId="0" xfId="0" applyNumberFormat="1"/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21" fillId="0" borderId="0" xfId="0" applyFont="1" applyAlignment="1">
      <alignment horizontal="centerContinuous" vertical="center"/>
    </xf>
    <xf numFmtId="0" fontId="22" fillId="0" borderId="0" xfId="0" applyFont="1" applyAlignment="1">
      <alignment horizontal="centerContinuous" vertical="center"/>
    </xf>
    <xf numFmtId="0" fontId="2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Continuous"/>
    </xf>
    <xf numFmtId="0" fontId="21" fillId="0" borderId="0" xfId="0" applyFont="1"/>
    <xf numFmtId="180" fontId="0" fillId="0" borderId="0" xfId="0" quotePrefix="1" applyNumberFormat="1" applyAlignment="1">
      <alignment horizontal="left"/>
    </xf>
    <xf numFmtId="179" fontId="0" fillId="0" borderId="1" xfId="0" applyNumberFormat="1" applyBorder="1" applyAlignment="1">
      <alignment horizontal="left"/>
    </xf>
    <xf numFmtId="0" fontId="0" fillId="0" borderId="0" xfId="0" applyAlignment="1">
      <alignment horizontal="center" vertical="center"/>
    </xf>
    <xf numFmtId="189" fontId="20" fillId="0" borderId="0" xfId="0" applyNumberFormat="1" applyFont="1" applyAlignment="1">
      <alignment horizontal="right"/>
    </xf>
    <xf numFmtId="0" fontId="0" fillId="0" borderId="0" xfId="0" quotePrefix="1"/>
    <xf numFmtId="0" fontId="24" fillId="0" borderId="0" xfId="0" applyFont="1"/>
    <xf numFmtId="0" fontId="25" fillId="0" borderId="0" xfId="9" applyFont="1"/>
    <xf numFmtId="0" fontId="16" fillId="0" borderId="0" xfId="9" applyFont="1" applyAlignment="1">
      <alignment horizontal="centerContinuous"/>
    </xf>
    <xf numFmtId="0" fontId="26" fillId="0" borderId="0" xfId="9" applyFont="1" applyAlignment="1">
      <alignment horizontal="centerContinuous"/>
    </xf>
    <xf numFmtId="0" fontId="3" fillId="0" borderId="0" xfId="9" applyFont="1"/>
    <xf numFmtId="0" fontId="27" fillId="0" borderId="0" xfId="9" applyFont="1" applyAlignment="1">
      <alignment horizontal="centerContinuous"/>
    </xf>
    <xf numFmtId="0" fontId="28" fillId="0" borderId="0" xfId="9" quotePrefix="1" applyFont="1" applyAlignment="1">
      <alignment horizontal="left"/>
    </xf>
    <xf numFmtId="0" fontId="28" fillId="0" borderId="0" xfId="9" quotePrefix="1" applyFont="1" applyAlignment="1">
      <alignment horizontal="center"/>
    </xf>
    <xf numFmtId="0" fontId="3" fillId="0" borderId="7" xfId="9" applyFont="1" applyBorder="1"/>
    <xf numFmtId="0" fontId="3" fillId="0" borderId="8" xfId="9" applyFont="1" applyBorder="1"/>
    <xf numFmtId="0" fontId="3" fillId="0" borderId="8" xfId="9" applyFont="1" applyBorder="1" applyAlignment="1">
      <alignment horizontal="center"/>
    </xf>
    <xf numFmtId="0" fontId="3" fillId="0" borderId="9" xfId="9" applyFont="1" applyBorder="1" applyAlignment="1">
      <alignment horizontal="center"/>
    </xf>
    <xf numFmtId="0" fontId="19" fillId="0" borderId="1" xfId="9" applyFont="1" applyBorder="1" applyAlignment="1">
      <alignment horizontal="centerContinuous"/>
    </xf>
    <xf numFmtId="0" fontId="19" fillId="0" borderId="5" xfId="9" applyFont="1" applyBorder="1" applyAlignment="1">
      <alignment vertical="center"/>
    </xf>
    <xf numFmtId="0" fontId="19" fillId="0" borderId="0" xfId="9" applyFont="1"/>
    <xf numFmtId="0" fontId="21" fillId="0" borderId="0" xfId="9" quotePrefix="1" applyFont="1" applyAlignment="1">
      <alignment horizontal="right"/>
    </xf>
    <xf numFmtId="0" fontId="19" fillId="0" borderId="10" xfId="9" applyFont="1" applyBorder="1"/>
    <xf numFmtId="0" fontId="19" fillId="0" borderId="1" xfId="9" applyFont="1" applyBorder="1"/>
    <xf numFmtId="0" fontId="19" fillId="0" borderId="1" xfId="9" applyFont="1" applyBorder="1" applyAlignment="1">
      <alignment horizontal="center"/>
    </xf>
    <xf numFmtId="0" fontId="19" fillId="0" borderId="11" xfId="9" applyFont="1" applyBorder="1" applyAlignment="1">
      <alignment horizontal="center"/>
    </xf>
    <xf numFmtId="0" fontId="21" fillId="0" borderId="0" xfId="9" applyFont="1" applyAlignment="1">
      <alignment horizontal="right"/>
    </xf>
    <xf numFmtId="0" fontId="19" fillId="0" borderId="0" xfId="9" applyFont="1" applyAlignment="1">
      <alignment horizontal="center"/>
    </xf>
    <xf numFmtId="0" fontId="30" fillId="0" borderId="0" xfId="9" quotePrefix="1" applyFont="1" applyAlignment="1">
      <alignment horizontal="left"/>
    </xf>
    <xf numFmtId="0" fontId="31" fillId="0" borderId="0" xfId="9" applyFont="1" applyAlignment="1">
      <alignment horizontal="left"/>
    </xf>
    <xf numFmtId="0" fontId="3" fillId="0" borderId="0" xfId="9" applyFont="1" applyAlignment="1">
      <alignment horizontal="center"/>
    </xf>
    <xf numFmtId="0" fontId="19" fillId="0" borderId="0" xfId="9" applyFont="1" applyAlignment="1">
      <alignment horizontal="left" vertical="center"/>
    </xf>
    <xf numFmtId="0" fontId="29" fillId="0" borderId="0" xfId="9" applyFont="1" applyAlignment="1">
      <alignment horizontal="center"/>
    </xf>
    <xf numFmtId="0" fontId="19" fillId="0" borderId="0" xfId="9" quotePrefix="1" applyFont="1" applyAlignment="1">
      <alignment horizontal="left"/>
    </xf>
    <xf numFmtId="171" fontId="20" fillId="0" borderId="0" xfId="0" applyNumberFormat="1" applyFont="1"/>
    <xf numFmtId="171" fontId="3" fillId="0" borderId="0" xfId="0" applyNumberFormat="1" applyFont="1"/>
    <xf numFmtId="171" fontId="32" fillId="0" borderId="16" xfId="0" applyNumberFormat="1" applyFont="1" applyBorder="1"/>
    <xf numFmtId="171" fontId="32" fillId="0" borderId="17" xfId="0" applyNumberFormat="1" applyFont="1" applyBorder="1"/>
    <xf numFmtId="171" fontId="32" fillId="0" borderId="18" xfId="0" applyNumberFormat="1" applyFont="1" applyBorder="1"/>
    <xf numFmtId="171" fontId="32" fillId="0" borderId="19" xfId="0" applyNumberFormat="1" applyFont="1" applyBorder="1"/>
    <xf numFmtId="171" fontId="32" fillId="0" borderId="0" xfId="0" applyNumberFormat="1" applyFont="1"/>
    <xf numFmtId="171" fontId="32" fillId="0" borderId="20" xfId="0" applyNumberFormat="1" applyFont="1" applyBorder="1"/>
    <xf numFmtId="171" fontId="32" fillId="0" borderId="21" xfId="0" applyNumberFormat="1" applyFont="1" applyBorder="1"/>
    <xf numFmtId="171" fontId="32" fillId="0" borderId="22" xfId="0" applyNumberFormat="1" applyFont="1" applyBorder="1"/>
    <xf numFmtId="171" fontId="32" fillId="0" borderId="23" xfId="0" applyNumberFormat="1" applyFont="1" applyBorder="1"/>
    <xf numFmtId="0" fontId="3" fillId="0" borderId="0" xfId="9" applyFont="1" applyAlignment="1">
      <alignment horizontal="left"/>
    </xf>
    <xf numFmtId="0" fontId="33" fillId="0" borderId="0" xfId="9" applyFont="1" applyAlignment="1">
      <alignment horizontal="center"/>
    </xf>
    <xf numFmtId="176" fontId="32" fillId="0" borderId="0" xfId="4" applyNumberFormat="1" applyFont="1" applyBorder="1" applyAlignment="1" applyProtection="1">
      <alignment horizontal="right"/>
    </xf>
    <xf numFmtId="176" fontId="34" fillId="0" borderId="0" xfId="4" applyNumberFormat="1" applyFont="1" applyBorder="1" applyAlignment="1" applyProtection="1">
      <alignment horizontal="right"/>
    </xf>
    <xf numFmtId="0" fontId="3" fillId="0" borderId="22" xfId="9" applyFont="1" applyBorder="1"/>
    <xf numFmtId="0" fontId="3" fillId="0" borderId="22" xfId="9" applyFont="1" applyBorder="1" applyAlignment="1">
      <alignment horizontal="center"/>
    </xf>
    <xf numFmtId="0" fontId="3" fillId="0" borderId="0" xfId="9" applyFont="1" applyAlignment="1">
      <alignment vertical="center"/>
    </xf>
    <xf numFmtId="0" fontId="29" fillId="0" borderId="0" xfId="9" applyFont="1" applyAlignment="1">
      <alignment horizontal="center" vertical="center"/>
    </xf>
    <xf numFmtId="0" fontId="19" fillId="0" borderId="0" xfId="9" applyFont="1" applyAlignment="1">
      <alignment horizontal="left"/>
    </xf>
    <xf numFmtId="184" fontId="35" fillId="0" borderId="0" xfId="0" applyNumberFormat="1" applyFont="1"/>
    <xf numFmtId="182" fontId="3" fillId="0" borderId="0" xfId="9" applyNumberFormat="1" applyFont="1"/>
    <xf numFmtId="37" fontId="3" fillId="0" borderId="0" xfId="9" applyNumberFormat="1" applyFont="1"/>
    <xf numFmtId="0" fontId="3" fillId="0" borderId="0" xfId="9" quotePrefix="1" applyFont="1" applyAlignment="1">
      <alignment horizontal="left"/>
    </xf>
    <xf numFmtId="37" fontId="32" fillId="0" borderId="0" xfId="0" applyNumberFormat="1" applyFont="1"/>
    <xf numFmtId="37" fontId="33" fillId="0" borderId="0" xfId="0" applyNumberFormat="1" applyFont="1"/>
    <xf numFmtId="0" fontId="3" fillId="0" borderId="1" xfId="9" applyFont="1" applyBorder="1"/>
    <xf numFmtId="0" fontId="3" fillId="0" borderId="1" xfId="9" applyFont="1" applyBorder="1" applyAlignment="1">
      <alignment horizontal="center"/>
    </xf>
    <xf numFmtId="0" fontId="20" fillId="0" borderId="0" xfId="9" applyFont="1"/>
    <xf numFmtId="0" fontId="33" fillId="0" borderId="0" xfId="0" applyFont="1" applyAlignment="1">
      <alignment horizontal="centerContinuous"/>
    </xf>
    <xf numFmtId="0" fontId="33" fillId="0" borderId="0" xfId="0" applyFont="1"/>
    <xf numFmtId="169" fontId="41" fillId="0" borderId="0" xfId="4" applyNumberFormat="1" applyFont="1" applyFill="1" applyBorder="1" applyProtection="1"/>
    <xf numFmtId="169" fontId="41" fillId="0" borderId="0" xfId="4" applyNumberFormat="1" applyFont="1" applyFill="1" applyProtection="1"/>
    <xf numFmtId="169" fontId="20" fillId="0" borderId="0" xfId="4" applyNumberFormat="1" applyFont="1" applyFill="1" applyBorder="1" applyProtection="1"/>
    <xf numFmtId="169" fontId="20" fillId="0" borderId="1" xfId="4" applyNumberFormat="1" applyFont="1" applyFill="1" applyBorder="1" applyProtection="1"/>
    <xf numFmtId="169" fontId="19" fillId="0" borderId="0" xfId="4" applyNumberFormat="1" applyFont="1" applyFill="1" applyBorder="1" applyProtection="1"/>
    <xf numFmtId="169" fontId="19" fillId="0" borderId="0" xfId="4" applyNumberFormat="1" applyFont="1" applyFill="1" applyProtection="1"/>
    <xf numFmtId="170" fontId="44" fillId="0" borderId="22" xfId="4" applyNumberFormat="1" applyFont="1" applyFill="1" applyBorder="1" applyProtection="1"/>
    <xf numFmtId="170" fontId="19" fillId="0" borderId="22" xfId="4" applyNumberFormat="1" applyFont="1" applyFill="1" applyBorder="1" applyProtection="1"/>
    <xf numFmtId="170" fontId="44" fillId="0" borderId="0" xfId="4" applyNumberFormat="1" applyFont="1" applyFill="1" applyProtection="1"/>
    <xf numFmtId="170" fontId="19" fillId="0" borderId="0" xfId="4" applyNumberFormat="1" applyFont="1" applyFill="1" applyProtection="1"/>
    <xf numFmtId="169" fontId="0" fillId="0" borderId="0" xfId="4" applyNumberFormat="1" applyFont="1" applyFill="1" applyProtection="1"/>
    <xf numFmtId="169" fontId="45" fillId="0" borderId="0" xfId="4" applyNumberFormat="1" applyFont="1" applyFill="1" applyBorder="1" applyProtection="1"/>
    <xf numFmtId="175" fontId="0" fillId="0" borderId="0" xfId="4" applyNumberFormat="1" applyFont="1" applyFill="1" applyBorder="1" applyProtection="1"/>
    <xf numFmtId="175" fontId="0" fillId="0" borderId="0" xfId="4" applyNumberFormat="1" applyFont="1" applyFill="1" applyProtection="1"/>
    <xf numFmtId="173" fontId="19" fillId="0" borderId="0" xfId="4" applyNumberFormat="1" applyFont="1" applyFill="1" applyBorder="1" applyProtection="1"/>
    <xf numFmtId="173" fontId="19" fillId="0" borderId="8" xfId="4" applyNumberFormat="1" applyFont="1" applyFill="1" applyBorder="1" applyProtection="1"/>
    <xf numFmtId="172" fontId="20" fillId="0" borderId="0" xfId="4" applyNumberFormat="1" applyFont="1" applyFill="1" applyBorder="1" applyAlignment="1" applyProtection="1">
      <alignment horizontal="right"/>
      <protection locked="0"/>
    </xf>
    <xf numFmtId="172" fontId="20" fillId="0" borderId="1" xfId="4" applyNumberFormat="1" applyFont="1" applyFill="1" applyBorder="1" applyAlignment="1" applyProtection="1">
      <alignment horizontal="right"/>
    </xf>
    <xf numFmtId="172" fontId="19" fillId="0" borderId="0" xfId="4" applyNumberFormat="1" applyFont="1" applyFill="1" applyBorder="1" applyProtection="1"/>
    <xf numFmtId="172" fontId="20" fillId="0" borderId="1" xfId="4" applyNumberFormat="1" applyFont="1" applyFill="1" applyBorder="1" applyProtection="1">
      <protection locked="0"/>
    </xf>
    <xf numFmtId="172" fontId="20" fillId="0" borderId="1" xfId="4" applyNumberFormat="1" applyFont="1" applyFill="1" applyBorder="1" applyProtection="1"/>
    <xf numFmtId="172" fontId="0" fillId="0" borderId="0" xfId="0" applyNumberFormat="1"/>
    <xf numFmtId="196" fontId="28" fillId="0" borderId="0" xfId="0" applyNumberFormat="1" applyFont="1"/>
    <xf numFmtId="172" fontId="41" fillId="0" borderId="0" xfId="4" applyNumberFormat="1" applyFont="1" applyFill="1" applyProtection="1">
      <protection locked="0"/>
    </xf>
    <xf numFmtId="37" fontId="0" fillId="0" borderId="0" xfId="4" applyNumberFormat="1" applyFont="1" applyFill="1" applyProtection="1"/>
    <xf numFmtId="172" fontId="0" fillId="0" borderId="0" xfId="4" applyNumberFormat="1" applyFont="1" applyFill="1" applyProtection="1"/>
    <xf numFmtId="172" fontId="41" fillId="0" borderId="1" xfId="4" applyNumberFormat="1" applyFont="1" applyFill="1" applyBorder="1" applyAlignment="1" applyProtection="1">
      <alignment horizontal="right"/>
      <protection locked="0"/>
    </xf>
    <xf numFmtId="172" fontId="20" fillId="0" borderId="1" xfId="4" applyNumberFormat="1" applyFont="1" applyFill="1" applyBorder="1" applyAlignment="1" applyProtection="1">
      <alignment horizontal="right"/>
      <protection locked="0"/>
    </xf>
    <xf numFmtId="170" fontId="0" fillId="0" borderId="0" xfId="4" applyNumberFormat="1" applyFont="1" applyFill="1" applyBorder="1" applyProtection="1"/>
    <xf numFmtId="37" fontId="20" fillId="0" borderId="0" xfId="4" applyNumberFormat="1" applyFont="1" applyFill="1" applyProtection="1"/>
    <xf numFmtId="172" fontId="20" fillId="0" borderId="0" xfId="4" applyNumberFormat="1" applyFont="1" applyFill="1" applyProtection="1">
      <protection locked="0"/>
    </xf>
    <xf numFmtId="37" fontId="20" fillId="0" borderId="0" xfId="4" applyNumberFormat="1" applyFont="1" applyFill="1" applyBorder="1" applyProtection="1"/>
    <xf numFmtId="172" fontId="0" fillId="0" borderId="0" xfId="4" applyNumberFormat="1" applyFont="1" applyFill="1" applyProtection="1">
      <protection locked="0"/>
    </xf>
    <xf numFmtId="172" fontId="41" fillId="0" borderId="0" xfId="4" applyNumberFormat="1" applyFont="1" applyFill="1" applyBorder="1" applyProtection="1">
      <protection locked="0"/>
    </xf>
    <xf numFmtId="172" fontId="20" fillId="0" borderId="0" xfId="4" applyNumberFormat="1" applyFont="1" applyFill="1" applyBorder="1" applyProtection="1">
      <protection locked="0"/>
    </xf>
    <xf numFmtId="37" fontId="0" fillId="0" borderId="0" xfId="4" applyNumberFormat="1" applyFont="1" applyFill="1" applyBorder="1" applyProtection="1"/>
    <xf numFmtId="0" fontId="58" fillId="0" borderId="0" xfId="0" applyFont="1"/>
    <xf numFmtId="173" fontId="0" fillId="0" borderId="0" xfId="0" applyNumberFormat="1"/>
    <xf numFmtId="4" fontId="0" fillId="0" borderId="0" xfId="4" applyNumberFormat="1" applyFont="1" applyFill="1" applyBorder="1" applyProtection="1"/>
    <xf numFmtId="4" fontId="0" fillId="0" borderId="0" xfId="4" applyNumberFormat="1" applyFont="1" applyFill="1" applyBorder="1" applyAlignment="1" applyProtection="1">
      <alignment horizontal="left"/>
    </xf>
    <xf numFmtId="168" fontId="56" fillId="0" borderId="0" xfId="4" applyFont="1" applyFill="1" applyProtection="1"/>
    <xf numFmtId="184" fontId="20" fillId="0" borderId="0" xfId="4" applyNumberFormat="1" applyFont="1" applyFill="1" applyProtection="1"/>
    <xf numFmtId="4" fontId="19" fillId="0" borderId="0" xfId="4" applyNumberFormat="1" applyFont="1" applyFill="1" applyBorder="1" applyProtection="1"/>
    <xf numFmtId="181" fontId="68" fillId="0" borderId="0" xfId="9" applyNumberFormat="1" applyFont="1"/>
    <xf numFmtId="0" fontId="16" fillId="0" borderId="0" xfId="7" applyFont="1" applyAlignment="1">
      <alignment horizontal="centerContinuous"/>
    </xf>
    <xf numFmtId="0" fontId="69" fillId="0" borderId="0" xfId="7" applyFont="1" applyAlignment="1">
      <alignment horizontal="centerContinuous"/>
    </xf>
    <xf numFmtId="0" fontId="54" fillId="0" borderId="0" xfId="7" applyFont="1" applyAlignment="1">
      <alignment horizontal="centerContinuous"/>
    </xf>
    <xf numFmtId="0" fontId="3" fillId="0" borderId="0" xfId="7"/>
    <xf numFmtId="0" fontId="27" fillId="0" borderId="0" xfId="7" applyFont="1" applyAlignment="1">
      <alignment horizontal="centerContinuous"/>
    </xf>
    <xf numFmtId="0" fontId="70" fillId="0" borderId="0" xfId="7" applyFont="1" applyAlignment="1">
      <alignment horizontal="centerContinuous"/>
    </xf>
    <xf numFmtId="0" fontId="19" fillId="0" borderId="0" xfId="7" applyFont="1" applyAlignment="1">
      <alignment horizontal="centerContinuous"/>
    </xf>
    <xf numFmtId="0" fontId="71" fillId="0" borderId="0" xfId="7" applyFont="1" applyAlignment="1">
      <alignment horizontal="centerContinuous"/>
    </xf>
    <xf numFmtId="0" fontId="3" fillId="0" borderId="5" xfId="7" applyBorder="1"/>
    <xf numFmtId="0" fontId="3" fillId="0" borderId="1" xfId="7" applyBorder="1"/>
    <xf numFmtId="0" fontId="3" fillId="0" borderId="6" xfId="7" applyBorder="1"/>
    <xf numFmtId="178" fontId="21" fillId="0" borderId="0" xfId="0" applyNumberFormat="1" applyFont="1"/>
    <xf numFmtId="193" fontId="21" fillId="0" borderId="0" xfId="0" quotePrefix="1" applyNumberFormat="1" applyFont="1" applyAlignment="1">
      <alignment horizontal="right"/>
    </xf>
    <xf numFmtId="0" fontId="19" fillId="0" borderId="0" xfId="7" applyFont="1"/>
    <xf numFmtId="0" fontId="5" fillId="0" borderId="0" xfId="7" applyFont="1"/>
    <xf numFmtId="164" fontId="3" fillId="0" borderId="0" xfId="4" applyNumberFormat="1" applyFont="1" applyBorder="1"/>
    <xf numFmtId="0" fontId="62" fillId="0" borderId="0" xfId="7" applyFont="1"/>
    <xf numFmtId="0" fontId="33" fillId="0" borderId="0" xfId="7" applyFont="1"/>
    <xf numFmtId="0" fontId="3" fillId="0" borderId="10" xfId="7" applyBorder="1"/>
    <xf numFmtId="0" fontId="3" fillId="0" borderId="11" xfId="7" applyBorder="1"/>
    <xf numFmtId="0" fontId="28" fillId="0" borderId="0" xfId="7" applyFont="1"/>
    <xf numFmtId="0" fontId="3" fillId="0" borderId="0" xfId="7" applyAlignment="1">
      <alignment horizontal="right"/>
    </xf>
    <xf numFmtId="0" fontId="3" fillId="0" borderId="0" xfId="7" applyAlignment="1">
      <alignment vertical="center"/>
    </xf>
    <xf numFmtId="0" fontId="3" fillId="0" borderId="7" xfId="7" applyBorder="1" applyAlignment="1">
      <alignment vertical="center"/>
    </xf>
    <xf numFmtId="0" fontId="3" fillId="0" borderId="8" xfId="7" applyBorder="1" applyAlignment="1">
      <alignment vertical="center"/>
    </xf>
    <xf numFmtId="0" fontId="39" fillId="0" borderId="14" xfId="7" applyFont="1" applyBorder="1" applyAlignment="1">
      <alignment horizontal="centerContinuous" vertical="center"/>
    </xf>
    <xf numFmtId="0" fontId="28" fillId="0" borderId="14" xfId="7" applyFont="1" applyBorder="1" applyAlignment="1">
      <alignment horizontal="centerContinuous" vertical="center"/>
    </xf>
    <xf numFmtId="0" fontId="3" fillId="0" borderId="9" xfId="7" applyBorder="1" applyAlignment="1">
      <alignment vertical="center"/>
    </xf>
    <xf numFmtId="0" fontId="3" fillId="0" borderId="5" xfId="7" applyBorder="1" applyAlignment="1">
      <alignment vertical="center"/>
    </xf>
    <xf numFmtId="0" fontId="3" fillId="0" borderId="1" xfId="7" applyBorder="1" applyAlignment="1">
      <alignment vertical="center"/>
    </xf>
    <xf numFmtId="178" fontId="19" fillId="0" borderId="1" xfId="0" applyNumberFormat="1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3" fillId="0" borderId="6" xfId="7" applyBorder="1" applyAlignment="1">
      <alignment vertical="center"/>
    </xf>
    <xf numFmtId="39" fontId="20" fillId="0" borderId="0" xfId="0" applyNumberFormat="1" applyFont="1" applyAlignment="1">
      <alignment horizontal="right"/>
    </xf>
    <xf numFmtId="0" fontId="0" fillId="0" borderId="35" xfId="0" applyBorder="1" applyAlignment="1">
      <alignment horizontal="center" vertical="center"/>
    </xf>
    <xf numFmtId="0" fontId="0" fillId="0" borderId="36" xfId="0" applyBorder="1"/>
    <xf numFmtId="0" fontId="0" fillId="0" borderId="37" xfId="0" applyBorder="1" applyAlignment="1">
      <alignment horizontal="center" vertical="center"/>
    </xf>
    <xf numFmtId="0" fontId="0" fillId="0" borderId="38" xfId="0" applyBorder="1"/>
    <xf numFmtId="0" fontId="0" fillId="0" borderId="35" xfId="0" applyBorder="1"/>
    <xf numFmtId="0" fontId="0" fillId="0" borderId="35" xfId="0" quotePrefix="1" applyBorder="1" applyAlignment="1">
      <alignment horizontal="left"/>
    </xf>
    <xf numFmtId="0" fontId="21" fillId="0" borderId="35" xfId="0" applyFont="1" applyBorder="1" applyAlignment="1">
      <alignment vertical="center"/>
    </xf>
    <xf numFmtId="0" fontId="22" fillId="0" borderId="36" xfId="0" applyFont="1" applyBorder="1" applyAlignment="1">
      <alignment horizontal="centerContinuous" vertical="center"/>
    </xf>
    <xf numFmtId="0" fontId="20" fillId="0" borderId="35" xfId="0" applyFont="1" applyBorder="1"/>
    <xf numFmtId="0" fontId="20" fillId="0" borderId="37" xfId="0" applyFont="1" applyBorder="1" applyAlignment="1">
      <alignment horizontal="left"/>
    </xf>
    <xf numFmtId="0" fontId="21" fillId="0" borderId="35" xfId="0" applyFont="1" applyBorder="1"/>
    <xf numFmtId="0" fontId="20" fillId="0" borderId="36" xfId="0" applyFont="1" applyBorder="1" applyAlignment="1">
      <alignment horizontal="right"/>
    </xf>
    <xf numFmtId="180" fontId="0" fillId="0" borderId="38" xfId="0" quotePrefix="1" applyNumberFormat="1" applyBorder="1" applyAlignment="1">
      <alignment horizontal="left"/>
    </xf>
    <xf numFmtId="0" fontId="24" fillId="0" borderId="0" xfId="0" applyFont="1" applyAlignment="1">
      <alignment vertical="center"/>
    </xf>
    <xf numFmtId="0" fontId="19" fillId="0" borderId="35" xfId="0" applyFont="1" applyBorder="1"/>
    <xf numFmtId="173" fontId="20" fillId="0" borderId="36" xfId="0" applyNumberFormat="1" applyFont="1" applyBorder="1"/>
    <xf numFmtId="0" fontId="19" fillId="0" borderId="0" xfId="9" quotePrefix="1" applyFont="1" applyAlignment="1">
      <alignment horizontal="right"/>
    </xf>
    <xf numFmtId="0" fontId="76" fillId="0" borderId="0" xfId="7" applyFont="1"/>
    <xf numFmtId="0" fontId="3" fillId="0" borderId="12" xfId="7" applyBorder="1"/>
    <xf numFmtId="0" fontId="36" fillId="0" borderId="0" xfId="7" applyFont="1"/>
    <xf numFmtId="0" fontId="3" fillId="0" borderId="12" xfId="9" applyFont="1" applyBorder="1"/>
    <xf numFmtId="0" fontId="3" fillId="0" borderId="12" xfId="9" applyFont="1" applyBorder="1" applyAlignment="1">
      <alignment horizontal="center"/>
    </xf>
    <xf numFmtId="0" fontId="18" fillId="0" borderId="12" xfId="0" applyFont="1" applyBorder="1"/>
    <xf numFmtId="0" fontId="0" fillId="0" borderId="12" xfId="0" applyBorder="1"/>
    <xf numFmtId="0" fontId="75" fillId="2" borderId="0" xfId="7" applyFont="1" applyFill="1" applyAlignment="1">
      <alignment vertical="center"/>
    </xf>
    <xf numFmtId="0" fontId="3" fillId="2" borderId="0" xfId="7" applyFill="1" applyAlignment="1">
      <alignment vertical="center"/>
    </xf>
    <xf numFmtId="178" fontId="75" fillId="2" borderId="0" xfId="0" applyNumberFormat="1" applyFont="1" applyFill="1" applyAlignment="1">
      <alignment vertical="center"/>
    </xf>
    <xf numFmtId="0" fontId="75" fillId="2" borderId="0" xfId="0" applyFont="1" applyFill="1" applyAlignment="1">
      <alignment vertical="center"/>
    </xf>
    <xf numFmtId="0" fontId="3" fillId="2" borderId="38" xfId="7" applyFill="1" applyBorder="1" applyAlignment="1">
      <alignment vertical="center"/>
    </xf>
    <xf numFmtId="178" fontId="75" fillId="2" borderId="38" xfId="0" applyNumberFormat="1" applyFont="1" applyFill="1" applyBorder="1" applyAlignment="1">
      <alignment vertical="center"/>
    </xf>
    <xf numFmtId="0" fontId="75" fillId="2" borderId="38" xfId="0" applyFont="1" applyFill="1" applyBorder="1" applyAlignment="1">
      <alignment vertical="center"/>
    </xf>
    <xf numFmtId="0" fontId="75" fillId="2" borderId="32" xfId="0" applyFont="1" applyFill="1" applyBorder="1" applyAlignment="1">
      <alignment vertical="center"/>
    </xf>
    <xf numFmtId="0" fontId="0" fillId="2" borderId="33" xfId="0" applyFill="1" applyBorder="1"/>
    <xf numFmtId="0" fontId="0" fillId="2" borderId="34" xfId="0" applyFill="1" applyBorder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75" fillId="2" borderId="34" xfId="0" applyFont="1" applyFill="1" applyBorder="1" applyAlignment="1">
      <alignment vertical="center"/>
    </xf>
    <xf numFmtId="0" fontId="3" fillId="3" borderId="0" xfId="7" applyFill="1"/>
    <xf numFmtId="178" fontId="21" fillId="3" borderId="0" xfId="0" applyNumberFormat="1" applyFont="1" applyFill="1"/>
    <xf numFmtId="193" fontId="21" fillId="3" borderId="0" xfId="0" quotePrefix="1" applyNumberFormat="1" applyFont="1" applyFill="1" applyAlignment="1">
      <alignment horizontal="right"/>
    </xf>
    <xf numFmtId="0" fontId="21" fillId="3" borderId="0" xfId="0" applyFont="1" applyFill="1"/>
    <xf numFmtId="0" fontId="19" fillId="3" borderId="35" xfId="0" applyFont="1" applyFill="1" applyBorder="1" applyAlignment="1">
      <alignment vertical="center"/>
    </xf>
    <xf numFmtId="0" fontId="0" fillId="3" borderId="0" xfId="0" applyFill="1"/>
    <xf numFmtId="0" fontId="0" fillId="3" borderId="36" xfId="0" applyFill="1" applyBorder="1"/>
    <xf numFmtId="0" fontId="75" fillId="2" borderId="33" xfId="0" applyFont="1" applyFill="1" applyBorder="1" applyAlignment="1">
      <alignment vertical="center"/>
    </xf>
    <xf numFmtId="0" fontId="3" fillId="4" borderId="0" xfId="7" applyFill="1"/>
    <xf numFmtId="178" fontId="21" fillId="4" borderId="0" xfId="0" applyNumberFormat="1" applyFont="1" applyFill="1"/>
    <xf numFmtId="193" fontId="21" fillId="4" borderId="0" xfId="0" quotePrefix="1" applyNumberFormat="1" applyFont="1" applyFill="1" applyAlignment="1">
      <alignment horizontal="right"/>
    </xf>
    <xf numFmtId="0" fontId="21" fillId="4" borderId="0" xfId="0" applyFont="1" applyFill="1"/>
    <xf numFmtId="0" fontId="19" fillId="4" borderId="35" xfId="0" applyFont="1" applyFill="1" applyBorder="1" applyAlignment="1">
      <alignment vertical="center"/>
    </xf>
    <xf numFmtId="0" fontId="0" fillId="4" borderId="0" xfId="0" applyFill="1"/>
    <xf numFmtId="0" fontId="0" fillId="4" borderId="36" xfId="0" applyFill="1" applyBorder="1"/>
    <xf numFmtId="0" fontId="78" fillId="0" borderId="0" xfId="7" applyFont="1"/>
    <xf numFmtId="0" fontId="3" fillId="2" borderId="40" xfId="7" applyFill="1" applyBorder="1" applyAlignment="1">
      <alignment vertical="center"/>
    </xf>
    <xf numFmtId="0" fontId="3" fillId="2" borderId="41" xfId="7" applyFill="1" applyBorder="1" applyAlignment="1">
      <alignment vertical="center"/>
    </xf>
    <xf numFmtId="0" fontId="72" fillId="2" borderId="41" xfId="7" applyFont="1" applyFill="1" applyBorder="1" applyAlignment="1">
      <alignment vertical="center"/>
    </xf>
    <xf numFmtId="0" fontId="73" fillId="2" borderId="42" xfId="7" applyFont="1" applyFill="1" applyBorder="1" applyAlignment="1">
      <alignment horizontal="centerContinuous" vertical="center"/>
    </xf>
    <xf numFmtId="0" fontId="74" fillId="2" borderId="42" xfId="7" applyFont="1" applyFill="1" applyBorder="1" applyAlignment="1">
      <alignment horizontal="centerContinuous" vertical="center"/>
    </xf>
    <xf numFmtId="0" fontId="72" fillId="2" borderId="43" xfId="7" applyFont="1" applyFill="1" applyBorder="1" applyAlignment="1">
      <alignment vertical="center"/>
    </xf>
    <xf numFmtId="0" fontId="3" fillId="2" borderId="44" xfId="7" applyFill="1" applyBorder="1" applyAlignment="1">
      <alignment vertical="center"/>
    </xf>
    <xf numFmtId="0" fontId="72" fillId="2" borderId="45" xfId="7" applyFont="1" applyFill="1" applyBorder="1" applyAlignment="1">
      <alignment vertical="center"/>
    </xf>
    <xf numFmtId="0" fontId="3" fillId="3" borderId="44" xfId="7" applyFill="1" applyBorder="1"/>
    <xf numFmtId="0" fontId="21" fillId="3" borderId="45" xfId="0" applyFont="1" applyFill="1" applyBorder="1"/>
    <xf numFmtId="0" fontId="3" fillId="4" borderId="44" xfId="7" applyFill="1" applyBorder="1"/>
    <xf numFmtId="0" fontId="21" fillId="4" borderId="45" xfId="0" applyFont="1" applyFill="1" applyBorder="1"/>
    <xf numFmtId="0" fontId="3" fillId="0" borderId="44" xfId="7" applyBorder="1"/>
    <xf numFmtId="0" fontId="3" fillId="0" borderId="45" xfId="7" applyBorder="1"/>
    <xf numFmtId="164" fontId="3" fillId="0" borderId="45" xfId="4" applyNumberFormat="1" applyFont="1" applyBorder="1"/>
    <xf numFmtId="196" fontId="28" fillId="0" borderId="45" xfId="0" applyNumberFormat="1" applyFont="1" applyBorder="1"/>
    <xf numFmtId="0" fontId="3" fillId="0" borderId="46" xfId="7" applyBorder="1"/>
    <xf numFmtId="0" fontId="3" fillId="0" borderId="47" xfId="7" applyBorder="1"/>
    <xf numFmtId="0" fontId="3" fillId="0" borderId="47" xfId="7" applyBorder="1" applyAlignment="1">
      <alignment horizontal="left"/>
    </xf>
    <xf numFmtId="0" fontId="3" fillId="0" borderId="48" xfId="7" applyBorder="1"/>
    <xf numFmtId="0" fontId="3" fillId="2" borderId="43" xfId="7" applyFill="1" applyBorder="1" applyAlignment="1">
      <alignment vertical="center"/>
    </xf>
    <xf numFmtId="0" fontId="3" fillId="2" borderId="45" xfId="7" applyFill="1" applyBorder="1" applyAlignment="1">
      <alignment vertical="center"/>
    </xf>
    <xf numFmtId="0" fontId="3" fillId="2" borderId="49" xfId="7" applyFill="1" applyBorder="1" applyAlignment="1">
      <alignment vertical="center"/>
    </xf>
    <xf numFmtId="0" fontId="3" fillId="2" borderId="50" xfId="7" applyFill="1" applyBorder="1" applyAlignment="1">
      <alignment vertical="center"/>
    </xf>
    <xf numFmtId="171" fontId="19" fillId="6" borderId="14" xfId="0" applyNumberFormat="1" applyFont="1" applyFill="1" applyBorder="1" applyAlignment="1">
      <alignment vertical="center"/>
    </xf>
    <xf numFmtId="169" fontId="19" fillId="6" borderId="14" xfId="4" applyNumberFormat="1" applyFont="1" applyFill="1" applyBorder="1" applyAlignment="1">
      <alignment vertical="center"/>
    </xf>
    <xf numFmtId="168" fontId="0" fillId="0" borderId="0" xfId="4" applyFont="1"/>
    <xf numFmtId="168" fontId="45" fillId="0" borderId="0" xfId="4" applyFont="1" applyFill="1" applyProtection="1"/>
    <xf numFmtId="175" fontId="0" fillId="0" borderId="1" xfId="4" applyNumberFormat="1" applyFont="1" applyFill="1" applyBorder="1" applyProtection="1"/>
    <xf numFmtId="0" fontId="19" fillId="0" borderId="0" xfId="0" quotePrefix="1" applyFont="1"/>
    <xf numFmtId="0" fontId="29" fillId="5" borderId="0" xfId="9" applyFont="1" applyFill="1" applyAlignment="1">
      <alignment horizontal="center" vertical="center"/>
    </xf>
    <xf numFmtId="0" fontId="3" fillId="0" borderId="6" xfId="9" applyFont="1" applyBorder="1" applyAlignment="1">
      <alignment horizontal="center"/>
    </xf>
    <xf numFmtId="198" fontId="0" fillId="0" borderId="0" xfId="14" applyNumberFormat="1" applyFont="1" applyBorder="1"/>
    <xf numFmtId="198" fontId="0" fillId="0" borderId="0" xfId="0" applyNumberFormat="1"/>
    <xf numFmtId="0" fontId="36" fillId="0" borderId="0" xfId="7" quotePrefix="1" applyFont="1" applyAlignment="1">
      <alignment horizontal="right" vertical="center"/>
    </xf>
    <xf numFmtId="0" fontId="27" fillId="0" borderId="0" xfId="0" applyFont="1" applyAlignment="1">
      <alignment horizontal="centerContinuous"/>
    </xf>
    <xf numFmtId="0" fontId="37" fillId="0" borderId="0" xfId="0" applyFont="1" applyAlignment="1">
      <alignment horizontal="centerContinuous"/>
    </xf>
    <xf numFmtId="0" fontId="38" fillId="0" borderId="0" xfId="0" applyFont="1" applyAlignment="1">
      <alignment horizontal="centerContinuous"/>
    </xf>
    <xf numFmtId="0" fontId="27" fillId="0" borderId="12" xfId="0" applyFont="1" applyBorder="1" applyAlignment="1">
      <alignment horizontal="centerContinuous"/>
    </xf>
    <xf numFmtId="0" fontId="37" fillId="0" borderId="12" xfId="0" applyFont="1" applyBorder="1" applyAlignment="1">
      <alignment horizontal="centerContinuous"/>
    </xf>
    <xf numFmtId="0" fontId="38" fillId="0" borderId="12" xfId="0" applyFont="1" applyBorder="1" applyAlignment="1">
      <alignment horizontal="centerContinuous"/>
    </xf>
    <xf numFmtId="0" fontId="19" fillId="0" borderId="0" xfId="0" applyFont="1" applyAlignment="1">
      <alignment horizontal="centerContinuous"/>
    </xf>
    <xf numFmtId="0" fontId="39" fillId="0" borderId="1" xfId="0" applyFont="1" applyBorder="1" applyAlignment="1">
      <alignment horizontal="centerContinuous"/>
    </xf>
    <xf numFmtId="178" fontId="19" fillId="0" borderId="0" xfId="0" quotePrefix="1" applyNumberFormat="1" applyFont="1" applyAlignment="1">
      <alignment horizontal="right"/>
    </xf>
    <xf numFmtId="0" fontId="19" fillId="0" borderId="0" xfId="0" applyFont="1"/>
    <xf numFmtId="0" fontId="40" fillId="0" borderId="0" xfId="0" applyFont="1"/>
    <xf numFmtId="0" fontId="19" fillId="0" borderId="0" xfId="0" quotePrefix="1" applyFont="1" applyAlignment="1">
      <alignment horizontal="left"/>
    </xf>
    <xf numFmtId="0" fontId="5" fillId="0" borderId="0" xfId="0" applyFont="1"/>
    <xf numFmtId="171" fontId="0" fillId="0" borderId="0" xfId="0" applyNumberFormat="1"/>
    <xf numFmtId="0" fontId="5" fillId="0" borderId="0" xfId="0" quotePrefix="1" applyFont="1" applyAlignment="1">
      <alignment horizontal="left"/>
    </xf>
    <xf numFmtId="169" fontId="63" fillId="0" borderId="0" xfId="4" applyNumberFormat="1" applyFont="1" applyFill="1" applyProtection="1"/>
    <xf numFmtId="171" fontId="43" fillId="0" borderId="0" xfId="0" applyNumberFormat="1" applyFont="1"/>
    <xf numFmtId="171" fontId="28" fillId="0" borderId="0" xfId="0" applyNumberFormat="1" applyFont="1"/>
    <xf numFmtId="171" fontId="66" fillId="0" borderId="0" xfId="0" applyNumberFormat="1" applyFont="1"/>
    <xf numFmtId="169" fontId="0" fillId="0" borderId="1" xfId="4" applyNumberFormat="1" applyFont="1" applyFill="1" applyBorder="1" applyProtection="1"/>
    <xf numFmtId="0" fontId="19" fillId="0" borderId="0" xfId="0" applyFont="1" applyAlignment="1">
      <alignment horizontal="left"/>
    </xf>
    <xf numFmtId="0" fontId="36" fillId="0" borderId="0" xfId="0" quotePrefix="1" applyFont="1" applyAlignment="1">
      <alignment horizontal="left"/>
    </xf>
    <xf numFmtId="0" fontId="0" fillId="0" borderId="22" xfId="0" applyBorder="1"/>
    <xf numFmtId="0" fontId="19" fillId="0" borderId="22" xfId="0" quotePrefix="1" applyFont="1" applyBorder="1" applyAlignment="1">
      <alignment horizontal="left"/>
    </xf>
    <xf numFmtId="0" fontId="36" fillId="0" borderId="22" xfId="0" quotePrefix="1" applyFont="1" applyBorder="1" applyAlignment="1">
      <alignment horizontal="left"/>
    </xf>
    <xf numFmtId="171" fontId="28" fillId="0" borderId="1" xfId="0" applyNumberFormat="1" applyFont="1" applyBorder="1"/>
    <xf numFmtId="171" fontId="66" fillId="0" borderId="1" xfId="0" applyNumberFormat="1" applyFont="1" applyBorder="1"/>
    <xf numFmtId="0" fontId="36" fillId="0" borderId="0" xfId="0" applyFont="1"/>
    <xf numFmtId="185" fontId="0" fillId="0" borderId="0" xfId="0" applyNumberFormat="1"/>
    <xf numFmtId="0" fontId="5" fillId="0" borderId="22" xfId="0" applyFont="1" applyBorder="1"/>
    <xf numFmtId="0" fontId="33" fillId="0" borderId="1" xfId="0" applyFont="1" applyBorder="1"/>
    <xf numFmtId="0" fontId="36" fillId="0" borderId="0" xfId="0" applyFont="1" applyAlignment="1">
      <alignment horizontal="right" vertical="center"/>
    </xf>
    <xf numFmtId="0" fontId="19" fillId="0" borderId="0" xfId="0" quotePrefix="1" applyFont="1" applyAlignment="1">
      <alignment horizontal="right"/>
    </xf>
    <xf numFmtId="0" fontId="0" fillId="0" borderId="16" xfId="0" applyBorder="1"/>
    <xf numFmtId="0" fontId="0" fillId="0" borderId="17" xfId="0" applyBorder="1"/>
    <xf numFmtId="0" fontId="5" fillId="0" borderId="17" xfId="0" applyFont="1" applyBorder="1"/>
    <xf numFmtId="0" fontId="21" fillId="0" borderId="17" xfId="0" applyFont="1" applyBorder="1"/>
    <xf numFmtId="172" fontId="0" fillId="0" borderId="17" xfId="0" applyNumberFormat="1" applyBorder="1"/>
    <xf numFmtId="172" fontId="0" fillId="0" borderId="18" xfId="0" applyNumberFormat="1" applyBorder="1"/>
    <xf numFmtId="0" fontId="0" fillId="0" borderId="21" xfId="0" applyBorder="1"/>
    <xf numFmtId="0" fontId="21" fillId="0" borderId="22" xfId="0" applyFont="1" applyBorder="1"/>
    <xf numFmtId="171" fontId="0" fillId="0" borderId="22" xfId="0" applyNumberFormat="1" applyBorder="1" applyAlignment="1">
      <alignment horizontal="right"/>
    </xf>
    <xf numFmtId="185" fontId="0" fillId="0" borderId="22" xfId="0" applyNumberFormat="1" applyBorder="1" applyAlignment="1">
      <alignment horizontal="right"/>
    </xf>
    <xf numFmtId="185" fontId="0" fillId="0" borderId="23" xfId="0" applyNumberFormat="1" applyBorder="1" applyAlignment="1">
      <alignment horizontal="right"/>
    </xf>
    <xf numFmtId="0" fontId="39" fillId="0" borderId="0" xfId="0" applyFont="1"/>
    <xf numFmtId="0" fontId="39" fillId="0" borderId="0" xfId="0" applyFont="1" applyAlignment="1">
      <alignment horizontal="left"/>
    </xf>
    <xf numFmtId="172" fontId="20" fillId="0" borderId="0" xfId="4" applyNumberFormat="1" applyFont="1" applyFill="1" applyBorder="1" applyProtection="1"/>
    <xf numFmtId="172" fontId="63" fillId="0" borderId="0" xfId="4" applyNumberFormat="1" applyFont="1" applyFill="1" applyBorder="1" applyProtection="1"/>
    <xf numFmtId="172" fontId="0" fillId="0" borderId="0" xfId="4" applyNumberFormat="1" applyFont="1" applyFill="1" applyBorder="1" applyProtection="1"/>
    <xf numFmtId="172" fontId="63" fillId="0" borderId="1" xfId="4" applyNumberFormat="1" applyFont="1" applyFill="1" applyBorder="1" applyProtection="1"/>
    <xf numFmtId="172" fontId="0" fillId="0" borderId="1" xfId="4" applyNumberFormat="1" applyFont="1" applyFill="1" applyBorder="1" applyProtection="1"/>
    <xf numFmtId="0" fontId="46" fillId="0" borderId="0" xfId="0" applyFont="1"/>
    <xf numFmtId="39" fontId="20" fillId="0" borderId="0" xfId="4" applyNumberFormat="1" applyFont="1" applyFill="1" applyBorder="1" applyProtection="1"/>
    <xf numFmtId="39" fontId="0" fillId="0" borderId="0" xfId="4" applyNumberFormat="1" applyFont="1" applyFill="1" applyBorder="1" applyProtection="1"/>
    <xf numFmtId="37" fontId="0" fillId="0" borderId="0" xfId="0" applyNumberFormat="1"/>
    <xf numFmtId="37" fontId="19" fillId="0" borderId="0" xfId="4" applyNumberFormat="1" applyFont="1" applyFill="1" applyBorder="1" applyProtection="1"/>
    <xf numFmtId="173" fontId="19" fillId="0" borderId="26" xfId="4" applyNumberFormat="1" applyFont="1" applyFill="1" applyBorder="1" applyProtection="1"/>
    <xf numFmtId="0" fontId="19" fillId="0" borderId="22" xfId="0" applyFont="1" applyBorder="1"/>
    <xf numFmtId="0" fontId="46" fillId="0" borderId="22" xfId="0" applyFont="1" applyBorder="1"/>
    <xf numFmtId="37" fontId="19" fillId="0" borderId="22" xfId="4" applyNumberFormat="1" applyFont="1" applyFill="1" applyBorder="1" applyProtection="1"/>
    <xf numFmtId="0" fontId="19" fillId="0" borderId="1" xfId="0" quotePrefix="1" applyFont="1" applyBorder="1" applyAlignment="1">
      <alignment horizontal="left"/>
    </xf>
    <xf numFmtId="0" fontId="19" fillId="0" borderId="1" xfId="0" applyFont="1" applyBorder="1"/>
    <xf numFmtId="0" fontId="46" fillId="0" borderId="1" xfId="0" applyFont="1" applyBorder="1"/>
    <xf numFmtId="37" fontId="19" fillId="0" borderId="1" xfId="4" applyNumberFormat="1" applyFont="1" applyFill="1" applyBorder="1" applyProtection="1"/>
    <xf numFmtId="0" fontId="28" fillId="0" borderId="0" xfId="0" quotePrefix="1" applyFont="1"/>
    <xf numFmtId="164" fontId="20" fillId="0" borderId="0" xfId="0" applyNumberFormat="1" applyFont="1"/>
    <xf numFmtId="0" fontId="0" fillId="0" borderId="24" xfId="0" applyBorder="1"/>
    <xf numFmtId="0" fontId="0" fillId="0" borderId="25" xfId="0" applyBorder="1"/>
    <xf numFmtId="0" fontId="21" fillId="0" borderId="25" xfId="0" applyFont="1" applyBorder="1"/>
    <xf numFmtId="172" fontId="0" fillId="0" borderId="25" xfId="4" applyNumberFormat="1" applyFont="1" applyFill="1" applyBorder="1" applyAlignment="1" applyProtection="1">
      <alignment horizontal="right"/>
    </xf>
    <xf numFmtId="172" fontId="0" fillId="0" borderId="30" xfId="4" applyNumberFormat="1" applyFont="1" applyFill="1" applyBorder="1" applyAlignment="1" applyProtection="1">
      <alignment horizontal="right"/>
    </xf>
    <xf numFmtId="0" fontId="84" fillId="0" borderId="0" xfId="0" applyFont="1"/>
    <xf numFmtId="172" fontId="0" fillId="0" borderId="0" xfId="4" applyNumberFormat="1" applyFont="1" applyFill="1" applyBorder="1" applyAlignment="1" applyProtection="1">
      <alignment horizontal="right"/>
    </xf>
    <xf numFmtId="172" fontId="0" fillId="0" borderId="1" xfId="4" applyNumberFormat="1" applyFont="1" applyFill="1" applyBorder="1" applyAlignment="1" applyProtection="1">
      <alignment horizontal="right"/>
    </xf>
    <xf numFmtId="172" fontId="19" fillId="0" borderId="0" xfId="4" applyNumberFormat="1" applyFont="1" applyFill="1" applyBorder="1" applyAlignment="1" applyProtection="1">
      <alignment horizontal="right"/>
    </xf>
    <xf numFmtId="37" fontId="21" fillId="0" borderId="0" xfId="0" applyNumberFormat="1" applyFont="1"/>
    <xf numFmtId="37" fontId="20" fillId="0" borderId="0" xfId="0" applyNumberFormat="1" applyFont="1"/>
    <xf numFmtId="172" fontId="63" fillId="0" borderId="1" xfId="4" applyNumberFormat="1" applyFont="1" applyFill="1" applyBorder="1" applyAlignment="1" applyProtection="1">
      <alignment horizontal="right"/>
    </xf>
    <xf numFmtId="37" fontId="19" fillId="0" borderId="0" xfId="4" applyNumberFormat="1" applyFont="1" applyFill="1" applyBorder="1" applyAlignment="1" applyProtection="1">
      <alignment horizontal="right"/>
    </xf>
    <xf numFmtId="190" fontId="0" fillId="0" borderId="0" xfId="4" applyNumberFormat="1" applyFont="1" applyFill="1" applyBorder="1" applyProtection="1"/>
    <xf numFmtId="39" fontId="19" fillId="0" borderId="0" xfId="4" applyNumberFormat="1" applyFont="1" applyFill="1" applyBorder="1" applyProtection="1"/>
    <xf numFmtId="165" fontId="19" fillId="0" borderId="0" xfId="0" quotePrefix="1" applyNumberFormat="1" applyFont="1" applyAlignment="1">
      <alignment horizontal="left"/>
    </xf>
    <xf numFmtId="173" fontId="19" fillId="0" borderId="26" xfId="0" applyNumberFormat="1" applyFont="1" applyBorder="1"/>
    <xf numFmtId="165" fontId="19" fillId="0" borderId="0" xfId="0" applyNumberFormat="1" applyFont="1" applyAlignment="1">
      <alignment horizontal="left"/>
    </xf>
    <xf numFmtId="173" fontId="19" fillId="0" borderId="0" xfId="0" applyNumberFormat="1" applyFont="1"/>
    <xf numFmtId="168" fontId="0" fillId="0" borderId="0" xfId="4" applyFont="1" applyFill="1" applyBorder="1" applyProtection="1"/>
    <xf numFmtId="0" fontId="19" fillId="0" borderId="7" xfId="0" applyFont="1" applyBorder="1"/>
    <xf numFmtId="0" fontId="0" fillId="0" borderId="8" xfId="0" applyBorder="1"/>
    <xf numFmtId="0" fontId="33" fillId="0" borderId="8" xfId="0" applyFont="1" applyBorder="1"/>
    <xf numFmtId="170" fontId="0" fillId="0" borderId="8" xfId="4" applyNumberFormat="1" applyFont="1" applyFill="1" applyBorder="1" applyProtection="1"/>
    <xf numFmtId="170" fontId="0" fillId="0" borderId="9" xfId="4" applyNumberFormat="1" applyFont="1" applyFill="1" applyBorder="1" applyProtection="1"/>
    <xf numFmtId="0" fontId="0" fillId="0" borderId="5" xfId="0" applyBorder="1"/>
    <xf numFmtId="196" fontId="28" fillId="0" borderId="6" xfId="0" applyNumberFormat="1" applyFont="1" applyBorder="1"/>
    <xf numFmtId="9" fontId="19" fillId="0" borderId="0" xfId="0" applyNumberFormat="1" applyFont="1"/>
    <xf numFmtId="0" fontId="33" fillId="0" borderId="0" xfId="0" quotePrefix="1" applyFont="1"/>
    <xf numFmtId="0" fontId="0" fillId="0" borderId="10" xfId="0" applyBorder="1"/>
    <xf numFmtId="0" fontId="33" fillId="0" borderId="1" xfId="0" quotePrefix="1" applyFont="1" applyBorder="1"/>
    <xf numFmtId="181" fontId="28" fillId="0" borderId="1" xfId="0" applyNumberFormat="1" applyFont="1" applyBorder="1"/>
    <xf numFmtId="196" fontId="28" fillId="0" borderId="1" xfId="0" applyNumberFormat="1" applyFont="1" applyBorder="1"/>
    <xf numFmtId="171" fontId="28" fillId="0" borderId="1" xfId="15" applyNumberFormat="1" applyFont="1" applyFill="1" applyBorder="1"/>
    <xf numFmtId="0" fontId="47" fillId="0" borderId="8" xfId="0" quotePrefix="1" applyFont="1" applyBorder="1"/>
    <xf numFmtId="168" fontId="28" fillId="0" borderId="0" xfId="4" applyFont="1" applyFill="1" applyBorder="1" applyProtection="1"/>
    <xf numFmtId="0" fontId="28" fillId="0" borderId="0" xfId="0" quotePrefix="1" applyFont="1" applyAlignment="1">
      <alignment horizontal="left"/>
    </xf>
    <xf numFmtId="178" fontId="21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5" fillId="0" borderId="0" xfId="0" applyFont="1"/>
    <xf numFmtId="172" fontId="19" fillId="0" borderId="0" xfId="4" applyNumberFormat="1" applyFont="1" applyFill="1" applyProtection="1"/>
    <xf numFmtId="170" fontId="0" fillId="0" borderId="0" xfId="4" applyNumberFormat="1" applyFont="1" applyFill="1" applyProtection="1"/>
    <xf numFmtId="172" fontId="19" fillId="0" borderId="8" xfId="4" applyNumberFormat="1" applyFont="1" applyFill="1" applyBorder="1" applyProtection="1"/>
    <xf numFmtId="164" fontId="19" fillId="0" borderId="0" xfId="4" applyNumberFormat="1" applyFont="1" applyFill="1" applyProtection="1"/>
    <xf numFmtId="192" fontId="19" fillId="0" borderId="0" xfId="4" applyNumberFormat="1" applyFont="1" applyFill="1" applyProtection="1"/>
    <xf numFmtId="164" fontId="48" fillId="0" borderId="0" xfId="4" applyNumberFormat="1" applyFont="1" applyFill="1" applyProtection="1"/>
    <xf numFmtId="37" fontId="19" fillId="0" borderId="0" xfId="4" applyNumberFormat="1" applyFont="1" applyFill="1" applyProtection="1"/>
    <xf numFmtId="174" fontId="19" fillId="0" borderId="0" xfId="4" applyNumberFormat="1" applyFont="1" applyFill="1" applyProtection="1"/>
    <xf numFmtId="0" fontId="0" fillId="0" borderId="7" xfId="0" applyBorder="1"/>
    <xf numFmtId="0" fontId="19" fillId="0" borderId="8" xfId="0" quotePrefix="1" applyFont="1" applyBorder="1" applyAlignment="1">
      <alignment horizontal="left"/>
    </xf>
    <xf numFmtId="37" fontId="19" fillId="0" borderId="8" xfId="4" applyNumberFormat="1" applyFont="1" applyFill="1" applyBorder="1" applyProtection="1"/>
    <xf numFmtId="172" fontId="0" fillId="0" borderId="8" xfId="4" applyNumberFormat="1" applyFont="1" applyFill="1" applyBorder="1" applyProtection="1"/>
    <xf numFmtId="172" fontId="0" fillId="0" borderId="9" xfId="4" applyNumberFormat="1" applyFont="1" applyFill="1" applyBorder="1" applyProtection="1"/>
    <xf numFmtId="172" fontId="49" fillId="0" borderId="0" xfId="4" applyNumberFormat="1" applyFont="1" applyFill="1" applyBorder="1" applyProtection="1"/>
    <xf numFmtId="172" fontId="22" fillId="0" borderId="0" xfId="4" applyNumberFormat="1" applyFont="1" applyFill="1" applyBorder="1" applyProtection="1"/>
    <xf numFmtId="172" fontId="22" fillId="0" borderId="6" xfId="4" applyNumberFormat="1" applyFont="1" applyFill="1" applyBorder="1" applyProtection="1"/>
    <xf numFmtId="0" fontId="0" fillId="0" borderId="10" xfId="0" applyBorder="1" applyAlignment="1">
      <alignment horizontal="left"/>
    </xf>
    <xf numFmtId="197" fontId="0" fillId="0" borderId="1" xfId="4" applyNumberFormat="1" applyFont="1" applyFill="1" applyBorder="1" applyProtection="1"/>
    <xf numFmtId="197" fontId="0" fillId="0" borderId="11" xfId="4" applyNumberFormat="1" applyFont="1" applyFill="1" applyBorder="1" applyProtection="1"/>
    <xf numFmtId="0" fontId="39" fillId="0" borderId="0" xfId="0" applyFont="1" applyAlignment="1">
      <alignment horizontal="centerContinuous"/>
    </xf>
    <xf numFmtId="0" fontId="28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197" fontId="0" fillId="0" borderId="0" xfId="4" applyNumberFormat="1" applyFont="1" applyFill="1" applyBorder="1" applyProtection="1"/>
    <xf numFmtId="174" fontId="0" fillId="0" borderId="0" xfId="4" applyNumberFormat="1" applyFont="1" applyFill="1" applyProtection="1"/>
    <xf numFmtId="174" fontId="50" fillId="0" borderId="0" xfId="4" applyNumberFormat="1" applyFont="1" applyFill="1" applyBorder="1" applyProtection="1"/>
    <xf numFmtId="169" fontId="0" fillId="0" borderId="0" xfId="4" applyNumberFormat="1" applyFont="1" applyFill="1" applyBorder="1" applyProtection="1"/>
    <xf numFmtId="0" fontId="28" fillId="0" borderId="0" xfId="0" applyFont="1"/>
    <xf numFmtId="177" fontId="28" fillId="0" borderId="0" xfId="4" applyNumberFormat="1" applyFont="1" applyFill="1" applyBorder="1" applyProtection="1"/>
    <xf numFmtId="177" fontId="28" fillId="0" borderId="0" xfId="4" applyNumberFormat="1" applyFont="1" applyFill="1" applyProtection="1"/>
    <xf numFmtId="0" fontId="28" fillId="0" borderId="1" xfId="0" quotePrefix="1" applyFont="1" applyBorder="1" applyAlignment="1">
      <alignment horizontal="left"/>
    </xf>
    <xf numFmtId="177" fontId="0" fillId="0" borderId="1" xfId="0" applyNumberFormat="1" applyBorder="1"/>
    <xf numFmtId="0" fontId="51" fillId="0" borderId="0" xfId="0" applyFont="1" applyAlignment="1">
      <alignment horizontal="centerContinuous"/>
    </xf>
    <xf numFmtId="0" fontId="52" fillId="0" borderId="0" xfId="0" applyFont="1" applyAlignment="1">
      <alignment horizontal="centerContinuous"/>
    </xf>
    <xf numFmtId="0" fontId="53" fillId="0" borderId="0" xfId="0" applyFont="1" applyAlignment="1">
      <alignment horizontal="centerContinuous"/>
    </xf>
    <xf numFmtId="0" fontId="54" fillId="0" borderId="0" xfId="0" applyFont="1" applyAlignment="1">
      <alignment horizontal="centerContinuous"/>
    </xf>
    <xf numFmtId="0" fontId="46" fillId="0" borderId="0" xfId="0" applyFont="1" applyAlignment="1">
      <alignment horizontal="centerContinuous"/>
    </xf>
    <xf numFmtId="0" fontId="19" fillId="0" borderId="1" xfId="0" applyFont="1" applyBorder="1" applyAlignment="1">
      <alignment horizontal="centerContinuous"/>
    </xf>
    <xf numFmtId="0" fontId="55" fillId="0" borderId="0" xfId="0" applyFont="1" applyAlignment="1">
      <alignment horizontal="right"/>
    </xf>
    <xf numFmtId="0" fontId="21" fillId="0" borderId="0" xfId="0" quotePrefix="1" applyFont="1" applyAlignment="1">
      <alignment horizontal="right"/>
    </xf>
    <xf numFmtId="0" fontId="19" fillId="0" borderId="8" xfId="0" quotePrefix="1" applyFont="1" applyBorder="1" applyAlignment="1">
      <alignment horizontal="right"/>
    </xf>
    <xf numFmtId="0" fontId="56" fillId="0" borderId="7" xfId="0" applyFont="1" applyBorder="1" applyAlignment="1">
      <alignment horizontal="left" vertical="center"/>
    </xf>
    <xf numFmtId="184" fontId="63" fillId="0" borderId="9" xfId="0" applyNumberFormat="1" applyFont="1" applyBorder="1" applyAlignment="1">
      <alignment vertical="center"/>
    </xf>
    <xf numFmtId="191" fontId="57" fillId="0" borderId="0" xfId="0" applyNumberFormat="1" applyFont="1"/>
    <xf numFmtId="37" fontId="56" fillId="0" borderId="0" xfId="0" applyNumberFormat="1" applyFont="1"/>
    <xf numFmtId="0" fontId="56" fillId="0" borderId="10" xfId="0" applyFont="1" applyBorder="1" applyAlignment="1">
      <alignment horizontal="left" vertical="center"/>
    </xf>
    <xf numFmtId="0" fontId="56" fillId="0" borderId="1" xfId="0" quotePrefix="1" applyFont="1" applyBorder="1" applyAlignment="1">
      <alignment horizontal="left" vertical="center"/>
    </xf>
    <xf numFmtId="0" fontId="56" fillId="0" borderId="1" xfId="0" applyFont="1" applyBorder="1" applyAlignment="1">
      <alignment vertical="center"/>
    </xf>
    <xf numFmtId="184" fontId="63" fillId="0" borderId="11" xfId="0" applyNumberFormat="1" applyFont="1" applyBorder="1" applyAlignment="1">
      <alignment vertical="center"/>
    </xf>
    <xf numFmtId="191" fontId="57" fillId="0" borderId="0" xfId="0" quotePrefix="1" applyNumberFormat="1" applyFont="1"/>
    <xf numFmtId="0" fontId="56" fillId="0" borderId="0" xfId="0" applyFont="1" applyAlignment="1">
      <alignment horizontal="left" vertical="center"/>
    </xf>
    <xf numFmtId="0" fontId="56" fillId="0" borderId="0" xfId="0" quotePrefix="1" applyFont="1" applyAlignment="1">
      <alignment horizontal="left" vertical="center"/>
    </xf>
    <xf numFmtId="0" fontId="56" fillId="0" borderId="0" xfId="0" applyFont="1" applyAlignment="1">
      <alignment vertical="center"/>
    </xf>
    <xf numFmtId="184" fontId="63" fillId="0" borderId="0" xfId="0" applyNumberFormat="1" applyFont="1" applyAlignment="1">
      <alignment vertical="center"/>
    </xf>
    <xf numFmtId="0" fontId="35" fillId="0" borderId="0" xfId="0" applyFont="1" applyAlignment="1">
      <alignment vertical="center"/>
    </xf>
    <xf numFmtId="199" fontId="0" fillId="0" borderId="0" xfId="14" quotePrefix="1" applyNumberFormat="1" applyFont="1" applyFill="1"/>
    <xf numFmtId="195" fontId="0" fillId="0" borderId="0" xfId="0" applyNumberFormat="1"/>
    <xf numFmtId="173" fontId="20" fillId="0" borderId="0" xfId="0" applyNumberFormat="1" applyFont="1"/>
    <xf numFmtId="0" fontId="59" fillId="0" borderId="0" xfId="0" applyFont="1" applyAlignment="1">
      <alignment horizontal="right"/>
    </xf>
    <xf numFmtId="184" fontId="0" fillId="0" borderId="0" xfId="0" applyNumberFormat="1"/>
    <xf numFmtId="173" fontId="0" fillId="0" borderId="27" xfId="0" applyNumberFormat="1" applyBorder="1"/>
    <xf numFmtId="173" fontId="0" fillId="0" borderId="5" xfId="0" quotePrefix="1" applyNumberFormat="1" applyBorder="1"/>
    <xf numFmtId="172" fontId="56" fillId="0" borderId="0" xfId="0" applyNumberFormat="1" applyFont="1"/>
    <xf numFmtId="173" fontId="0" fillId="0" borderId="28" xfId="0" applyNumberFormat="1" applyBorder="1"/>
    <xf numFmtId="173" fontId="0" fillId="0" borderId="29" xfId="0" applyNumberFormat="1" applyBorder="1"/>
    <xf numFmtId="173" fontId="19" fillId="0" borderId="26" xfId="0" applyNumberFormat="1" applyFont="1" applyBorder="1" applyAlignment="1">
      <alignment vertical="center"/>
    </xf>
    <xf numFmtId="173" fontId="19" fillId="0" borderId="0" xfId="0" applyNumberFormat="1" applyFont="1" applyAlignment="1">
      <alignment vertical="center"/>
    </xf>
    <xf numFmtId="37" fontId="0" fillId="0" borderId="1" xfId="4" applyNumberFormat="1" applyFont="1" applyFill="1" applyBorder="1" applyProtection="1"/>
    <xf numFmtId="0" fontId="59" fillId="0" borderId="0" xfId="0" applyFont="1"/>
    <xf numFmtId="0" fontId="19" fillId="0" borderId="13" xfId="0" applyFont="1" applyBorder="1"/>
    <xf numFmtId="0" fontId="0" fillId="0" borderId="14" xfId="0" applyBorder="1"/>
    <xf numFmtId="171" fontId="67" fillId="0" borderId="15" xfId="0" applyNumberFormat="1" applyFont="1" applyBorder="1"/>
    <xf numFmtId="171" fontId="67" fillId="0" borderId="0" xfId="0" applyNumberFormat="1" applyFont="1"/>
    <xf numFmtId="37" fontId="60" fillId="0" borderId="0" xfId="0" applyNumberFormat="1" applyFont="1"/>
    <xf numFmtId="173" fontId="35" fillId="0" borderId="0" xfId="0" applyNumberFormat="1" applyFont="1"/>
    <xf numFmtId="175" fontId="63" fillId="0" borderId="1" xfId="4" applyNumberFormat="1" applyFont="1" applyFill="1" applyBorder="1" applyProtection="1"/>
    <xf numFmtId="37" fontId="35" fillId="0" borderId="0" xfId="0" applyNumberFormat="1" applyFont="1"/>
    <xf numFmtId="171" fontId="42" fillId="0" borderId="0" xfId="0" applyNumberFormat="1" applyFont="1"/>
    <xf numFmtId="37" fontId="32" fillId="0" borderId="8" xfId="0" applyNumberFormat="1" applyFont="1" applyBorder="1"/>
    <xf numFmtId="37" fontId="20" fillId="0" borderId="8" xfId="0" applyNumberFormat="1" applyFont="1" applyBorder="1"/>
    <xf numFmtId="37" fontId="20" fillId="0" borderId="9" xfId="0" applyNumberFormat="1" applyFont="1" applyBorder="1"/>
    <xf numFmtId="0" fontId="0" fillId="0" borderId="5" xfId="0" applyBorder="1" applyAlignment="1">
      <alignment horizontal="left"/>
    </xf>
    <xf numFmtId="37" fontId="29" fillId="0" borderId="0" xfId="0" applyNumberFormat="1" applyFont="1"/>
    <xf numFmtId="172" fontId="56" fillId="0" borderId="1" xfId="0" applyNumberFormat="1" applyFont="1" applyBorder="1"/>
    <xf numFmtId="0" fontId="19" fillId="0" borderId="10" xfId="0" applyFont="1" applyBorder="1"/>
    <xf numFmtId="37" fontId="53" fillId="0" borderId="1" xfId="0" applyNumberFormat="1" applyFont="1" applyBorder="1"/>
    <xf numFmtId="37" fontId="29" fillId="0" borderId="1" xfId="0" applyNumberFormat="1" applyFont="1" applyBorder="1"/>
    <xf numFmtId="37" fontId="35" fillId="0" borderId="1" xfId="0" applyNumberFormat="1" applyFont="1" applyBorder="1"/>
    <xf numFmtId="172" fontId="35" fillId="0" borderId="1" xfId="0" applyNumberFormat="1" applyFont="1" applyBorder="1"/>
    <xf numFmtId="0" fontId="62" fillId="0" borderId="0" xfId="0" applyFont="1"/>
    <xf numFmtId="37" fontId="32" fillId="0" borderId="1" xfId="0" applyNumberFormat="1" applyFont="1" applyBorder="1"/>
    <xf numFmtId="37" fontId="20" fillId="0" borderId="1" xfId="0" applyNumberFormat="1" applyFont="1" applyBorder="1"/>
    <xf numFmtId="0" fontId="5" fillId="0" borderId="25" xfId="0" applyFont="1" applyBorder="1"/>
    <xf numFmtId="184" fontId="0" fillId="0" borderId="25" xfId="0" applyNumberFormat="1" applyBorder="1"/>
    <xf numFmtId="4" fontId="19" fillId="0" borderId="0" xfId="0" applyNumberFormat="1" applyFont="1"/>
    <xf numFmtId="0" fontId="41" fillId="0" borderId="0" xfId="0" applyFont="1"/>
    <xf numFmtId="4" fontId="0" fillId="0" borderId="0" xfId="0" applyNumberFormat="1"/>
    <xf numFmtId="175" fontId="63" fillId="0" borderId="0" xfId="4" applyNumberFormat="1" applyFont="1" applyFill="1" applyProtection="1"/>
    <xf numFmtId="184" fontId="41" fillId="0" borderId="0" xfId="0" applyNumberFormat="1" applyFont="1"/>
    <xf numFmtId="175" fontId="19" fillId="0" borderId="0" xfId="0" applyNumberFormat="1" applyFont="1"/>
    <xf numFmtId="178" fontId="21" fillId="0" borderId="0" xfId="0" quotePrefix="1" applyNumberFormat="1" applyFont="1" applyAlignment="1">
      <alignment horizontal="right"/>
    </xf>
    <xf numFmtId="194" fontId="0" fillId="0" borderId="0" xfId="0" applyNumberFormat="1"/>
    <xf numFmtId="172" fontId="0" fillId="0" borderId="1" xfId="0" applyNumberFormat="1" applyBorder="1"/>
    <xf numFmtId="164" fontId="0" fillId="0" borderId="0" xfId="0" applyNumberFormat="1"/>
    <xf numFmtId="185" fontId="63" fillId="0" borderId="1" xfId="0" applyNumberFormat="1" applyFont="1" applyBorder="1"/>
    <xf numFmtId="185" fontId="0" fillId="0" borderId="1" xfId="0" applyNumberFormat="1" applyBorder="1"/>
    <xf numFmtId="173" fontId="19" fillId="0" borderId="14" xfId="0" applyNumberFormat="1" applyFont="1" applyBorder="1"/>
    <xf numFmtId="164" fontId="19" fillId="0" borderId="0" xfId="0" applyNumberFormat="1" applyFont="1"/>
    <xf numFmtId="185" fontId="63" fillId="0" borderId="0" xfId="0" applyNumberFormat="1" applyFont="1"/>
    <xf numFmtId="9" fontId="83" fillId="0" borderId="0" xfId="0" applyNumberFormat="1" applyFont="1"/>
    <xf numFmtId="172" fontId="83" fillId="0" borderId="1" xfId="0" applyNumberFormat="1" applyFont="1" applyBorder="1"/>
    <xf numFmtId="172" fontId="63" fillId="0" borderId="1" xfId="0" applyNumberFormat="1" applyFont="1" applyBorder="1"/>
    <xf numFmtId="175" fontId="32" fillId="0" borderId="16" xfId="4" applyNumberFormat="1" applyFont="1" applyFill="1" applyBorder="1" applyProtection="1"/>
    <xf numFmtId="175" fontId="32" fillId="0" borderId="17" xfId="4" applyNumberFormat="1" applyFont="1" applyFill="1" applyBorder="1" applyProtection="1"/>
    <xf numFmtId="175" fontId="32" fillId="0" borderId="18" xfId="0" applyNumberFormat="1" applyFont="1" applyBorder="1"/>
    <xf numFmtId="175" fontId="33" fillId="0" borderId="19" xfId="4" applyNumberFormat="1" applyFont="1" applyFill="1" applyBorder="1" applyProtection="1"/>
    <xf numFmtId="175" fontId="33" fillId="0" borderId="0" xfId="4" applyNumberFormat="1" applyFont="1" applyFill="1" applyBorder="1" applyProtection="1"/>
    <xf numFmtId="175" fontId="33" fillId="0" borderId="20" xfId="4" applyNumberFormat="1" applyFont="1" applyFill="1" applyBorder="1" applyProtection="1"/>
    <xf numFmtId="169" fontId="33" fillId="0" borderId="21" xfId="4" applyNumberFormat="1" applyFont="1" applyFill="1" applyBorder="1"/>
    <xf numFmtId="169" fontId="33" fillId="0" borderId="22" xfId="4" applyNumberFormat="1" applyFont="1" applyFill="1" applyBorder="1"/>
    <xf numFmtId="169" fontId="33" fillId="0" borderId="23" xfId="4" applyNumberFormat="1" applyFont="1" applyFill="1" applyBorder="1"/>
    <xf numFmtId="187" fontId="3" fillId="0" borderId="0" xfId="9" applyNumberFormat="1" applyFont="1" applyAlignment="1">
      <alignment horizontal="left"/>
    </xf>
    <xf numFmtId="175" fontId="20" fillId="0" borderId="36" xfId="0" applyNumberFormat="1" applyFont="1" applyBorder="1"/>
    <xf numFmtId="0" fontId="19" fillId="0" borderId="35" xfId="0" applyFont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175" fontId="20" fillId="0" borderId="38" xfId="0" applyNumberFormat="1" applyFont="1" applyBorder="1"/>
    <xf numFmtId="175" fontId="20" fillId="0" borderId="39" xfId="0" applyNumberFormat="1" applyFont="1" applyBorder="1"/>
    <xf numFmtId="179" fontId="0" fillId="0" borderId="0" xfId="0" applyNumberFormat="1" applyAlignment="1">
      <alignment horizontal="left"/>
    </xf>
    <xf numFmtId="3" fontId="20" fillId="0" borderId="36" xfId="0" applyNumberFormat="1" applyFont="1" applyBorder="1" applyAlignment="1">
      <alignment horizontal="right"/>
    </xf>
    <xf numFmtId="171" fontId="20" fillId="0" borderId="36" xfId="0" quotePrefix="1" applyNumberFormat="1" applyFont="1" applyBorder="1" applyAlignment="1">
      <alignment horizontal="right"/>
    </xf>
    <xf numFmtId="3" fontId="20" fillId="0" borderId="39" xfId="0" applyNumberFormat="1" applyFont="1" applyBorder="1" applyAlignment="1">
      <alignment horizontal="right"/>
    </xf>
    <xf numFmtId="0" fontId="0" fillId="0" borderId="37" xfId="0" quotePrefix="1" applyBorder="1" applyAlignment="1">
      <alignment horizontal="left"/>
    </xf>
    <xf numFmtId="173" fontId="20" fillId="0" borderId="39" xfId="0" applyNumberFormat="1" applyFont="1" applyBorder="1" applyAlignment="1">
      <alignment horizontal="right"/>
    </xf>
    <xf numFmtId="188" fontId="20" fillId="0" borderId="0" xfId="0" applyNumberFormat="1" applyFont="1"/>
    <xf numFmtId="180" fontId="0" fillId="0" borderId="35" xfId="0" applyNumberFormat="1" applyBorder="1" applyAlignment="1">
      <alignment horizontal="left"/>
    </xf>
    <xf numFmtId="171" fontId="20" fillId="0" borderId="36" xfId="0" applyNumberFormat="1" applyFont="1" applyBorder="1" applyAlignment="1">
      <alignment horizontal="right"/>
    </xf>
    <xf numFmtId="0" fontId="0" fillId="0" borderId="35" xfId="0" applyBorder="1" applyAlignment="1">
      <alignment horizontal="left"/>
    </xf>
    <xf numFmtId="0" fontId="20" fillId="0" borderId="0" xfId="0" applyFont="1"/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/>
    </xf>
    <xf numFmtId="188" fontId="20" fillId="0" borderId="38" xfId="0" applyNumberFormat="1" applyFont="1" applyBorder="1"/>
    <xf numFmtId="0" fontId="0" fillId="0" borderId="39" xfId="0" applyBorder="1"/>
    <xf numFmtId="0" fontId="0" fillId="0" borderId="37" xfId="0" applyBorder="1"/>
    <xf numFmtId="0" fontId="0" fillId="0" borderId="36" xfId="0" applyBorder="1" applyAlignment="1">
      <alignment horizontal="centerContinuous"/>
    </xf>
    <xf numFmtId="0" fontId="19" fillId="0" borderId="0" xfId="0" applyFont="1" applyAlignment="1">
      <alignment horizontal="left" vertical="center"/>
    </xf>
    <xf numFmtId="187" fontId="20" fillId="0" borderId="0" xfId="0" quotePrefix="1" applyNumberFormat="1" applyFont="1" applyAlignment="1">
      <alignment horizontal="centerContinuous"/>
    </xf>
    <xf numFmtId="9" fontId="0" fillId="0" borderId="36" xfId="15" applyFont="1" applyFill="1" applyBorder="1"/>
    <xf numFmtId="187" fontId="20" fillId="0" borderId="38" xfId="0" quotePrefix="1" applyNumberFormat="1" applyFont="1" applyBorder="1" applyAlignment="1">
      <alignment horizontal="centerContinuous"/>
    </xf>
    <xf numFmtId="0" fontId="0" fillId="0" borderId="38" xfId="0" applyBorder="1" applyAlignment="1">
      <alignment horizontal="centerContinuous"/>
    </xf>
    <xf numFmtId="0" fontId="0" fillId="0" borderId="39" xfId="0" applyBorder="1" applyAlignment="1">
      <alignment horizontal="centerContinuous"/>
    </xf>
    <xf numFmtId="37" fontId="20" fillId="0" borderId="36" xfId="0" applyNumberFormat="1" applyFont="1" applyBorder="1" applyAlignment="1">
      <alignment horizontal="right"/>
    </xf>
    <xf numFmtId="0" fontId="20" fillId="0" borderId="52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166" fontId="20" fillId="0" borderId="53" xfId="0" applyNumberFormat="1" applyFont="1" applyBorder="1" applyAlignment="1">
      <alignment horizontal="right"/>
    </xf>
    <xf numFmtId="39" fontId="20" fillId="0" borderId="36" xfId="0" applyNumberFormat="1" applyFont="1" applyBorder="1" applyAlignment="1">
      <alignment horizontal="right"/>
    </xf>
    <xf numFmtId="37" fontId="20" fillId="0" borderId="38" xfId="0" applyNumberFormat="1" applyFont="1" applyBorder="1" applyAlignment="1">
      <alignment horizontal="right"/>
    </xf>
    <xf numFmtId="171" fontId="20" fillId="0" borderId="39" xfId="0" quotePrefix="1" applyNumberFormat="1" applyFont="1" applyBorder="1" applyAlignment="1">
      <alignment horizontal="right"/>
    </xf>
    <xf numFmtId="175" fontId="20" fillId="0" borderId="0" xfId="0" applyNumberFormat="1" applyFont="1"/>
    <xf numFmtId="9" fontId="20" fillId="0" borderId="0" xfId="15" applyFont="1" applyFill="1" applyBorder="1"/>
    <xf numFmtId="9" fontId="3" fillId="0" borderId="36" xfId="15" applyFont="1" applyFill="1" applyBorder="1"/>
    <xf numFmtId="164" fontId="79" fillId="0" borderId="0" xfId="4" applyNumberFormat="1" applyFont="1" applyFill="1" applyBorder="1"/>
    <xf numFmtId="0" fontId="79" fillId="0" borderId="0" xfId="7" applyFont="1"/>
    <xf numFmtId="196" fontId="80" fillId="0" borderId="0" xfId="0" applyNumberFormat="1" applyFont="1"/>
    <xf numFmtId="0" fontId="79" fillId="0" borderId="51" xfId="7" applyFont="1" applyBorder="1"/>
    <xf numFmtId="0" fontId="81" fillId="0" borderId="0" xfId="7" applyFont="1"/>
    <xf numFmtId="164" fontId="3" fillId="0" borderId="0" xfId="4" applyNumberFormat="1" applyFont="1" applyFill="1" applyBorder="1"/>
    <xf numFmtId="196" fontId="62" fillId="0" borderId="0" xfId="0" applyNumberFormat="1" applyFont="1"/>
    <xf numFmtId="0" fontId="8" fillId="0" borderId="31" xfId="13" applyFont="1" applyBorder="1" applyProtection="1">
      <protection locked="0"/>
    </xf>
    <xf numFmtId="0" fontId="8" fillId="0" borderId="0" xfId="13" applyFont="1" applyProtection="1">
      <protection locked="0"/>
    </xf>
    <xf numFmtId="0" fontId="9" fillId="0" borderId="0" xfId="13" applyFont="1" applyProtection="1">
      <protection locked="0"/>
    </xf>
    <xf numFmtId="0" fontId="14" fillId="0" borderId="0" xfId="13" applyFont="1"/>
    <xf numFmtId="0" fontId="10" fillId="0" borderId="0" xfId="13" applyFont="1" applyProtection="1">
      <protection locked="0"/>
    </xf>
    <xf numFmtId="0" fontId="82" fillId="0" borderId="0" xfId="13" applyFont="1" applyProtection="1">
      <protection locked="0"/>
    </xf>
    <xf numFmtId="0" fontId="11" fillId="0" borderId="0" xfId="13" applyFont="1" applyProtection="1">
      <protection locked="0"/>
    </xf>
    <xf numFmtId="186" fontId="12" fillId="0" borderId="0" xfId="8" applyNumberFormat="1" applyFont="1" applyAlignment="1" applyProtection="1">
      <alignment horizontal="left" wrapText="1"/>
      <protection locked="0"/>
    </xf>
    <xf numFmtId="0" fontId="77" fillId="0" borderId="0" xfId="13" applyFont="1" applyProtection="1">
      <protection locked="0"/>
    </xf>
    <xf numFmtId="0" fontId="15" fillId="0" borderId="0" xfId="13" applyFont="1"/>
    <xf numFmtId="0" fontId="13" fillId="0" borderId="0" xfId="13" applyFont="1" applyProtection="1">
      <protection locked="0"/>
    </xf>
    <xf numFmtId="0" fontId="8" fillId="0" borderId="0" xfId="13" applyFont="1"/>
    <xf numFmtId="0" fontId="14" fillId="0" borderId="0" xfId="13" applyFont="1" applyProtection="1">
      <protection locked="0"/>
    </xf>
    <xf numFmtId="0" fontId="8" fillId="0" borderId="12" xfId="13" applyFont="1" applyBorder="1" applyProtection="1">
      <protection locked="0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56" fillId="0" borderId="0" xfId="0" applyFont="1"/>
    <xf numFmtId="0" fontId="0" fillId="0" borderId="0" xfId="0" applyAlignment="1">
      <alignment horizontal="center"/>
    </xf>
  </cellXfs>
  <cellStyles count="16">
    <cellStyle name="Across" xfId="1" xr:uid="{00000000-0005-0000-0000-000000000000}"/>
    <cellStyle name="Bottom" xfId="2" xr:uid="{00000000-0005-0000-0000-000001000000}"/>
    <cellStyle name="Center" xfId="3" xr:uid="{00000000-0005-0000-0000-000002000000}"/>
    <cellStyle name="Comma" xfId="4" builtinId="3"/>
    <cellStyle name="Currency" xfId="14" builtinId="4"/>
    <cellStyle name="Currency [2]" xfId="5" xr:uid="{00000000-0005-0000-0000-000004000000}"/>
    <cellStyle name="Double" xfId="6" xr:uid="{00000000-0005-0000-0000-000005000000}"/>
    <cellStyle name="Normal" xfId="0" builtinId="0"/>
    <cellStyle name="Normal 2" xfId="13" xr:uid="{00000000-0005-0000-0000-000007000000}"/>
    <cellStyle name="Normal_DrydenNewDCF3" xfId="7" xr:uid="{00000000-0005-0000-0000-000008000000}"/>
    <cellStyle name="Normal_Inverness Drive Model 4-26-02" xfId="8" xr:uid="{00000000-0005-0000-0000-000009000000}"/>
    <cellStyle name="Normal_TrainingDCF1" xfId="9" xr:uid="{00000000-0005-0000-0000-00000A000000}"/>
    <cellStyle name="Numbers" xfId="10" xr:uid="{00000000-0005-0000-0000-00000B000000}"/>
    <cellStyle name="Numbers - Bold - Italic" xfId="11" xr:uid="{00000000-0005-0000-0000-00000C000000}"/>
    <cellStyle name="Outline" xfId="12" xr:uid="{00000000-0005-0000-0000-00000D000000}"/>
    <cellStyle name="Per cent" xfId="15" builtinId="5"/>
  </cellStyles>
  <dxfs count="2"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</dxfs>
  <tableStyles count="0" defaultTableStyle="TableStyleMedium9" defaultPivotStyle="PivotStyleLight16"/>
  <colors>
    <mruColors>
      <color rgb="FF4586BB"/>
      <color rgb="FFFFFF99"/>
      <color rgb="FF009966"/>
      <color rgb="FF0000FF"/>
      <color rgb="FF5B77CC"/>
      <color rgb="FF002F6C"/>
      <color rgb="FF008ED6"/>
      <color rgb="FF6B72A9"/>
      <color rgb="FF6B729F"/>
      <color rgb="FF827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48" fmlaLink="$D$6" fmlaRange="$C$14:$C$16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1207770</xdr:colOff>
          <xdr:row>4</xdr:row>
          <xdr:rowOff>49530</xdr:rowOff>
        </xdr:from>
        <xdr:to>
          <xdr:col>4</xdr:col>
          <xdr:colOff>91440</xdr:colOff>
          <xdr:row>6</xdr:row>
          <xdr:rowOff>41910</xdr:rowOff>
        </xdr:to>
        <xdr:sp macro="" textlink="">
          <xdr:nvSpPr>
            <xdr:cNvPr id="12290" name="Drop Dow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3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FE7B-4244-47C2-A493-3F69D3B7C910}">
  <dimension ref="A1:L28"/>
  <sheetViews>
    <sheetView showGridLines="0" tabSelected="1" zoomScale="60" zoomScaleNormal="60" workbookViewId="0">
      <selection activeCell="G24" sqref="G24"/>
    </sheetView>
  </sheetViews>
  <sheetFormatPr defaultRowHeight="15"/>
  <cols>
    <col min="1" max="1" width="5.27734375" style="521" customWidth="1"/>
    <col min="2" max="2" width="23.5546875" style="521" customWidth="1"/>
    <col min="3" max="11" width="12.44140625" style="521"/>
    <col min="12" max="12" width="2.83203125" style="521" customWidth="1"/>
  </cols>
  <sheetData>
    <row r="1" spans="1:10" s="521" customFormat="1">
      <c r="A1" s="520"/>
      <c r="B1" s="520"/>
      <c r="C1" s="520"/>
      <c r="D1" s="520"/>
      <c r="E1" s="520"/>
      <c r="F1" s="520"/>
      <c r="G1" s="520"/>
      <c r="H1" s="520"/>
      <c r="I1" s="520"/>
      <c r="J1" s="520"/>
    </row>
    <row r="2" spans="1:10" s="521" customFormat="1"/>
    <row r="3" spans="1:10" s="521" customFormat="1"/>
    <row r="4" spans="1:10" s="521" customFormat="1" ht="30.3">
      <c r="D4" s="522"/>
    </row>
    <row r="5" spans="1:10" s="521" customFormat="1"/>
    <row r="6" spans="1:10" s="521" customFormat="1" ht="22.2">
      <c r="B6" s="523" t="s">
        <v>207</v>
      </c>
      <c r="D6" s="524"/>
    </row>
    <row r="7" spans="1:10" s="521" customFormat="1">
      <c r="G7" s="525"/>
    </row>
    <row r="8" spans="1:10" s="521" customFormat="1"/>
    <row r="9" spans="1:10" s="521" customFormat="1"/>
    <row r="10" spans="1:10" s="521" customFormat="1" ht="30.3">
      <c r="B10" s="526"/>
    </row>
    <row r="11" spans="1:10" s="521" customFormat="1" ht="17.399999999999999">
      <c r="B11" s="527"/>
      <c r="C11" s="527"/>
      <c r="D11" s="527"/>
    </row>
    <row r="12" spans="1:10" s="521" customFormat="1" ht="35.1">
      <c r="B12" s="528" t="s">
        <v>206</v>
      </c>
    </row>
    <row r="13" spans="1:10" s="521" customFormat="1" ht="20.2" customHeight="1">
      <c r="B13" s="527">
        <v>45147</v>
      </c>
      <c r="C13" s="527"/>
      <c r="D13" s="527"/>
    </row>
    <row r="14" spans="1:10" s="521" customFormat="1"/>
    <row r="15" spans="1:10" s="521" customFormat="1" ht="16" customHeight="1"/>
    <row r="16" spans="1:10" s="521" customFormat="1"/>
    <row r="17" spans="1:10" s="521" customFormat="1"/>
    <row r="18" spans="1:10" s="521" customFormat="1"/>
    <row r="19" spans="1:10" s="521" customFormat="1"/>
    <row r="20" spans="1:10" s="521" customFormat="1"/>
    <row r="21" spans="1:10" s="521" customFormat="1"/>
    <row r="22" spans="1:10" s="521" customFormat="1"/>
    <row r="23" spans="1:10" s="521" customFormat="1"/>
    <row r="24" spans="1:10" s="521" customFormat="1" ht="19" customHeight="1">
      <c r="B24" s="529" t="s">
        <v>196</v>
      </c>
      <c r="D24" s="530"/>
      <c r="H24" s="531"/>
    </row>
    <row r="25" spans="1:10" s="521" customFormat="1" ht="19" customHeight="1">
      <c r="D25" s="532"/>
    </row>
    <row r="26" spans="1:10" s="521" customFormat="1"/>
    <row r="27" spans="1:10" s="521" customFormat="1"/>
    <row r="28" spans="1:10" s="521" customFormat="1" ht="15.3" thickBot="1">
      <c r="A28" s="533"/>
      <c r="B28" s="533"/>
      <c r="C28" s="533"/>
      <c r="D28" s="533"/>
      <c r="E28" s="533"/>
      <c r="F28" s="533"/>
      <c r="G28" s="533"/>
      <c r="H28" s="533"/>
      <c r="I28" s="533"/>
      <c r="J28" s="533"/>
    </row>
  </sheetData>
  <printOptions horizontalCentered="1"/>
  <pageMargins left="0.23622047244094491" right="0.23622047244094491" top="0.35433070866141736" bottom="0.35433070866141736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AF66"/>
  <sheetViews>
    <sheetView showGridLines="0" zoomScale="70" zoomScaleNormal="70" workbookViewId="0">
      <selection activeCell="E63" sqref="E63"/>
    </sheetView>
  </sheetViews>
  <sheetFormatPr defaultColWidth="10.71875" defaultRowHeight="12.3"/>
  <cols>
    <col min="1" max="1" width="2.5546875" style="128" customWidth="1"/>
    <col min="2" max="2" width="4.71875" style="128" customWidth="1"/>
    <col min="3" max="4" width="1.71875" style="128" customWidth="1"/>
    <col min="5" max="5" width="20.71875" style="128" customWidth="1"/>
    <col min="6" max="6" width="9.27734375" style="128" customWidth="1"/>
    <col min="7" max="7" width="1.83203125" style="128" customWidth="1"/>
    <col min="8" max="15" width="9.27734375" style="128" customWidth="1"/>
    <col min="16" max="16" width="1.71875" style="128" customWidth="1"/>
    <col min="17" max="17" width="4.71875" style="128" customWidth="1"/>
    <col min="18" max="19" width="2.71875" style="128" customWidth="1"/>
    <col min="20" max="21" width="1.71875" style="128" customWidth="1"/>
    <col min="22" max="22" width="20.71875" style="128" customWidth="1"/>
    <col min="23" max="31" width="9.27734375" style="128" customWidth="1"/>
    <col min="32" max="32" width="1.71875" style="128" customWidth="1"/>
    <col min="33" max="16384" width="10.71875" style="128"/>
  </cols>
  <sheetData>
    <row r="1" spans="2:32" ht="22.75" customHeight="1">
      <c r="B1" s="125" t="str">
        <f>Cover!B12</f>
        <v>Dummy Co.</v>
      </c>
      <c r="C1" s="126"/>
      <c r="D1" s="126"/>
      <c r="E1" s="126"/>
      <c r="F1" s="126"/>
      <c r="G1" s="126"/>
      <c r="H1" s="127"/>
      <c r="I1" s="127"/>
      <c r="J1" s="127"/>
      <c r="K1" s="127"/>
      <c r="L1" s="127"/>
      <c r="M1" s="127"/>
      <c r="N1" s="127"/>
      <c r="O1" s="127"/>
      <c r="P1" s="127"/>
      <c r="Q1" s="127"/>
      <c r="T1" s="126"/>
      <c r="U1" s="126"/>
      <c r="V1" s="126"/>
      <c r="W1" s="126"/>
      <c r="X1" s="127"/>
      <c r="Y1" s="127"/>
      <c r="Z1" s="127"/>
      <c r="AA1" s="127"/>
      <c r="AB1" s="127"/>
      <c r="AC1" s="127"/>
      <c r="AD1" s="127"/>
      <c r="AE1" s="127"/>
    </row>
    <row r="2" spans="2:32" ht="17.7">
      <c r="B2" s="129" t="s">
        <v>179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</row>
    <row r="3" spans="2:32" ht="3" customHeight="1" thickBot="1"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</row>
    <row r="4" spans="2:32" ht="10" customHeight="1"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O4" s="130"/>
      <c r="P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</row>
    <row r="5" spans="2:32" ht="15" customHeight="1">
      <c r="C5" s="131" t="s">
        <v>148</v>
      </c>
      <c r="D5" s="132"/>
      <c r="E5" s="132"/>
      <c r="F5" s="132"/>
      <c r="G5" s="132"/>
      <c r="H5" s="130"/>
      <c r="I5" s="130"/>
      <c r="J5" s="130"/>
      <c r="K5" s="130"/>
      <c r="L5" s="130"/>
      <c r="M5" s="130"/>
      <c r="N5" s="130"/>
      <c r="O5" s="130"/>
      <c r="P5" s="130"/>
      <c r="T5" s="131" t="str">
        <f>"SUMMMARY VALUES - "&amp;UPPER(CHOOSE(Scenarios!$D$6,Scenarios!C14,Scenarios!C15,Scenarios!C16))</f>
        <v>SUMMMARY VALUES - BASE CASE</v>
      </c>
      <c r="U5" s="132"/>
      <c r="V5" s="132"/>
      <c r="W5" s="132"/>
      <c r="X5" s="130"/>
      <c r="Y5" s="130"/>
      <c r="Z5" s="130"/>
      <c r="AA5" s="130"/>
      <c r="AB5" s="130"/>
      <c r="AC5" s="130"/>
      <c r="AD5" s="130"/>
      <c r="AE5" s="130"/>
    </row>
    <row r="6" spans="2:32" s="147" customFormat="1" ht="15" customHeight="1">
      <c r="C6" s="212"/>
      <c r="D6" s="213"/>
      <c r="E6" s="213"/>
      <c r="F6" s="213"/>
      <c r="G6" s="213"/>
      <c r="H6" s="214"/>
      <c r="I6" s="214"/>
      <c r="J6" s="214"/>
      <c r="K6" s="215" t="s">
        <v>2</v>
      </c>
      <c r="L6" s="216"/>
      <c r="M6" s="216"/>
      <c r="N6" s="216"/>
      <c r="O6" s="216"/>
      <c r="P6" s="217"/>
      <c r="T6" s="148"/>
      <c r="U6" s="149"/>
      <c r="V6" s="149"/>
      <c r="W6" s="149"/>
      <c r="X6" s="149"/>
      <c r="Y6" s="149"/>
      <c r="Z6" s="149"/>
      <c r="AA6" s="150" t="s">
        <v>2</v>
      </c>
      <c r="AB6" s="151"/>
      <c r="AC6" s="151"/>
      <c r="AD6" s="151"/>
      <c r="AE6" s="151"/>
      <c r="AF6" s="152"/>
    </row>
    <row r="7" spans="2:32" s="147" customFormat="1" ht="15" customHeight="1">
      <c r="C7" s="218"/>
      <c r="D7" s="183" t="s">
        <v>172</v>
      </c>
      <c r="E7" s="184"/>
      <c r="F7" s="183" t="s">
        <v>194</v>
      </c>
      <c r="G7" s="184"/>
      <c r="H7" s="185">
        <f>X7</f>
        <v>2020</v>
      </c>
      <c r="I7" s="185">
        <f t="shared" ref="I7:O7" si="0">Y7</f>
        <v>2021</v>
      </c>
      <c r="J7" s="185">
        <f t="shared" si="0"/>
        <v>2022</v>
      </c>
      <c r="K7" s="186">
        <f t="shared" si="0"/>
        <v>2023</v>
      </c>
      <c r="L7" s="186">
        <f t="shared" si="0"/>
        <v>2024</v>
      </c>
      <c r="M7" s="186">
        <f t="shared" si="0"/>
        <v>2025</v>
      </c>
      <c r="N7" s="186">
        <f t="shared" si="0"/>
        <v>2026</v>
      </c>
      <c r="O7" s="186">
        <f t="shared" si="0"/>
        <v>2027</v>
      </c>
      <c r="P7" s="219"/>
      <c r="T7" s="153"/>
      <c r="U7" s="154"/>
      <c r="V7" s="154"/>
      <c r="W7" s="154"/>
      <c r="X7" s="155">
        <f>Model!H7</f>
        <v>2020</v>
      </c>
      <c r="Y7" s="155">
        <f>Model!I7</f>
        <v>2021</v>
      </c>
      <c r="Z7" s="155">
        <f>Model!J7</f>
        <v>2022</v>
      </c>
      <c r="AA7" s="156">
        <f>Model!K7</f>
        <v>2023</v>
      </c>
      <c r="AB7" s="156">
        <f>Model!L7</f>
        <v>2024</v>
      </c>
      <c r="AC7" s="156">
        <f>Model!M7</f>
        <v>2025</v>
      </c>
      <c r="AD7" s="156">
        <f>Model!N7</f>
        <v>2026</v>
      </c>
      <c r="AE7" s="156">
        <f>Model!O7</f>
        <v>2027</v>
      </c>
      <c r="AF7" s="157"/>
    </row>
    <row r="8" spans="2:32" ht="3" customHeight="1">
      <c r="C8" s="220"/>
      <c r="D8" s="196"/>
      <c r="E8" s="196"/>
      <c r="F8" s="196"/>
      <c r="G8" s="196"/>
      <c r="H8" s="197"/>
      <c r="I8" s="197"/>
      <c r="J8" s="198"/>
      <c r="K8" s="199"/>
      <c r="L8" s="199"/>
      <c r="M8" s="199"/>
      <c r="N8" s="199"/>
      <c r="O8" s="199"/>
      <c r="P8" s="221"/>
      <c r="T8" s="133"/>
      <c r="X8" s="136"/>
      <c r="Y8" s="136"/>
      <c r="Z8" s="137"/>
      <c r="AA8" s="16"/>
      <c r="AB8" s="16"/>
      <c r="AC8" s="16"/>
      <c r="AD8" s="16"/>
      <c r="AE8" s="16"/>
      <c r="AF8" s="135"/>
    </row>
    <row r="9" spans="2:32" ht="3" customHeight="1">
      <c r="C9" s="222"/>
      <c r="D9" s="204"/>
      <c r="E9" s="204"/>
      <c r="F9" s="204"/>
      <c r="G9" s="204"/>
      <c r="H9" s="205"/>
      <c r="I9" s="205"/>
      <c r="J9" s="206"/>
      <c r="K9" s="207"/>
      <c r="L9" s="207"/>
      <c r="M9" s="207"/>
      <c r="N9" s="207"/>
      <c r="O9" s="207"/>
      <c r="P9" s="223"/>
      <c r="T9" s="133"/>
      <c r="X9" s="136"/>
      <c r="Y9" s="136"/>
      <c r="Z9" s="137"/>
      <c r="AA9" s="16"/>
      <c r="AB9" s="16"/>
      <c r="AC9" s="16"/>
      <c r="AD9" s="16"/>
      <c r="AE9" s="16"/>
      <c r="AF9" s="135"/>
    </row>
    <row r="10" spans="2:32" ht="13" customHeight="1">
      <c r="C10" s="224"/>
      <c r="D10" s="138" t="s">
        <v>142</v>
      </c>
      <c r="P10" s="225"/>
      <c r="T10" s="133"/>
      <c r="U10" s="138" t="s">
        <v>142</v>
      </c>
      <c r="AF10" s="135"/>
    </row>
    <row r="11" spans="2:32" ht="3" customHeight="1">
      <c r="C11" s="224"/>
      <c r="D11" s="138"/>
      <c r="P11" s="225"/>
      <c r="T11" s="133"/>
      <c r="U11" s="138"/>
      <c r="AF11" s="135"/>
    </row>
    <row r="12" spans="2:32">
      <c r="C12" s="224"/>
      <c r="E12" s="128" t="s">
        <v>3</v>
      </c>
      <c r="F12" s="211"/>
      <c r="H12" s="513">
        <v>213.49999999999997</v>
      </c>
      <c r="I12" s="513">
        <v>236.60000000000002</v>
      </c>
      <c r="J12" s="513">
        <v>204.79999999999998</v>
      </c>
      <c r="K12" s="513">
        <v>252.46209677419353</v>
      </c>
      <c r="L12" s="513">
        <v>233.58111483870971</v>
      </c>
      <c r="M12" s="513">
        <v>281.23110855638714</v>
      </c>
      <c r="N12" s="513">
        <v>281.22955436627001</v>
      </c>
      <c r="O12" s="513">
        <v>268.17287049000004</v>
      </c>
      <c r="P12" s="225"/>
      <c r="T12" s="133"/>
      <c r="V12" s="128" t="s">
        <v>3</v>
      </c>
      <c r="W12" s="139" t="s">
        <v>168</v>
      </c>
      <c r="X12" s="518">
        <f>Model!H85</f>
        <v>213.49999999999997</v>
      </c>
      <c r="Y12" s="518">
        <f>Model!I85</f>
        <v>236.60000000000002</v>
      </c>
      <c r="Z12" s="518">
        <f>Model!J85</f>
        <v>204.79999999999998</v>
      </c>
      <c r="AA12" s="518">
        <f>Model!K85</f>
        <v>252.46209677419353</v>
      </c>
      <c r="AB12" s="518">
        <f>Model!L85</f>
        <v>233.58111483870971</v>
      </c>
      <c r="AC12" s="518">
        <f ca="1">Model!M85</f>
        <v>281.23110855638714</v>
      </c>
      <c r="AD12" s="518">
        <f ca="1">Model!N85</f>
        <v>281.22955436627001</v>
      </c>
      <c r="AE12" s="518">
        <f ca="1">Model!O85</f>
        <v>268.17287049000004</v>
      </c>
      <c r="AF12" s="135"/>
    </row>
    <row r="13" spans="2:32">
      <c r="C13" s="224"/>
      <c r="E13" s="141" t="s">
        <v>149</v>
      </c>
      <c r="F13" s="142"/>
      <c r="G13" s="141"/>
      <c r="H13" s="514"/>
      <c r="I13" s="515">
        <v>0.10819672131147562</v>
      </c>
      <c r="J13" s="515">
        <v>-0.13440405748098072</v>
      </c>
      <c r="K13" s="515">
        <v>0.23272508190524199</v>
      </c>
      <c r="L13" s="515">
        <v>-7.4787392550143106E-2</v>
      </c>
      <c r="M13" s="515">
        <v>0.203997629476939</v>
      </c>
      <c r="N13" s="515">
        <v>-5.5263805099903252E-6</v>
      </c>
      <c r="O13" s="515">
        <v>-4.6427139941576323E-2</v>
      </c>
      <c r="P13" s="225"/>
      <c r="T13" s="133"/>
      <c r="V13" s="141" t="s">
        <v>149</v>
      </c>
      <c r="W13" s="142" t="s">
        <v>110</v>
      </c>
      <c r="Y13" s="519">
        <f t="shared" ref="Y13:AE13" si="1">Y12/X12-1</f>
        <v>0.10819672131147562</v>
      </c>
      <c r="Z13" s="519">
        <f t="shared" si="1"/>
        <v>-0.13440405748098072</v>
      </c>
      <c r="AA13" s="519">
        <f t="shared" si="1"/>
        <v>0.23272508190524199</v>
      </c>
      <c r="AB13" s="519">
        <f t="shared" si="1"/>
        <v>-7.4787392550143106E-2</v>
      </c>
      <c r="AC13" s="519">
        <f t="shared" ca="1" si="1"/>
        <v>0.203997629476939</v>
      </c>
      <c r="AD13" s="519">
        <f t="shared" ca="1" si="1"/>
        <v>-5.5263805099903252E-6</v>
      </c>
      <c r="AE13" s="519">
        <f t="shared" ca="1" si="1"/>
        <v>-4.6427139941576323E-2</v>
      </c>
      <c r="AF13" s="135"/>
    </row>
    <row r="14" spans="2:32" ht="3" customHeight="1">
      <c r="C14" s="224"/>
      <c r="E14" s="176"/>
      <c r="F14" s="176"/>
      <c r="G14" s="176"/>
      <c r="H14" s="516"/>
      <c r="I14" s="516"/>
      <c r="J14" s="516"/>
      <c r="K14" s="516"/>
      <c r="L14" s="516"/>
      <c r="M14" s="516"/>
      <c r="N14" s="516"/>
      <c r="O14" s="516"/>
      <c r="P14" s="225"/>
      <c r="T14" s="133"/>
      <c r="AF14" s="135"/>
    </row>
    <row r="15" spans="2:32" ht="3" customHeight="1">
      <c r="C15" s="224"/>
      <c r="H15" s="514"/>
      <c r="I15" s="514"/>
      <c r="J15" s="514"/>
      <c r="K15" s="514"/>
      <c r="L15" s="514"/>
      <c r="M15" s="514"/>
      <c r="N15" s="514"/>
      <c r="O15" s="514"/>
      <c r="P15" s="225"/>
      <c r="T15" s="133"/>
      <c r="AF15" s="135"/>
    </row>
    <row r="16" spans="2:32">
      <c r="C16" s="224"/>
      <c r="E16" s="128" t="s">
        <v>5</v>
      </c>
      <c r="F16" s="211"/>
      <c r="H16" s="513">
        <v>50.19999999999996</v>
      </c>
      <c r="I16" s="513">
        <v>68.400000000000034</v>
      </c>
      <c r="J16" s="513">
        <v>33.099999999999966</v>
      </c>
      <c r="K16" s="513">
        <v>73.875241935483842</v>
      </c>
      <c r="L16" s="513">
        <v>47.11049922580645</v>
      </c>
      <c r="M16" s="513">
        <v>86.456885914219384</v>
      </c>
      <c r="N16" s="513">
        <v>76.709884589719195</v>
      </c>
      <c r="O16" s="513">
        <v>54.342095904000075</v>
      </c>
      <c r="P16" s="226"/>
      <c r="T16" s="133"/>
      <c r="V16" s="128" t="s">
        <v>5</v>
      </c>
      <c r="W16" s="139" t="s">
        <v>168</v>
      </c>
      <c r="X16" s="518">
        <f>Model!H92</f>
        <v>50.19999999999996</v>
      </c>
      <c r="Y16" s="518">
        <f>Model!I92</f>
        <v>68.400000000000034</v>
      </c>
      <c r="Z16" s="518">
        <f>Model!J92</f>
        <v>33.099999999999966</v>
      </c>
      <c r="AA16" s="518">
        <f>Model!K92</f>
        <v>73.875241935483842</v>
      </c>
      <c r="AB16" s="518">
        <f>Model!L92</f>
        <v>47.11049922580645</v>
      </c>
      <c r="AC16" s="518">
        <f ca="1">Model!M92</f>
        <v>86.456885914219384</v>
      </c>
      <c r="AD16" s="518">
        <f ca="1">Model!N92</f>
        <v>76.709884589719195</v>
      </c>
      <c r="AE16" s="518">
        <f ca="1">Model!O92</f>
        <v>54.342095904000075</v>
      </c>
      <c r="AF16" s="135"/>
    </row>
    <row r="17" spans="3:32" ht="12.6">
      <c r="C17" s="224"/>
      <c r="E17" s="141" t="s">
        <v>150</v>
      </c>
      <c r="F17" s="142"/>
      <c r="G17" s="141"/>
      <c r="H17" s="515">
        <v>0.23512880562060876</v>
      </c>
      <c r="I17" s="515">
        <v>0.28909551986475074</v>
      </c>
      <c r="J17" s="515">
        <v>0.16162109374999983</v>
      </c>
      <c r="K17" s="515">
        <v>0.29261914116778937</v>
      </c>
      <c r="L17" s="515">
        <v>0.20168796290888824</v>
      </c>
      <c r="M17" s="515">
        <v>0.30742291049528286</v>
      </c>
      <c r="N17" s="515">
        <v>0.27276608520956924</v>
      </c>
      <c r="O17" s="515">
        <v>0.20263830492885912</v>
      </c>
      <c r="P17" s="227"/>
      <c r="T17" s="133"/>
      <c r="V17" s="141" t="s">
        <v>150</v>
      </c>
      <c r="W17" s="142" t="s">
        <v>110</v>
      </c>
      <c r="X17" s="519">
        <f>X16/X12</f>
        <v>0.23512880562060876</v>
      </c>
      <c r="Y17" s="519">
        <f t="shared" ref="Y17:AE17" si="2">Y16/Y12</f>
        <v>0.28909551986475074</v>
      </c>
      <c r="Z17" s="519">
        <f t="shared" si="2"/>
        <v>0.16162109374999983</v>
      </c>
      <c r="AA17" s="519">
        <f t="shared" si="2"/>
        <v>0.29261914116778937</v>
      </c>
      <c r="AB17" s="519">
        <f t="shared" si="2"/>
        <v>0.20168796290888824</v>
      </c>
      <c r="AC17" s="519">
        <f t="shared" ca="1" si="2"/>
        <v>0.30742291049528286</v>
      </c>
      <c r="AD17" s="519">
        <f t="shared" ca="1" si="2"/>
        <v>0.27276608520956924</v>
      </c>
      <c r="AE17" s="519">
        <f t="shared" ca="1" si="2"/>
        <v>0.20263830492885912</v>
      </c>
      <c r="AF17" s="135"/>
    </row>
    <row r="18" spans="3:32" ht="12.6">
      <c r="C18" s="224"/>
      <c r="E18" s="141" t="s">
        <v>149</v>
      </c>
      <c r="F18" s="142"/>
      <c r="G18" s="141"/>
      <c r="H18" s="517"/>
      <c r="I18" s="515">
        <v>0.36254980079681443</v>
      </c>
      <c r="J18" s="515">
        <v>-0.51608187134502992</v>
      </c>
      <c r="K18" s="515">
        <v>1.2318804210115988</v>
      </c>
      <c r="L18" s="515">
        <v>-0.36229651515796557</v>
      </c>
      <c r="M18" s="515">
        <v>0.83519358391471998</v>
      </c>
      <c r="N18" s="515">
        <v>-0.11273828823965448</v>
      </c>
      <c r="O18" s="515">
        <v>-0.29158939301437681</v>
      </c>
      <c r="P18" s="227"/>
      <c r="T18" s="133"/>
      <c r="V18" s="141" t="s">
        <v>149</v>
      </c>
      <c r="W18" s="142" t="s">
        <v>110</v>
      </c>
      <c r="X18" s="142"/>
      <c r="Y18" s="519">
        <f>Y16/X16-1</f>
        <v>0.36254980079681443</v>
      </c>
      <c r="Z18" s="519">
        <f t="shared" ref="Z18:AE18" si="3">Z16/Y16-1</f>
        <v>-0.51608187134502992</v>
      </c>
      <c r="AA18" s="519">
        <f t="shared" si="3"/>
        <v>1.2318804210115988</v>
      </c>
      <c r="AB18" s="519">
        <f t="shared" si="3"/>
        <v>-0.36229651515796557</v>
      </c>
      <c r="AC18" s="519">
        <f t="shared" ca="1" si="3"/>
        <v>0.83519358391471998</v>
      </c>
      <c r="AD18" s="519">
        <f t="shared" ca="1" si="3"/>
        <v>-0.11273828823965448</v>
      </c>
      <c r="AE18" s="519">
        <f t="shared" ca="1" si="3"/>
        <v>-0.29158939301437681</v>
      </c>
      <c r="AF18" s="135"/>
    </row>
    <row r="19" spans="3:32" ht="3" customHeight="1">
      <c r="C19" s="224"/>
      <c r="E19" s="176"/>
      <c r="F19" s="176"/>
      <c r="G19" s="176"/>
      <c r="H19" s="516"/>
      <c r="I19" s="516"/>
      <c r="J19" s="516"/>
      <c r="K19" s="516"/>
      <c r="L19" s="516"/>
      <c r="M19" s="516"/>
      <c r="N19" s="516"/>
      <c r="O19" s="516"/>
      <c r="P19" s="225"/>
      <c r="T19" s="133"/>
      <c r="AF19" s="135"/>
    </row>
    <row r="20" spans="3:32" ht="3" customHeight="1">
      <c r="C20" s="224"/>
      <c r="H20" s="514"/>
      <c r="I20" s="514"/>
      <c r="J20" s="514"/>
      <c r="K20" s="514"/>
      <c r="L20" s="514"/>
      <c r="M20" s="514"/>
      <c r="N20" s="514"/>
      <c r="O20" s="514"/>
      <c r="P20" s="225"/>
      <c r="T20" s="133"/>
      <c r="AF20" s="135"/>
    </row>
    <row r="21" spans="3:32">
      <c r="C21" s="224"/>
      <c r="E21" s="128" t="s">
        <v>8</v>
      </c>
      <c r="F21" s="211"/>
      <c r="H21" s="513">
        <v>14.099999999999962</v>
      </c>
      <c r="I21" s="513">
        <v>23.700000000000035</v>
      </c>
      <c r="J21" s="513">
        <v>2.1999999999999651</v>
      </c>
      <c r="K21" s="513">
        <v>29.707323924731163</v>
      </c>
      <c r="L21" s="513">
        <v>12.883848316158492</v>
      </c>
      <c r="M21" s="513">
        <v>38.802422097145843</v>
      </c>
      <c r="N21" s="513">
        <v>33.318943781644421</v>
      </c>
      <c r="O21" s="513">
        <v>19.4273807642682</v>
      </c>
      <c r="P21" s="226"/>
      <c r="T21" s="133"/>
      <c r="V21" s="128" t="s">
        <v>8</v>
      </c>
      <c r="W21" s="139" t="s">
        <v>168</v>
      </c>
      <c r="X21" s="518">
        <f>Model!H104</f>
        <v>14.099999999999962</v>
      </c>
      <c r="Y21" s="518">
        <f>Model!I104</f>
        <v>23.700000000000035</v>
      </c>
      <c r="Z21" s="518">
        <f>Model!J104</f>
        <v>2.1999999999999651</v>
      </c>
      <c r="AA21" s="518">
        <f>Model!K104</f>
        <v>29.707323924731163</v>
      </c>
      <c r="AB21" s="518">
        <f>Model!L104</f>
        <v>12.883848316158492</v>
      </c>
      <c r="AC21" s="518">
        <f ca="1">Model!M104</f>
        <v>38.802422097145843</v>
      </c>
      <c r="AD21" s="518">
        <f ca="1">Model!N104</f>
        <v>33.318943781644421</v>
      </c>
      <c r="AE21" s="518">
        <f ca="1">Model!O104</f>
        <v>19.4273807642682</v>
      </c>
      <c r="AF21" s="135"/>
    </row>
    <row r="22" spans="3:32">
      <c r="C22" s="224"/>
      <c r="E22" s="141" t="s">
        <v>150</v>
      </c>
      <c r="F22" s="178"/>
      <c r="G22" s="141"/>
      <c r="H22" s="515">
        <v>6.604215456674456E-2</v>
      </c>
      <c r="I22" s="515">
        <v>0.10016906170752338</v>
      </c>
      <c r="J22" s="515">
        <v>1.074218749999983E-2</v>
      </c>
      <c r="K22" s="515">
        <v>0.11767043173733088</v>
      </c>
      <c r="L22" s="515">
        <v>5.5157919445049865E-2</v>
      </c>
      <c r="M22" s="515">
        <v>0.13797343507382973</v>
      </c>
      <c r="N22" s="515">
        <v>0.11847596834808559</v>
      </c>
      <c r="O22" s="515">
        <v>7.244349784066853E-2</v>
      </c>
      <c r="P22" s="226"/>
      <c r="T22" s="133"/>
      <c r="V22" s="141" t="s">
        <v>150</v>
      </c>
      <c r="W22" s="142" t="s">
        <v>110</v>
      </c>
      <c r="X22" s="519">
        <f>X21/X12</f>
        <v>6.604215456674456E-2</v>
      </c>
      <c r="Y22" s="519">
        <f t="shared" ref="Y22:AE22" si="4">Y21/Y12</f>
        <v>0.10016906170752338</v>
      </c>
      <c r="Z22" s="519">
        <f t="shared" si="4"/>
        <v>1.074218749999983E-2</v>
      </c>
      <c r="AA22" s="519">
        <f t="shared" si="4"/>
        <v>0.11767043173733088</v>
      </c>
      <c r="AB22" s="519">
        <f t="shared" si="4"/>
        <v>5.5157919445049865E-2</v>
      </c>
      <c r="AC22" s="519">
        <f t="shared" ca="1" si="4"/>
        <v>0.13797343507382973</v>
      </c>
      <c r="AD22" s="519">
        <f t="shared" ca="1" si="4"/>
        <v>0.11847596834808559</v>
      </c>
      <c r="AE22" s="519">
        <f t="shared" ca="1" si="4"/>
        <v>7.244349784066853E-2</v>
      </c>
      <c r="AF22" s="135"/>
    </row>
    <row r="23" spans="3:32">
      <c r="C23" s="224"/>
      <c r="E23" s="141" t="s">
        <v>149</v>
      </c>
      <c r="F23" s="178"/>
      <c r="G23" s="141"/>
      <c r="H23" s="517"/>
      <c r="I23" s="515">
        <v>0.68085106382979421</v>
      </c>
      <c r="J23" s="515">
        <v>-0.9071729957805923</v>
      </c>
      <c r="K23" s="515">
        <v>12.503329056696197</v>
      </c>
      <c r="L23" s="515">
        <v>-0.56630734061398347</v>
      </c>
      <c r="M23" s="515">
        <v>2.0117105654279666</v>
      </c>
      <c r="N23" s="515">
        <v>-0.14131793891043631</v>
      </c>
      <c r="O23" s="515">
        <v>-0.41692687224464642</v>
      </c>
      <c r="P23" s="226"/>
      <c r="T23" s="133"/>
      <c r="V23" s="141" t="s">
        <v>149</v>
      </c>
      <c r="W23" s="142" t="s">
        <v>110</v>
      </c>
      <c r="X23" s="142"/>
      <c r="Y23" s="519">
        <f>Y21/X21-1</f>
        <v>0.68085106382979421</v>
      </c>
      <c r="Z23" s="519">
        <f t="shared" ref="Z23:AE23" si="5">Z21/Y21-1</f>
        <v>-0.9071729957805923</v>
      </c>
      <c r="AA23" s="519">
        <f t="shared" si="5"/>
        <v>12.503329056696197</v>
      </c>
      <c r="AB23" s="519">
        <f t="shared" si="5"/>
        <v>-0.56630734061398347</v>
      </c>
      <c r="AC23" s="519">
        <f t="shared" ca="1" si="5"/>
        <v>2.0117105654279666</v>
      </c>
      <c r="AD23" s="519">
        <f t="shared" ca="1" si="5"/>
        <v>-0.14131793891043631</v>
      </c>
      <c r="AE23" s="519">
        <f t="shared" ca="1" si="5"/>
        <v>-0.41692687224464642</v>
      </c>
      <c r="AF23" s="135"/>
    </row>
    <row r="24" spans="3:32" ht="4" customHeight="1">
      <c r="C24" s="228"/>
      <c r="D24" s="229"/>
      <c r="E24" s="230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31"/>
      <c r="T24" s="143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44"/>
    </row>
    <row r="25" spans="3:32" ht="10" customHeight="1"/>
    <row r="26" spans="3:32" ht="15" customHeight="1">
      <c r="C26" s="131" t="s">
        <v>180</v>
      </c>
      <c r="D26" s="132"/>
      <c r="E26" s="132"/>
      <c r="F26" s="132"/>
      <c r="G26" s="132"/>
      <c r="H26" s="130"/>
      <c r="I26" s="130"/>
      <c r="J26" s="130"/>
      <c r="K26" s="130"/>
      <c r="L26" s="130"/>
      <c r="M26" s="130"/>
      <c r="N26" s="130"/>
      <c r="O26" s="130"/>
      <c r="P26" s="130"/>
    </row>
    <row r="27" spans="3:32" s="147" customFormat="1" ht="15" customHeight="1">
      <c r="C27" s="212"/>
      <c r="D27" s="213"/>
      <c r="E27" s="213"/>
      <c r="F27" s="213"/>
      <c r="G27" s="213"/>
      <c r="H27" s="214"/>
      <c r="I27" s="214"/>
      <c r="J27" s="214"/>
      <c r="K27" s="215" t="s">
        <v>2</v>
      </c>
      <c r="L27" s="216"/>
      <c r="M27" s="216"/>
      <c r="N27" s="216"/>
      <c r="O27" s="216"/>
      <c r="P27" s="232"/>
    </row>
    <row r="28" spans="3:32" s="147" customFormat="1" ht="15" customHeight="1">
      <c r="C28" s="218"/>
      <c r="D28" s="183" t="s">
        <v>172</v>
      </c>
      <c r="E28" s="184"/>
      <c r="F28" s="183" t="s">
        <v>194</v>
      </c>
      <c r="G28" s="184"/>
      <c r="H28" s="185">
        <f t="shared" ref="H28:O28" si="6">H7</f>
        <v>2020</v>
      </c>
      <c r="I28" s="185">
        <f t="shared" si="6"/>
        <v>2021</v>
      </c>
      <c r="J28" s="185">
        <f t="shared" si="6"/>
        <v>2022</v>
      </c>
      <c r="K28" s="186">
        <f t="shared" si="6"/>
        <v>2023</v>
      </c>
      <c r="L28" s="186">
        <f t="shared" si="6"/>
        <v>2024</v>
      </c>
      <c r="M28" s="186">
        <f t="shared" si="6"/>
        <v>2025</v>
      </c>
      <c r="N28" s="186">
        <f t="shared" si="6"/>
        <v>2026</v>
      </c>
      <c r="O28" s="186">
        <f t="shared" si="6"/>
        <v>2027</v>
      </c>
      <c r="P28" s="233"/>
    </row>
    <row r="29" spans="3:32" ht="3" customHeight="1">
      <c r="C29" s="220"/>
      <c r="D29" s="196"/>
      <c r="E29" s="196"/>
      <c r="F29" s="196"/>
      <c r="G29" s="196"/>
      <c r="H29" s="197"/>
      <c r="I29" s="197"/>
      <c r="J29" s="198"/>
      <c r="K29" s="199"/>
      <c r="L29" s="199"/>
      <c r="M29" s="199"/>
      <c r="N29" s="199"/>
      <c r="O29" s="199"/>
      <c r="P29" s="221"/>
    </row>
    <row r="30" spans="3:32" ht="3" customHeight="1">
      <c r="C30" s="222"/>
      <c r="D30" s="204"/>
      <c r="E30" s="204"/>
      <c r="F30" s="204"/>
      <c r="G30" s="204"/>
      <c r="H30" s="205"/>
      <c r="I30" s="205"/>
      <c r="J30" s="206"/>
      <c r="K30" s="207"/>
      <c r="L30" s="207"/>
      <c r="M30" s="207"/>
      <c r="N30" s="207"/>
      <c r="O30" s="207"/>
      <c r="P30" s="223"/>
    </row>
    <row r="31" spans="3:32" ht="13" customHeight="1">
      <c r="C31" s="224"/>
      <c r="D31" s="138" t="s">
        <v>142</v>
      </c>
      <c r="P31" s="225"/>
    </row>
    <row r="32" spans="3:32" ht="3" customHeight="1">
      <c r="C32" s="224"/>
      <c r="D32" s="138"/>
      <c r="P32" s="225"/>
    </row>
    <row r="33" spans="3:31">
      <c r="C33" s="224"/>
      <c r="E33" s="128" t="s">
        <v>3</v>
      </c>
      <c r="F33" s="211"/>
      <c r="H33" s="513">
        <v>213.49999999999997</v>
      </c>
      <c r="I33" s="513">
        <v>236.60000000000002</v>
      </c>
      <c r="J33" s="513">
        <v>204.79999999999998</v>
      </c>
      <c r="K33" s="513">
        <v>264.10862903225802</v>
      </c>
      <c r="L33" s="513">
        <v>244.64311560000002</v>
      </c>
      <c r="M33" s="513">
        <v>297.21531508419486</v>
      </c>
      <c r="N33" s="513">
        <v>300.41838123259203</v>
      </c>
      <c r="O33" s="513">
        <v>281.50084467066245</v>
      </c>
      <c r="P33" s="225"/>
      <c r="W33" s="139"/>
      <c r="X33" s="140"/>
      <c r="Y33" s="140"/>
      <c r="Z33" s="140"/>
      <c r="AA33" s="140"/>
      <c r="AB33" s="140"/>
      <c r="AC33" s="140"/>
      <c r="AD33" s="140"/>
      <c r="AE33" s="140"/>
    </row>
    <row r="34" spans="3:31" ht="17.399999999999999">
      <c r="C34" s="224"/>
      <c r="E34" s="141" t="s">
        <v>149</v>
      </c>
      <c r="F34" s="142"/>
      <c r="G34" s="141"/>
      <c r="H34" s="514"/>
      <c r="I34" s="515">
        <v>0.10819672131147562</v>
      </c>
      <c r="J34" s="515">
        <v>-0.13440405748098072</v>
      </c>
      <c r="K34" s="515">
        <v>0.28959291519657238</v>
      </c>
      <c r="L34" s="515">
        <v>-7.3702678718159165E-2</v>
      </c>
      <c r="M34" s="515">
        <v>0.2148934350973204</v>
      </c>
      <c r="N34" s="515">
        <v>1.077692159803334E-2</v>
      </c>
      <c r="O34" s="515">
        <v>-6.2970636098605093E-2</v>
      </c>
      <c r="P34" s="225"/>
      <c r="V34" s="145"/>
      <c r="W34" s="139"/>
      <c r="Y34" s="103"/>
      <c r="Z34" s="103"/>
      <c r="AA34" s="103"/>
      <c r="AB34" s="103"/>
      <c r="AC34" s="103"/>
      <c r="AD34" s="130"/>
      <c r="AE34" s="103"/>
    </row>
    <row r="35" spans="3:31" ht="3" customHeight="1">
      <c r="C35" s="224"/>
      <c r="H35" s="516"/>
      <c r="I35" s="516"/>
      <c r="J35" s="516"/>
      <c r="K35" s="516"/>
      <c r="L35" s="516"/>
      <c r="M35" s="516"/>
      <c r="N35" s="516"/>
      <c r="O35" s="516"/>
      <c r="P35" s="225"/>
    </row>
    <row r="36" spans="3:31" ht="3" customHeight="1">
      <c r="C36" s="224"/>
      <c r="H36" s="514"/>
      <c r="I36" s="514"/>
      <c r="J36" s="514"/>
      <c r="K36" s="514"/>
      <c r="L36" s="514"/>
      <c r="M36" s="514"/>
      <c r="N36" s="514"/>
      <c r="O36" s="514"/>
      <c r="P36" s="225"/>
    </row>
    <row r="37" spans="3:31">
      <c r="C37" s="224"/>
      <c r="E37" s="128" t="s">
        <v>5</v>
      </c>
      <c r="F37" s="211"/>
      <c r="H37" s="513">
        <v>50.19999999999996</v>
      </c>
      <c r="I37" s="513">
        <v>68.400000000000034</v>
      </c>
      <c r="J37" s="513">
        <v>33.099999999999966</v>
      </c>
      <c r="K37" s="513">
        <v>85.521774193548339</v>
      </c>
      <c r="L37" s="513">
        <v>58.538128645161294</v>
      </c>
      <c r="M37" s="513">
        <v>102.06509550816776</v>
      </c>
      <c r="N37" s="513">
        <v>95.265445066266977</v>
      </c>
      <c r="O37" s="513">
        <v>70.58071270915201</v>
      </c>
      <c r="P37" s="226"/>
      <c r="W37" s="139"/>
      <c r="X37" s="140"/>
      <c r="Y37" s="140"/>
      <c r="Z37" s="140"/>
      <c r="AA37" s="140"/>
      <c r="AB37" s="140"/>
      <c r="AC37" s="140"/>
      <c r="AD37" s="140"/>
      <c r="AE37" s="140"/>
    </row>
    <row r="38" spans="3:31" ht="12.6">
      <c r="C38" s="224"/>
      <c r="E38" s="141" t="s">
        <v>150</v>
      </c>
      <c r="F38" s="142"/>
      <c r="G38" s="141"/>
      <c r="H38" s="515">
        <v>0.23512880562060876</v>
      </c>
      <c r="I38" s="515">
        <v>0.28909551986475074</v>
      </c>
      <c r="J38" s="515">
        <v>0.16162109374999983</v>
      </c>
      <c r="K38" s="515">
        <v>0.3238128739182648</v>
      </c>
      <c r="L38" s="515">
        <v>0.23927968911609662</v>
      </c>
      <c r="M38" s="515">
        <v>0.34340456338615949</v>
      </c>
      <c r="N38" s="515">
        <v>0.3171092417028567</v>
      </c>
      <c r="O38" s="515">
        <v>0.25073002104745662</v>
      </c>
      <c r="P38" s="227"/>
      <c r="V38" s="145"/>
      <c r="W38" s="139"/>
      <c r="X38" s="103"/>
      <c r="Y38" s="103"/>
      <c r="Z38" s="103"/>
      <c r="AA38" s="103"/>
      <c r="AB38" s="103"/>
      <c r="AC38" s="103"/>
      <c r="AD38" s="103"/>
      <c r="AE38" s="103"/>
    </row>
    <row r="39" spans="3:31" ht="12.6">
      <c r="C39" s="224"/>
      <c r="E39" s="141" t="s">
        <v>149</v>
      </c>
      <c r="F39" s="142"/>
      <c r="G39" s="141"/>
      <c r="H39" s="517"/>
      <c r="I39" s="515">
        <v>0.36254980079681443</v>
      </c>
      <c r="J39" s="515">
        <v>-0.51608187134502992</v>
      </c>
      <c r="K39" s="515">
        <v>1.5837394016177773</v>
      </c>
      <c r="L39" s="515">
        <v>-0.31551784095731095</v>
      </c>
      <c r="M39" s="515">
        <v>0.7435660802697075</v>
      </c>
      <c r="N39" s="515">
        <v>-6.6620722863641846E-2</v>
      </c>
      <c r="O39" s="515">
        <v>-0.25911527878701646</v>
      </c>
      <c r="P39" s="227"/>
      <c r="V39" s="145"/>
      <c r="W39" s="139"/>
      <c r="Y39" s="103"/>
      <c r="Z39" s="103"/>
      <c r="AA39" s="103"/>
      <c r="AB39" s="103"/>
      <c r="AC39" s="103"/>
      <c r="AD39" s="103"/>
      <c r="AE39" s="103"/>
    </row>
    <row r="40" spans="3:31" ht="3" customHeight="1">
      <c r="C40" s="224"/>
      <c r="H40" s="516"/>
      <c r="I40" s="516"/>
      <c r="J40" s="516"/>
      <c r="K40" s="516"/>
      <c r="L40" s="516"/>
      <c r="M40" s="516"/>
      <c r="N40" s="516"/>
      <c r="O40" s="516"/>
      <c r="P40" s="225"/>
    </row>
    <row r="41" spans="3:31" ht="3" customHeight="1">
      <c r="C41" s="224"/>
      <c r="H41" s="514"/>
      <c r="I41" s="514"/>
      <c r="J41" s="514"/>
      <c r="K41" s="514"/>
      <c r="L41" s="514"/>
      <c r="M41" s="514"/>
      <c r="N41" s="514"/>
      <c r="O41" s="514"/>
      <c r="P41" s="225"/>
    </row>
    <row r="42" spans="3:31">
      <c r="C42" s="224"/>
      <c r="E42" s="128" t="s">
        <v>8</v>
      </c>
      <c r="F42" s="211"/>
      <c r="H42" s="513">
        <v>14.099999999999962</v>
      </c>
      <c r="I42" s="513">
        <v>23.700000000000035</v>
      </c>
      <c r="J42" s="513">
        <v>2.1999999999999651</v>
      </c>
      <c r="K42" s="513">
        <v>37.277569892473089</v>
      </c>
      <c r="L42" s="513">
        <v>20.376169698549127</v>
      </c>
      <c r="M42" s="513">
        <v>49.26935887429299</v>
      </c>
      <c r="N42" s="513">
        <v>45.541012521575766</v>
      </c>
      <c r="O42" s="513">
        <v>30.164608235606018</v>
      </c>
      <c r="P42" s="226"/>
      <c r="W42" s="139"/>
      <c r="X42" s="146"/>
      <c r="Y42" s="146"/>
      <c r="Z42" s="146"/>
      <c r="AA42" s="140"/>
      <c r="AB42" s="140"/>
      <c r="AC42" s="140"/>
      <c r="AD42" s="140"/>
      <c r="AE42" s="140"/>
    </row>
    <row r="43" spans="3:31">
      <c r="C43" s="224"/>
      <c r="E43" s="141" t="s">
        <v>150</v>
      </c>
      <c r="F43" s="142"/>
      <c r="G43" s="141"/>
      <c r="H43" s="515">
        <v>6.604215456674456E-2</v>
      </c>
      <c r="I43" s="515">
        <v>0.10016906170752338</v>
      </c>
      <c r="J43" s="515">
        <v>1.074218749999983E-2</v>
      </c>
      <c r="K43" s="515">
        <v>0.14114483888339763</v>
      </c>
      <c r="L43" s="515">
        <v>8.3289364789912473E-2</v>
      </c>
      <c r="M43" s="515">
        <v>0.16576991956264439</v>
      </c>
      <c r="N43" s="515">
        <v>0.15159196429567565</v>
      </c>
      <c r="O43" s="515">
        <v>0.1071563684680827</v>
      </c>
      <c r="P43" s="226"/>
      <c r="W43" s="139"/>
      <c r="X43" s="146"/>
      <c r="Y43" s="146"/>
      <c r="Z43" s="146"/>
      <c r="AA43" s="140"/>
      <c r="AB43" s="140"/>
      <c r="AC43" s="140"/>
      <c r="AD43" s="140"/>
      <c r="AE43" s="140"/>
    </row>
    <row r="44" spans="3:31">
      <c r="C44" s="224"/>
      <c r="E44" s="141" t="s">
        <v>149</v>
      </c>
      <c r="F44" s="142"/>
      <c r="G44" s="141"/>
      <c r="H44" s="517"/>
      <c r="I44" s="515">
        <v>0.68085106382979421</v>
      </c>
      <c r="J44" s="515">
        <v>-0.9071729957805923</v>
      </c>
      <c r="K44" s="515">
        <v>15.944349951124401</v>
      </c>
      <c r="L44" s="515">
        <v>-0.45339329367970982</v>
      </c>
      <c r="M44" s="515">
        <v>1.4179892297324743</v>
      </c>
      <c r="N44" s="515">
        <v>-7.5672719067236383E-2</v>
      </c>
      <c r="O44" s="515">
        <v>-0.33763861263921036</v>
      </c>
      <c r="P44" s="226"/>
      <c r="W44" s="139"/>
      <c r="X44" s="146"/>
      <c r="Y44" s="146"/>
      <c r="Z44" s="146"/>
      <c r="AA44" s="140"/>
      <c r="AB44" s="140"/>
      <c r="AC44" s="140"/>
      <c r="AD44" s="140"/>
      <c r="AE44" s="140"/>
    </row>
    <row r="45" spans="3:31" ht="4" customHeight="1">
      <c r="C45" s="228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31"/>
    </row>
    <row r="46" spans="3:31" ht="10" customHeight="1"/>
    <row r="47" spans="3:31" ht="15" customHeight="1">
      <c r="C47" s="131" t="s">
        <v>151</v>
      </c>
      <c r="D47" s="132"/>
      <c r="E47" s="132"/>
      <c r="F47" s="132"/>
      <c r="G47" s="132"/>
      <c r="H47" s="130"/>
      <c r="I47" s="130"/>
      <c r="J47" s="130"/>
      <c r="K47" s="130"/>
      <c r="L47" s="130"/>
      <c r="M47" s="130"/>
      <c r="N47" s="130"/>
      <c r="O47" s="130"/>
      <c r="P47" s="130"/>
    </row>
    <row r="48" spans="3:31" s="147" customFormat="1" ht="15" customHeight="1">
      <c r="C48" s="212"/>
      <c r="D48" s="213"/>
      <c r="E48" s="213"/>
      <c r="F48" s="213"/>
      <c r="G48" s="213"/>
      <c r="H48" s="214"/>
      <c r="I48" s="214"/>
      <c r="J48" s="214"/>
      <c r="K48" s="215" t="s">
        <v>2</v>
      </c>
      <c r="L48" s="216"/>
      <c r="M48" s="216"/>
      <c r="N48" s="216"/>
      <c r="O48" s="216"/>
      <c r="P48" s="232"/>
    </row>
    <row r="49" spans="3:31" s="147" customFormat="1" ht="15" customHeight="1">
      <c r="C49" s="234"/>
      <c r="D49" s="183" t="s">
        <v>172</v>
      </c>
      <c r="E49" s="187"/>
      <c r="F49" s="183" t="s">
        <v>194</v>
      </c>
      <c r="G49" s="187"/>
      <c r="H49" s="188">
        <f>H28</f>
        <v>2020</v>
      </c>
      <c r="I49" s="188">
        <f t="shared" ref="I49:O49" si="7">I28</f>
        <v>2021</v>
      </c>
      <c r="J49" s="188">
        <f t="shared" si="7"/>
        <v>2022</v>
      </c>
      <c r="K49" s="189">
        <f t="shared" si="7"/>
        <v>2023</v>
      </c>
      <c r="L49" s="189">
        <f t="shared" si="7"/>
        <v>2024</v>
      </c>
      <c r="M49" s="189">
        <f t="shared" si="7"/>
        <v>2025</v>
      </c>
      <c r="N49" s="189">
        <f t="shared" si="7"/>
        <v>2026</v>
      </c>
      <c r="O49" s="189">
        <f t="shared" si="7"/>
        <v>2027</v>
      </c>
      <c r="P49" s="235"/>
    </row>
    <row r="50" spans="3:31" ht="3" customHeight="1">
      <c r="C50" s="220"/>
      <c r="D50" s="196"/>
      <c r="E50" s="196"/>
      <c r="F50" s="196"/>
      <c r="G50" s="196"/>
      <c r="H50" s="197"/>
      <c r="I50" s="197"/>
      <c r="J50" s="198"/>
      <c r="K50" s="199"/>
      <c r="L50" s="199"/>
      <c r="M50" s="199"/>
      <c r="N50" s="199"/>
      <c r="O50" s="199"/>
      <c r="P50" s="221"/>
      <c r="X50" s="147"/>
      <c r="Y50" s="147"/>
      <c r="Z50" s="147"/>
      <c r="AA50" s="147"/>
      <c r="AB50" s="147"/>
      <c r="AC50" s="147"/>
      <c r="AD50" s="147"/>
      <c r="AE50" s="147"/>
    </row>
    <row r="51" spans="3:31" ht="3" customHeight="1">
      <c r="C51" s="222"/>
      <c r="D51" s="204"/>
      <c r="E51" s="204"/>
      <c r="F51" s="204"/>
      <c r="G51" s="204"/>
      <c r="H51" s="205"/>
      <c r="I51" s="205"/>
      <c r="J51" s="206"/>
      <c r="K51" s="207"/>
      <c r="L51" s="207"/>
      <c r="M51" s="207"/>
      <c r="N51" s="207"/>
      <c r="O51" s="207"/>
      <c r="P51" s="223"/>
      <c r="X51" s="147"/>
      <c r="Y51" s="147"/>
      <c r="Z51" s="147"/>
      <c r="AA51" s="147"/>
      <c r="AB51" s="147"/>
      <c r="AC51" s="147"/>
      <c r="AD51" s="147"/>
      <c r="AE51" s="147"/>
    </row>
    <row r="52" spans="3:31" ht="13" customHeight="1">
      <c r="C52" s="224"/>
      <c r="D52" s="138" t="s">
        <v>142</v>
      </c>
      <c r="P52" s="225"/>
      <c r="X52" s="147"/>
      <c r="Y52" s="147"/>
      <c r="Z52" s="147"/>
      <c r="AA52" s="147"/>
      <c r="AB52" s="147"/>
      <c r="AC52" s="147"/>
      <c r="AD52" s="147"/>
      <c r="AE52" s="147"/>
    </row>
    <row r="53" spans="3:31">
      <c r="C53" s="224"/>
      <c r="E53" s="128" t="s">
        <v>3</v>
      </c>
      <c r="F53" s="211"/>
      <c r="H53" s="513">
        <v>213.49999999999997</v>
      </c>
      <c r="I53" s="513">
        <v>236.60000000000002</v>
      </c>
      <c r="J53" s="513">
        <v>204.79999999999998</v>
      </c>
      <c r="K53" s="513">
        <v>261.34253456221199</v>
      </c>
      <c r="L53" s="513">
        <v>241.78035622119813</v>
      </c>
      <c r="M53" s="513">
        <v>287.93644860679728</v>
      </c>
      <c r="N53" s="513">
        <v>285.23339864258014</v>
      </c>
      <c r="O53" s="513">
        <v>268.86043449020076</v>
      </c>
      <c r="P53" s="225"/>
      <c r="W53" s="139"/>
      <c r="X53" s="147"/>
      <c r="Y53" s="147"/>
      <c r="Z53" s="147"/>
      <c r="AA53" s="147"/>
      <c r="AB53" s="147"/>
      <c r="AC53" s="147"/>
      <c r="AD53" s="147"/>
      <c r="AE53" s="147"/>
    </row>
    <row r="54" spans="3:31" ht="12.6">
      <c r="C54" s="224"/>
      <c r="E54" s="141" t="s">
        <v>149</v>
      </c>
      <c r="F54" s="142"/>
      <c r="G54" s="141"/>
      <c r="H54" s="514"/>
      <c r="I54" s="515">
        <v>0.10819672131147562</v>
      </c>
      <c r="J54" s="515">
        <v>-0.13440405748098072</v>
      </c>
      <c r="K54" s="515">
        <v>0.27608659454205076</v>
      </c>
      <c r="L54" s="515">
        <v>-7.4852638793694415E-2</v>
      </c>
      <c r="M54" s="515">
        <v>0.19090091977270562</v>
      </c>
      <c r="N54" s="515">
        <v>-9.3876616777627264E-3</v>
      </c>
      <c r="O54" s="515">
        <v>-5.7401988092200873E-2</v>
      </c>
      <c r="P54" s="225"/>
      <c r="V54" s="145"/>
      <c r="W54" s="139"/>
      <c r="X54" s="147"/>
      <c r="Y54" s="147"/>
      <c r="Z54" s="147"/>
      <c r="AA54" s="147"/>
      <c r="AB54" s="147"/>
      <c r="AC54" s="147"/>
      <c r="AD54" s="147"/>
      <c r="AE54" s="147"/>
    </row>
    <row r="55" spans="3:31" ht="3" customHeight="1">
      <c r="C55" s="224"/>
      <c r="H55" s="516"/>
      <c r="I55" s="516"/>
      <c r="J55" s="516"/>
      <c r="K55" s="516"/>
      <c r="L55" s="516"/>
      <c r="M55" s="516"/>
      <c r="N55" s="516"/>
      <c r="O55" s="516"/>
      <c r="P55" s="225"/>
      <c r="X55" s="147"/>
      <c r="Y55" s="147"/>
      <c r="Z55" s="147"/>
      <c r="AA55" s="147"/>
      <c r="AB55" s="147"/>
      <c r="AC55" s="147"/>
      <c r="AD55" s="147"/>
      <c r="AE55" s="147"/>
    </row>
    <row r="56" spans="3:31" ht="3" customHeight="1">
      <c r="C56" s="224"/>
      <c r="H56" s="514"/>
      <c r="I56" s="514"/>
      <c r="J56" s="514"/>
      <c r="K56" s="514"/>
      <c r="L56" s="514"/>
      <c r="M56" s="514"/>
      <c r="N56" s="514"/>
      <c r="O56" s="514"/>
      <c r="P56" s="225"/>
      <c r="X56" s="147"/>
      <c r="Y56" s="147"/>
      <c r="Z56" s="147"/>
      <c r="AA56" s="147"/>
      <c r="AB56" s="147"/>
      <c r="AC56" s="147"/>
      <c r="AD56" s="147"/>
      <c r="AE56" s="147"/>
    </row>
    <row r="57" spans="3:31">
      <c r="C57" s="224"/>
      <c r="E57" s="128" t="s">
        <v>5</v>
      </c>
      <c r="F57" s="211"/>
      <c r="H57" s="513">
        <v>50.19999999999996</v>
      </c>
      <c r="I57" s="513">
        <v>68.400000000000034</v>
      </c>
      <c r="J57" s="513">
        <v>33.099999999999966</v>
      </c>
      <c r="K57" s="513">
        <v>83.762221198156709</v>
      </c>
      <c r="L57" s="513">
        <v>55.468642175115178</v>
      </c>
      <c r="M57" s="513">
        <v>93.535573377645221</v>
      </c>
      <c r="N57" s="513">
        <v>82.349834416277872</v>
      </c>
      <c r="O57" s="513">
        <v>58.35502728613298</v>
      </c>
      <c r="P57" s="226"/>
      <c r="W57" s="139"/>
      <c r="X57" s="147"/>
      <c r="Y57" s="147"/>
      <c r="Z57" s="147"/>
      <c r="AA57" s="147"/>
      <c r="AB57" s="147"/>
      <c r="AC57" s="147"/>
      <c r="AD57" s="147"/>
      <c r="AE57" s="147"/>
    </row>
    <row r="58" spans="3:31" ht="12.6">
      <c r="C58" s="224"/>
      <c r="E58" s="141" t="s">
        <v>150</v>
      </c>
      <c r="F58" s="142"/>
      <c r="G58" s="141"/>
      <c r="H58" s="515">
        <v>0.23512880562060876</v>
      </c>
      <c r="I58" s="515">
        <v>0.28909551986475074</v>
      </c>
      <c r="J58" s="515">
        <v>0.16162109374999983</v>
      </c>
      <c r="K58" s="515">
        <v>0.3205074188879013</v>
      </c>
      <c r="L58" s="515">
        <v>0.22941748884002991</v>
      </c>
      <c r="M58" s="515">
        <v>0.32484797888639771</v>
      </c>
      <c r="N58" s="515">
        <v>0.28871035021908037</v>
      </c>
      <c r="O58" s="515">
        <v>0.21704579700164051</v>
      </c>
      <c r="P58" s="227"/>
      <c r="V58" s="145"/>
      <c r="W58" s="139"/>
      <c r="X58" s="147"/>
      <c r="Y58" s="147"/>
      <c r="Z58" s="147"/>
      <c r="AA58" s="147"/>
      <c r="AB58" s="147"/>
      <c r="AC58" s="147"/>
      <c r="AD58" s="147"/>
      <c r="AE58" s="147"/>
    </row>
    <row r="59" spans="3:31" ht="12.6">
      <c r="C59" s="224"/>
      <c r="E59" s="141" t="s">
        <v>149</v>
      </c>
      <c r="F59" s="142"/>
      <c r="G59" s="141"/>
      <c r="H59" s="517"/>
      <c r="I59" s="515">
        <v>0.36254980079681443</v>
      </c>
      <c r="J59" s="515">
        <v>-0.51608187134502992</v>
      </c>
      <c r="K59" s="515">
        <v>1.5305807008506584</v>
      </c>
      <c r="L59" s="515">
        <v>-0.33778448826120866</v>
      </c>
      <c r="M59" s="515">
        <v>0.68627840361320325</v>
      </c>
      <c r="N59" s="515">
        <v>-0.11958807283091621</v>
      </c>
      <c r="O59" s="515">
        <v>-0.29137650731452958</v>
      </c>
      <c r="P59" s="227"/>
      <c r="V59" s="145"/>
      <c r="W59" s="139"/>
      <c r="X59" s="147"/>
      <c r="Y59" s="147"/>
      <c r="Z59" s="147"/>
      <c r="AA59" s="147"/>
      <c r="AB59" s="147"/>
      <c r="AC59" s="147"/>
      <c r="AD59" s="147"/>
      <c r="AE59" s="147"/>
    </row>
    <row r="60" spans="3:31" ht="3" customHeight="1">
      <c r="C60" s="224"/>
      <c r="H60" s="516"/>
      <c r="I60" s="516"/>
      <c r="J60" s="516"/>
      <c r="K60" s="516"/>
      <c r="L60" s="516"/>
      <c r="M60" s="516"/>
      <c r="N60" s="516"/>
      <c r="O60" s="516"/>
      <c r="P60" s="225"/>
      <c r="X60" s="147"/>
      <c r="Y60" s="147"/>
      <c r="Z60" s="147"/>
      <c r="AA60" s="147"/>
      <c r="AB60" s="147"/>
      <c r="AC60" s="147"/>
      <c r="AD60" s="147"/>
      <c r="AE60" s="147"/>
    </row>
    <row r="61" spans="3:31" ht="3" customHeight="1">
      <c r="C61" s="224"/>
      <c r="H61" s="514"/>
      <c r="I61" s="514"/>
      <c r="J61" s="514"/>
      <c r="K61" s="514"/>
      <c r="L61" s="514"/>
      <c r="M61" s="514"/>
      <c r="N61" s="514"/>
      <c r="O61" s="514"/>
      <c r="P61" s="225"/>
      <c r="X61" s="147"/>
      <c r="Y61" s="147"/>
      <c r="Z61" s="147"/>
      <c r="AA61" s="147"/>
      <c r="AB61" s="147"/>
      <c r="AC61" s="147"/>
      <c r="AD61" s="147"/>
      <c r="AE61" s="147"/>
    </row>
    <row r="62" spans="3:31">
      <c r="C62" s="224"/>
      <c r="E62" s="128" t="s">
        <v>8</v>
      </c>
      <c r="F62" s="211"/>
      <c r="H62" s="513">
        <v>14.099999999999962</v>
      </c>
      <c r="I62" s="513">
        <v>23.700000000000035</v>
      </c>
      <c r="J62" s="513">
        <v>2.1999999999999651</v>
      </c>
      <c r="K62" s="513">
        <v>36.133860445468528</v>
      </c>
      <c r="L62" s="513">
        <v>18.378370655984241</v>
      </c>
      <c r="M62" s="513">
        <v>43.710917710689728</v>
      </c>
      <c r="N62" s="513">
        <v>37.107851986459288</v>
      </c>
      <c r="O62" s="513">
        <v>22.141434268296585</v>
      </c>
      <c r="P62" s="226"/>
      <c r="W62" s="139"/>
      <c r="X62" s="147"/>
      <c r="Y62" s="147"/>
      <c r="Z62" s="147"/>
      <c r="AA62" s="147"/>
      <c r="AB62" s="147"/>
      <c r="AC62" s="147"/>
      <c r="AD62" s="147"/>
      <c r="AE62" s="147"/>
    </row>
    <row r="63" spans="3:31">
      <c r="C63" s="224"/>
      <c r="E63" s="141" t="s">
        <v>150</v>
      </c>
      <c r="F63" s="142"/>
      <c r="G63" s="141"/>
      <c r="H63" s="515">
        <v>6.604215456674456E-2</v>
      </c>
      <c r="I63" s="515">
        <v>0.10016906170752338</v>
      </c>
      <c r="J63" s="515">
        <v>1.074218749999983E-2</v>
      </c>
      <c r="K63" s="515">
        <v>0.1382624550802577</v>
      </c>
      <c r="L63" s="515">
        <v>7.6012670934980264E-2</v>
      </c>
      <c r="M63" s="515">
        <v>0.15180751836798839</v>
      </c>
      <c r="N63" s="515">
        <v>0.13009644790215588</v>
      </c>
      <c r="O63" s="515">
        <v>8.2352891790419172E-2</v>
      </c>
      <c r="P63" s="226"/>
      <c r="W63" s="139"/>
      <c r="X63" s="147"/>
      <c r="Y63" s="147"/>
      <c r="Z63" s="147"/>
      <c r="AA63" s="147"/>
      <c r="AB63" s="147"/>
      <c r="AC63" s="147"/>
      <c r="AD63" s="147"/>
      <c r="AE63" s="147"/>
    </row>
    <row r="64" spans="3:31">
      <c r="C64" s="224"/>
      <c r="E64" s="141" t="s">
        <v>149</v>
      </c>
      <c r="F64" s="142"/>
      <c r="G64" s="141"/>
      <c r="H64" s="517"/>
      <c r="I64" s="515">
        <v>0.68085106382979421</v>
      </c>
      <c r="J64" s="515">
        <v>-0.9071729957805923</v>
      </c>
      <c r="K64" s="515">
        <v>15.424482020667774</v>
      </c>
      <c r="L64" s="515">
        <v>-0.4913809255526409</v>
      </c>
      <c r="M64" s="515">
        <v>1.3783891689254224</v>
      </c>
      <c r="N64" s="515">
        <v>-0.1510621618135376</v>
      </c>
      <c r="O64" s="515">
        <v>-0.40332212502151754</v>
      </c>
      <c r="P64" s="226"/>
      <c r="W64" s="139"/>
      <c r="X64" s="147"/>
      <c r="Y64" s="147"/>
      <c r="Z64" s="147"/>
      <c r="AA64" s="147"/>
      <c r="AB64" s="147"/>
      <c r="AC64" s="147"/>
      <c r="AD64" s="147"/>
      <c r="AE64" s="147"/>
    </row>
    <row r="65" spans="2:31" ht="4" customHeight="1">
      <c r="C65" s="228"/>
      <c r="D65" s="229"/>
      <c r="E65" s="229"/>
      <c r="F65" s="229"/>
      <c r="G65" s="229"/>
      <c r="H65" s="229"/>
      <c r="I65" s="229"/>
      <c r="J65" s="229"/>
      <c r="K65" s="229"/>
      <c r="L65" s="229"/>
      <c r="M65" s="229"/>
      <c r="N65" s="229"/>
      <c r="O65" s="229"/>
      <c r="P65" s="231"/>
      <c r="X65" s="147"/>
      <c r="Y65" s="147"/>
      <c r="Z65" s="147"/>
      <c r="AA65" s="147"/>
      <c r="AB65" s="147"/>
      <c r="AC65" s="147"/>
      <c r="AD65" s="147"/>
      <c r="AE65" s="147"/>
    </row>
    <row r="66" spans="2:31" ht="12" customHeight="1"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X66" s="147"/>
      <c r="Y66" s="147"/>
      <c r="Z66" s="147"/>
      <c r="AA66" s="147"/>
      <c r="AB66" s="147"/>
      <c r="AC66" s="147"/>
      <c r="AD66" s="147"/>
      <c r="AE66" s="147"/>
    </row>
  </sheetData>
  <printOptions horizontalCentered="1"/>
  <pageMargins left="0.23622047244094491" right="0.23622047244094491" top="0.35433070866141736" bottom="0.51181102362204722" header="0.23622047244094491" footer="0.23622047244094491"/>
  <pageSetup scale="85" orientation="landscape" r:id="rId1"/>
  <headerFooter alignWithMargins="0">
    <oddFooter>&amp;L&amp;F&amp;CPage &amp;P of &amp;N&amp;R&amp;D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lineWeight="1" displayEmptyCellsAs="gap" high="1" low="1" xr2:uid="{6432E141-2854-439F-993C-6CC4FD658F77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Summary!H16:O16</xm:f>
              <xm:sqref>F16</xm:sqref>
            </x14:sparkline>
          </x14:sparklines>
        </x14:sparklineGroup>
        <x14:sparklineGroup manualMax="0" manualMin="0" lineWeight="1" displayEmptyCellsAs="gap" high="1" low="1" xr2:uid="{B52FA5C1-8ABD-4858-952B-1FE363D8F282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Summary!H12:O12</xm:f>
              <xm:sqref>F12</xm:sqref>
            </x14:sparkline>
          </x14:sparklines>
        </x14:sparklineGroup>
        <x14:sparklineGroup manualMax="0" manualMin="0" lineWeight="1" displayEmptyCellsAs="gap" high="1" low="1" xr2:uid="{7C576C4A-CC28-42C3-BB62-0E794D368835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Summary!H21:O21</xm:f>
              <xm:sqref>F21</xm:sqref>
            </x14:sparkline>
          </x14:sparklines>
        </x14:sparklineGroup>
        <x14:sparklineGroup manualMax="0" manualMin="0" lineWeight="1" displayEmptyCellsAs="gap" high="1" low="1" xr2:uid="{922AC61D-B8DA-48C6-B9FA-F462165B173B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Summary!H33:O33</xm:f>
              <xm:sqref>F33</xm:sqref>
            </x14:sparkline>
          </x14:sparklines>
        </x14:sparklineGroup>
        <x14:sparklineGroup manualMax="0" manualMin="0" lineWeight="1" displayEmptyCellsAs="gap" high="1" low="1" xr2:uid="{64F1AC68-22C1-494C-8DB9-8B7DE5149FDB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Summary!H37:O37</xm:f>
              <xm:sqref>F37</xm:sqref>
            </x14:sparkline>
          </x14:sparklines>
        </x14:sparklineGroup>
        <x14:sparklineGroup manualMax="0" manualMin="0" lineWeight="1" displayEmptyCellsAs="gap" high="1" low="1" xr2:uid="{AD712293-37A1-4BBB-9B0B-D14D90E896D3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Summary!H42:O42</xm:f>
              <xm:sqref>F42</xm:sqref>
            </x14:sparkline>
          </x14:sparklines>
        </x14:sparklineGroup>
        <x14:sparklineGroup manualMax="0" manualMin="0" lineWeight="1" displayEmptyCellsAs="gap" high="1" low="1" xr2:uid="{210DCF42-6BB4-4817-B593-1DB3DE3EEC14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Summary!H53:O53</xm:f>
              <xm:sqref>F53</xm:sqref>
            </x14:sparkline>
          </x14:sparklines>
        </x14:sparklineGroup>
        <x14:sparklineGroup manualMax="0" manualMin="0" lineWeight="1" displayEmptyCellsAs="gap" high="1" low="1" xr2:uid="{EDAF874D-F657-491B-9B83-DF36A749AF6C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Summary!H57:O57</xm:f>
              <xm:sqref>F57</xm:sqref>
            </x14:sparkline>
          </x14:sparklines>
        </x14:sparklineGroup>
        <x14:sparklineGroup manualMax="0" manualMin="0" lineWeight="1" displayEmptyCellsAs="gap" high="1" low="1" xr2:uid="{4924D4C9-984C-4594-998A-20C6D0FE1C6A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Summary!H62:O62</xm:f>
              <xm:sqref>F62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B1:Q79"/>
  <sheetViews>
    <sheetView showGridLines="0" topLeftCell="A35" zoomScale="70" zoomScaleNormal="70" zoomScaleSheetLayoutView="100" workbookViewId="0">
      <selection activeCell="J20" sqref="J20"/>
    </sheetView>
  </sheetViews>
  <sheetFormatPr defaultColWidth="8.83203125" defaultRowHeight="12.3"/>
  <cols>
    <col min="1" max="1" width="2.5546875" customWidth="1"/>
    <col min="2" max="2" width="5.5546875" customWidth="1"/>
    <col min="3" max="3" width="2.1640625" customWidth="1"/>
    <col min="4" max="4" width="13.44140625" customWidth="1"/>
    <col min="5" max="14" width="10.44140625" customWidth="1"/>
    <col min="15" max="15" width="5.5546875" customWidth="1"/>
  </cols>
  <sheetData>
    <row r="1" spans="2:17" ht="22.5" customHeight="1">
      <c r="B1" s="1" t="str">
        <f>Summary!B1</f>
        <v>Dummy Co.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7" ht="18.75" customHeight="1">
      <c r="B2" s="4" t="s">
        <v>107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7" ht="3" customHeight="1" thickBot="1">
      <c r="B3" s="181"/>
      <c r="C3" s="181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</row>
    <row r="4" spans="2:17" ht="12" customHeight="1"/>
    <row r="5" spans="2:17" ht="16" customHeight="1">
      <c r="C5" s="190" t="s">
        <v>80</v>
      </c>
      <c r="D5" s="191"/>
      <c r="E5" s="191"/>
      <c r="F5" s="191"/>
      <c r="G5" s="191"/>
      <c r="H5" s="192"/>
      <c r="J5" s="190" t="s">
        <v>119</v>
      </c>
      <c r="K5" s="191"/>
      <c r="L5" s="191"/>
      <c r="M5" s="191"/>
      <c r="N5" s="192"/>
    </row>
    <row r="6" spans="2:17" ht="3" customHeight="1">
      <c r="C6" s="200"/>
      <c r="D6" s="201"/>
      <c r="E6" s="201"/>
      <c r="F6" s="201"/>
      <c r="G6" s="201"/>
      <c r="H6" s="202"/>
      <c r="J6" s="200"/>
      <c r="K6" s="201"/>
      <c r="L6" s="201"/>
      <c r="M6" s="201"/>
      <c r="N6" s="202"/>
    </row>
    <row r="7" spans="2:17" ht="3" customHeight="1">
      <c r="C7" s="208"/>
      <c r="D7" s="209"/>
      <c r="E7" s="209"/>
      <c r="F7" s="209"/>
      <c r="G7" s="209"/>
      <c r="H7" s="210"/>
      <c r="J7" s="208"/>
      <c r="K7" s="209"/>
      <c r="L7" s="209"/>
      <c r="M7" s="209"/>
      <c r="N7" s="210"/>
    </row>
    <row r="8" spans="2:17" ht="14.2" customHeight="1">
      <c r="C8" s="159" t="s">
        <v>79</v>
      </c>
      <c r="D8" s="14" t="s">
        <v>143</v>
      </c>
      <c r="G8" s="504">
        <v>2023</v>
      </c>
      <c r="H8" s="160"/>
      <c r="J8" s="163" t="str">
        <f ca="1">"Stock Price - "&amp;TEXT(TODAY()-1,"mm/dd")</f>
        <v>Stock Price - 09/06</v>
      </c>
      <c r="K8" s="505"/>
      <c r="M8" s="5"/>
      <c r="N8" s="506">
        <v>11.5</v>
      </c>
      <c r="Q8" s="6"/>
    </row>
    <row r="9" spans="2:17" ht="14.2" customHeight="1">
      <c r="C9" s="159" t="s">
        <v>79</v>
      </c>
      <c r="D9" s="7" t="s">
        <v>167</v>
      </c>
      <c r="H9" s="160"/>
      <c r="J9" s="163" t="str">
        <f>"Fully Diluted Shares O/S (MM) - Dec. 31, "&amp;G8-1</f>
        <v>Fully Diluted Shares O/S (MM) - Dec. 31, 2022</v>
      </c>
      <c r="N9" s="507">
        <v>14.8</v>
      </c>
    </row>
    <row r="10" spans="2:17" ht="14.2" customHeight="1">
      <c r="C10" s="161"/>
      <c r="D10" s="492" t="s">
        <v>129</v>
      </c>
      <c r="E10" s="162"/>
      <c r="F10" s="162"/>
      <c r="G10" s="162"/>
      <c r="H10" s="494"/>
      <c r="J10" s="495" t="s">
        <v>120</v>
      </c>
      <c r="K10" s="162"/>
      <c r="L10" s="162"/>
      <c r="M10" s="508"/>
      <c r="N10" s="509">
        <v>0.2</v>
      </c>
    </row>
    <row r="11" spans="2:17" ht="14.2" customHeight="1">
      <c r="M11" s="5"/>
      <c r="N11" s="158"/>
    </row>
    <row r="12" spans="2:17" ht="6" customHeight="1">
      <c r="M12" s="5"/>
      <c r="N12" s="158"/>
    </row>
    <row r="13" spans="2:17" s="9" customFormat="1" ht="16" customHeight="1">
      <c r="C13" s="190" t="s">
        <v>81</v>
      </c>
      <c r="D13" s="191"/>
      <c r="E13" s="191"/>
      <c r="F13" s="191"/>
      <c r="G13" s="191"/>
      <c r="H13" s="192"/>
      <c r="J13" s="190" t="s">
        <v>82</v>
      </c>
      <c r="K13" s="191"/>
      <c r="L13" s="191"/>
      <c r="M13" s="191"/>
      <c r="N13" s="192"/>
    </row>
    <row r="14" spans="2:17" s="9" customFormat="1" ht="3" customHeight="1">
      <c r="C14" s="200"/>
      <c r="D14" s="201"/>
      <c r="E14" s="201"/>
      <c r="F14" s="201"/>
      <c r="G14" s="201"/>
      <c r="H14" s="202"/>
      <c r="J14" s="200"/>
      <c r="K14" s="201"/>
      <c r="L14" s="201"/>
      <c r="M14" s="201"/>
      <c r="N14" s="202"/>
    </row>
    <row r="15" spans="2:17" s="9" customFormat="1" ht="3" customHeight="1">
      <c r="C15" s="208"/>
      <c r="D15" s="209"/>
      <c r="E15" s="209"/>
      <c r="F15" s="209"/>
      <c r="G15" s="209"/>
      <c r="H15" s="210"/>
      <c r="J15" s="208"/>
      <c r="K15" s="209"/>
      <c r="L15" s="209"/>
      <c r="M15" s="209"/>
      <c r="N15" s="210"/>
    </row>
    <row r="16" spans="2:17" ht="14.2" customHeight="1">
      <c r="C16" s="159" t="s">
        <v>79</v>
      </c>
      <c r="D16" s="7" t="s">
        <v>78</v>
      </c>
      <c r="H16" s="160"/>
      <c r="J16" s="163"/>
      <c r="N16" s="160"/>
    </row>
    <row r="17" spans="3:14" ht="14.2" customHeight="1">
      <c r="C17" s="165" t="s">
        <v>0</v>
      </c>
      <c r="D17" s="10"/>
      <c r="E17" s="11" t="str">
        <f>Scenarios!G6&amp;" - "&amp;Scenarios!K6</f>
        <v>2023 - 2027</v>
      </c>
      <c r="F17" s="12"/>
      <c r="G17" s="11"/>
      <c r="H17" s="166"/>
      <c r="J17" s="164" t="s">
        <v>186</v>
      </c>
      <c r="N17" s="503">
        <v>420</v>
      </c>
    </row>
    <row r="18" spans="3:14" s="13" customFormat="1" ht="15">
      <c r="C18" s="167" t="s">
        <v>58</v>
      </c>
      <c r="D18"/>
      <c r="E18" s="3" t="s">
        <v>139</v>
      </c>
      <c r="F18" s="3"/>
      <c r="G18" s="3"/>
      <c r="H18" s="496"/>
      <c r="I18" s="497"/>
      <c r="J18" s="163"/>
      <c r="K18"/>
      <c r="L18"/>
      <c r="M18"/>
      <c r="N18" s="160"/>
    </row>
    <row r="19" spans="3:14" ht="14.2" customHeight="1">
      <c r="C19" s="167" t="s">
        <v>59</v>
      </c>
      <c r="F19" s="498">
        <v>0.04</v>
      </c>
      <c r="G19" s="3"/>
      <c r="H19" s="496" t="s">
        <v>140</v>
      </c>
      <c r="I19" s="14"/>
      <c r="J19" s="163" t="s">
        <v>209</v>
      </c>
      <c r="N19" s="499">
        <f>MAX(Model!K22:O22)</f>
        <v>1</v>
      </c>
    </row>
    <row r="20" spans="3:14" ht="15.7" customHeight="1">
      <c r="C20" s="168" t="s">
        <v>60</v>
      </c>
      <c r="D20" s="162"/>
      <c r="E20" s="162"/>
      <c r="F20" s="500">
        <v>-0.04</v>
      </c>
      <c r="G20" s="501"/>
      <c r="H20" s="502" t="s">
        <v>140</v>
      </c>
      <c r="I20" s="14"/>
      <c r="J20" s="495"/>
      <c r="K20" s="162"/>
      <c r="L20" s="162"/>
      <c r="M20" s="162"/>
      <c r="N20" s="494"/>
    </row>
    <row r="21" spans="3:14" ht="14.2" customHeight="1">
      <c r="I21" s="14"/>
    </row>
    <row r="22" spans="3:14" ht="6" customHeight="1">
      <c r="I22" s="14"/>
    </row>
    <row r="23" spans="3:14" s="9" customFormat="1" ht="16" customHeight="1">
      <c r="C23" s="190" t="s">
        <v>84</v>
      </c>
      <c r="D23" s="191"/>
      <c r="E23" s="191"/>
      <c r="F23" s="191"/>
      <c r="G23" s="191"/>
      <c r="H23" s="192"/>
      <c r="J23" s="190" t="s">
        <v>183</v>
      </c>
      <c r="K23" s="191"/>
      <c r="L23" s="191"/>
      <c r="M23" s="191"/>
      <c r="N23" s="192"/>
    </row>
    <row r="24" spans="3:14" ht="3" customHeight="1">
      <c r="C24" s="200"/>
      <c r="D24" s="201"/>
      <c r="E24" s="201"/>
      <c r="F24" s="201"/>
      <c r="G24" s="201"/>
      <c r="H24" s="202"/>
      <c r="J24" s="200"/>
      <c r="K24" s="201"/>
      <c r="L24" s="201"/>
      <c r="M24" s="201"/>
      <c r="N24" s="202"/>
    </row>
    <row r="25" spans="3:14" ht="3" customHeight="1">
      <c r="C25" s="208"/>
      <c r="D25" s="209"/>
      <c r="E25" s="209"/>
      <c r="F25" s="209"/>
      <c r="G25" s="209"/>
      <c r="H25" s="210"/>
      <c r="J25" s="208"/>
      <c r="K25" s="209"/>
      <c r="L25" s="209"/>
      <c r="M25" s="209"/>
      <c r="N25" s="210"/>
    </row>
    <row r="26" spans="3:14" ht="15.7" customHeight="1">
      <c r="C26" s="165" t="s">
        <v>85</v>
      </c>
      <c r="D26" s="7"/>
      <c r="E26" s="16">
        <f>G8</f>
        <v>2023</v>
      </c>
      <c r="G26" s="16" t="s">
        <v>87</v>
      </c>
      <c r="H26" s="160"/>
      <c r="J26" s="169"/>
      <c r="N26" s="160"/>
    </row>
    <row r="27" spans="3:14" ht="14.2" customHeight="1">
      <c r="C27" s="477" t="s">
        <v>86</v>
      </c>
      <c r="D27" s="7"/>
      <c r="E27" s="486">
        <v>226</v>
      </c>
      <c r="F27" t="s">
        <v>144</v>
      </c>
      <c r="G27" t="s">
        <v>88</v>
      </c>
      <c r="H27" s="160"/>
      <c r="J27" s="489" t="s">
        <v>192</v>
      </c>
      <c r="M27" s="490"/>
      <c r="N27" s="488">
        <v>0.01</v>
      </c>
    </row>
    <row r="28" spans="3:14" ht="14.2" customHeight="1">
      <c r="C28" s="477" t="s">
        <v>152</v>
      </c>
      <c r="D28" s="7"/>
      <c r="E28" s="486">
        <v>66.2</v>
      </c>
      <c r="F28" t="s">
        <v>144</v>
      </c>
      <c r="G28" t="s">
        <v>88</v>
      </c>
      <c r="H28" s="160"/>
      <c r="J28" s="487" t="s">
        <v>189</v>
      </c>
      <c r="N28" s="488">
        <v>0.06</v>
      </c>
    </row>
    <row r="29" spans="3:14" ht="14.2" customHeight="1">
      <c r="C29" s="477" t="s">
        <v>153</v>
      </c>
      <c r="D29" s="14"/>
      <c r="E29" s="486">
        <v>23.5</v>
      </c>
      <c r="F29" t="s">
        <v>145</v>
      </c>
      <c r="G29" t="s">
        <v>191</v>
      </c>
      <c r="H29" s="160"/>
      <c r="J29" s="487" t="s">
        <v>190</v>
      </c>
      <c r="N29" s="488">
        <v>0.06</v>
      </c>
    </row>
    <row r="30" spans="3:14" ht="15.7" customHeight="1">
      <c r="C30" s="477" t="s">
        <v>53</v>
      </c>
      <c r="D30" s="14"/>
      <c r="E30" s="486">
        <v>43.5</v>
      </c>
      <c r="F30" t="s">
        <v>145</v>
      </c>
      <c r="G30" t="s">
        <v>191</v>
      </c>
      <c r="H30" s="160"/>
      <c r="J30" s="163"/>
      <c r="N30" s="160"/>
    </row>
    <row r="31" spans="3:14" ht="14.2" customHeight="1">
      <c r="C31" s="477" t="s">
        <v>10</v>
      </c>
      <c r="D31" s="14"/>
      <c r="E31" s="486">
        <v>2</v>
      </c>
      <c r="F31" t="s">
        <v>145</v>
      </c>
      <c r="G31" t="s">
        <v>191</v>
      </c>
      <c r="H31" s="160"/>
      <c r="J31" s="163"/>
      <c r="N31" s="160"/>
    </row>
    <row r="32" spans="3:14" ht="15.7" customHeight="1">
      <c r="C32" s="491" t="s">
        <v>89</v>
      </c>
      <c r="D32" s="492"/>
      <c r="E32" s="493">
        <v>3.9</v>
      </c>
      <c r="F32" s="162" t="s">
        <v>145</v>
      </c>
      <c r="G32" s="162" t="s">
        <v>191</v>
      </c>
      <c r="H32" s="494"/>
      <c r="J32" s="495"/>
      <c r="K32" s="162"/>
      <c r="L32" s="162"/>
      <c r="M32" s="162"/>
      <c r="N32" s="494"/>
    </row>
    <row r="33" spans="2:17" ht="14.2" customHeight="1"/>
    <row r="34" spans="2:17" ht="6" customHeight="1"/>
    <row r="35" spans="2:17" s="9" customFormat="1" ht="16" customHeight="1">
      <c r="C35" s="190" t="s">
        <v>90</v>
      </c>
      <c r="D35" s="193"/>
      <c r="E35" s="193"/>
      <c r="F35" s="193"/>
      <c r="G35" s="193"/>
      <c r="H35" s="194"/>
      <c r="J35" s="190" t="s">
        <v>83</v>
      </c>
      <c r="K35" s="193"/>
      <c r="L35" s="193"/>
      <c r="M35" s="193"/>
      <c r="N35" s="194"/>
    </row>
    <row r="36" spans="2:17" ht="3" customHeight="1">
      <c r="C36" s="200"/>
      <c r="D36" s="201"/>
      <c r="E36" s="201"/>
      <c r="F36" s="201"/>
      <c r="G36" s="201"/>
      <c r="H36" s="202"/>
      <c r="J36" s="200"/>
      <c r="K36" s="201"/>
      <c r="L36" s="201"/>
      <c r="M36" s="201"/>
      <c r="N36" s="202"/>
    </row>
    <row r="37" spans="2:17" ht="3" customHeight="1">
      <c r="C37" s="208"/>
      <c r="D37" s="209"/>
      <c r="E37" s="209"/>
      <c r="F37" s="209"/>
      <c r="G37" s="209"/>
      <c r="H37" s="210"/>
      <c r="J37" s="208"/>
      <c r="K37" s="209"/>
      <c r="L37" s="209"/>
      <c r="M37" s="209"/>
      <c r="N37" s="210"/>
    </row>
    <row r="38" spans="2:17" ht="14.2" customHeight="1">
      <c r="C38" s="159" t="s">
        <v>79</v>
      </c>
      <c r="D38" s="7" t="s">
        <v>154</v>
      </c>
      <c r="H38" s="170" t="s">
        <v>91</v>
      </c>
      <c r="J38" s="163"/>
      <c r="N38" s="160"/>
    </row>
    <row r="39" spans="2:17" ht="14.2" customHeight="1">
      <c r="C39" s="159" t="s">
        <v>79</v>
      </c>
      <c r="D39" s="17" t="s">
        <v>155</v>
      </c>
      <c r="H39" s="481">
        <v>25</v>
      </c>
      <c r="J39" s="164" t="s">
        <v>187</v>
      </c>
      <c r="N39" s="482">
        <v>0.35</v>
      </c>
    </row>
    <row r="40" spans="2:17" ht="14.2" customHeight="1">
      <c r="C40" s="161" t="s">
        <v>79</v>
      </c>
      <c r="D40" s="171" t="s">
        <v>156</v>
      </c>
      <c r="E40" s="162"/>
      <c r="F40" s="162"/>
      <c r="G40" s="162"/>
      <c r="H40" s="483">
        <v>30</v>
      </c>
      <c r="J40" s="484" t="s">
        <v>188</v>
      </c>
      <c r="K40" s="162"/>
      <c r="L40" s="162"/>
      <c r="M40" s="162"/>
      <c r="N40" s="485"/>
    </row>
    <row r="41" spans="2:17" ht="15" customHeight="1">
      <c r="B41" s="8"/>
      <c r="C41" s="8"/>
      <c r="D41" s="18"/>
      <c r="E41" s="15"/>
      <c r="F41" s="15"/>
      <c r="G41" s="15"/>
      <c r="H41" s="15"/>
      <c r="I41" s="8"/>
      <c r="J41" s="8"/>
      <c r="K41" s="8"/>
      <c r="L41" s="8"/>
      <c r="M41" s="8"/>
      <c r="N41" s="8"/>
      <c r="O41" s="8"/>
    </row>
    <row r="42" spans="2:17" ht="14.2" customHeight="1">
      <c r="C42" s="19"/>
      <c r="D42" s="17"/>
      <c r="H42" s="20"/>
    </row>
    <row r="43" spans="2:17" ht="14.2" customHeight="1">
      <c r="C43" s="19"/>
      <c r="J43" s="21"/>
    </row>
    <row r="44" spans="2:17" ht="22.5" customHeight="1">
      <c r="B44" s="1" t="str">
        <f>Summary!B1</f>
        <v>Dummy Co.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2:17" ht="18.75" customHeight="1">
      <c r="B45" s="4" t="s">
        <v>107</v>
      </c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2:17" ht="3" customHeight="1" thickBot="1">
      <c r="B46" s="181"/>
      <c r="C46" s="181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</row>
    <row r="47" spans="2:17" ht="12" customHeight="1">
      <c r="C47" s="19"/>
      <c r="J47" s="21"/>
    </row>
    <row r="48" spans="2:17" s="9" customFormat="1" ht="16" customHeight="1">
      <c r="C48" s="190" t="s">
        <v>157</v>
      </c>
      <c r="D48" s="193"/>
      <c r="E48" s="193"/>
      <c r="F48" s="193"/>
      <c r="G48" s="193"/>
      <c r="H48" s="193"/>
      <c r="I48" s="193"/>
      <c r="J48" s="203">
        <f>G8</f>
        <v>2023</v>
      </c>
      <c r="K48" s="203">
        <f>J48+1</f>
        <v>2024</v>
      </c>
      <c r="L48" s="203">
        <f>K48+1</f>
        <v>2025</v>
      </c>
      <c r="M48" s="203">
        <f>L48+1</f>
        <v>2026</v>
      </c>
      <c r="N48" s="195">
        <f>M48+1</f>
        <v>2027</v>
      </c>
      <c r="Q48" s="172"/>
    </row>
    <row r="49" spans="3:17" s="9" customFormat="1" ht="3" customHeight="1">
      <c r="C49" s="200"/>
      <c r="D49" s="201"/>
      <c r="E49" s="201"/>
      <c r="F49" s="201"/>
      <c r="G49" s="201"/>
      <c r="H49" s="202"/>
      <c r="I49" s="202"/>
      <c r="J49" s="202"/>
      <c r="K49" s="202"/>
      <c r="L49" s="202"/>
      <c r="M49" s="202"/>
      <c r="N49" s="202"/>
      <c r="Q49" s="172"/>
    </row>
    <row r="50" spans="3:17" s="9" customFormat="1" ht="3" customHeight="1">
      <c r="C50" s="208"/>
      <c r="D50" s="209"/>
      <c r="E50" s="209"/>
      <c r="F50" s="209"/>
      <c r="G50" s="209"/>
      <c r="H50" s="209"/>
      <c r="I50" s="209"/>
      <c r="J50" s="209"/>
      <c r="K50" s="209"/>
      <c r="L50" s="209"/>
      <c r="M50" s="209"/>
      <c r="N50" s="210"/>
      <c r="Q50" s="172"/>
    </row>
    <row r="51" spans="3:17" ht="8.1999999999999993" customHeight="1">
      <c r="C51" s="163"/>
      <c r="L51" s="21"/>
      <c r="N51" s="160"/>
    </row>
    <row r="52" spans="3:17" ht="14.2" customHeight="1">
      <c r="C52" s="173" t="s">
        <v>37</v>
      </c>
      <c r="J52" s="410"/>
      <c r="K52" s="410"/>
      <c r="L52" s="410"/>
      <c r="M52" s="410"/>
      <c r="N52" s="174"/>
      <c r="Q52" s="22"/>
    </row>
    <row r="53" spans="3:17" ht="14.2" customHeight="1">
      <c r="C53" s="173"/>
      <c r="D53" t="s">
        <v>162</v>
      </c>
      <c r="G53" t="s">
        <v>145</v>
      </c>
      <c r="J53" s="410">
        <v>0</v>
      </c>
      <c r="K53" s="410">
        <v>0</v>
      </c>
      <c r="L53" s="410">
        <v>0</v>
      </c>
      <c r="M53" s="410">
        <v>0</v>
      </c>
      <c r="N53" s="174">
        <v>0</v>
      </c>
    </row>
    <row r="54" spans="3:17" ht="6" customHeight="1">
      <c r="C54" s="163"/>
      <c r="L54" s="21"/>
      <c r="N54" s="160"/>
    </row>
    <row r="55" spans="3:17" ht="14.2" customHeight="1">
      <c r="C55" s="173" t="s">
        <v>47</v>
      </c>
      <c r="J55" s="410"/>
      <c r="K55" s="410"/>
      <c r="L55" s="410"/>
      <c r="M55" s="410"/>
      <c r="N55" s="174"/>
      <c r="Q55" s="22"/>
    </row>
    <row r="56" spans="3:17" ht="14.2" customHeight="1">
      <c r="C56" s="173"/>
      <c r="D56" t="s">
        <v>163</v>
      </c>
      <c r="G56" t="s">
        <v>145</v>
      </c>
      <c r="J56" s="410">
        <v>0</v>
      </c>
      <c r="K56" s="410">
        <v>0</v>
      </c>
      <c r="L56" s="410">
        <v>0</v>
      </c>
      <c r="M56" s="410">
        <v>0</v>
      </c>
      <c r="N56" s="174">
        <v>0</v>
      </c>
    </row>
    <row r="57" spans="3:17" ht="6" customHeight="1">
      <c r="C57" s="163"/>
      <c r="L57" s="21"/>
      <c r="N57" s="160"/>
    </row>
    <row r="58" spans="3:17" ht="14.2" customHeight="1">
      <c r="C58" s="173" t="s">
        <v>101</v>
      </c>
      <c r="G58" t="s">
        <v>145</v>
      </c>
      <c r="J58" s="410">
        <v>16</v>
      </c>
      <c r="K58" s="410">
        <v>17</v>
      </c>
      <c r="L58" s="410">
        <v>17.3</v>
      </c>
      <c r="M58" s="410">
        <v>17.5</v>
      </c>
      <c r="N58" s="174">
        <v>18</v>
      </c>
      <c r="Q58" s="22"/>
    </row>
    <row r="59" spans="3:17" ht="6" customHeight="1">
      <c r="C59" s="163"/>
      <c r="L59" s="21"/>
      <c r="N59" s="160"/>
    </row>
    <row r="60" spans="3:17" ht="14.25" customHeight="1">
      <c r="C60" s="173" t="s">
        <v>173</v>
      </c>
      <c r="L60" s="21"/>
      <c r="N60" s="160"/>
    </row>
    <row r="61" spans="3:17" ht="14.25" customHeight="1">
      <c r="C61" s="163"/>
      <c r="D61" t="s">
        <v>177</v>
      </c>
      <c r="G61" t="s">
        <v>145</v>
      </c>
      <c r="J61" s="410">
        <v>5</v>
      </c>
      <c r="K61" s="410">
        <v>5</v>
      </c>
      <c r="L61" s="410">
        <v>5</v>
      </c>
      <c r="M61" s="410">
        <v>5</v>
      </c>
      <c r="N61" s="174">
        <v>5</v>
      </c>
    </row>
    <row r="62" spans="3:17" ht="6" customHeight="1">
      <c r="C62" s="163"/>
      <c r="L62" s="21"/>
      <c r="N62" s="160"/>
    </row>
    <row r="63" spans="3:17" ht="14.25" customHeight="1">
      <c r="C63" s="173" t="s">
        <v>158</v>
      </c>
      <c r="L63" s="21"/>
      <c r="N63" s="160"/>
    </row>
    <row r="64" spans="3:17" ht="14.2" customHeight="1">
      <c r="C64" s="163"/>
      <c r="D64" t="s">
        <v>14</v>
      </c>
      <c r="G64" t="s">
        <v>159</v>
      </c>
      <c r="J64" s="510">
        <v>48</v>
      </c>
      <c r="K64" s="510">
        <v>44</v>
      </c>
      <c r="L64" s="510">
        <v>40</v>
      </c>
      <c r="M64" s="510">
        <v>40</v>
      </c>
      <c r="N64" s="475">
        <v>40</v>
      </c>
    </row>
    <row r="65" spans="2:15" ht="14.2" customHeight="1">
      <c r="C65" s="169"/>
      <c r="D65" t="s">
        <v>28</v>
      </c>
      <c r="G65" t="s">
        <v>159</v>
      </c>
      <c r="J65" s="510">
        <v>70</v>
      </c>
      <c r="K65" s="510">
        <v>65</v>
      </c>
      <c r="L65" s="510">
        <v>60</v>
      </c>
      <c r="M65" s="510">
        <v>60</v>
      </c>
      <c r="N65" s="475">
        <v>55</v>
      </c>
    </row>
    <row r="66" spans="2:15" ht="14.2" customHeight="1">
      <c r="C66" s="169"/>
      <c r="D66" t="s">
        <v>164</v>
      </c>
      <c r="G66" t="s">
        <v>159</v>
      </c>
      <c r="J66" s="510">
        <v>30</v>
      </c>
      <c r="K66" s="510">
        <v>30</v>
      </c>
      <c r="L66" s="510">
        <v>30</v>
      </c>
      <c r="M66" s="510">
        <v>30</v>
      </c>
      <c r="N66" s="475">
        <v>30</v>
      </c>
    </row>
    <row r="67" spans="2:15" ht="14.2" customHeight="1">
      <c r="C67" s="169"/>
      <c r="D67" t="s">
        <v>165</v>
      </c>
      <c r="G67" t="s">
        <v>159</v>
      </c>
      <c r="J67" s="510">
        <v>3</v>
      </c>
      <c r="K67" s="510">
        <v>3</v>
      </c>
      <c r="L67" s="510">
        <v>3</v>
      </c>
      <c r="M67" s="510">
        <v>3</v>
      </c>
      <c r="N67" s="475">
        <v>3</v>
      </c>
    </row>
    <row r="68" spans="2:15" ht="14.2" customHeight="1">
      <c r="C68" s="159"/>
      <c r="D68" t="s">
        <v>20</v>
      </c>
      <c r="G68" t="s">
        <v>159</v>
      </c>
      <c r="J68" s="510">
        <v>40</v>
      </c>
      <c r="K68" s="510">
        <v>40</v>
      </c>
      <c r="L68" s="510">
        <v>40</v>
      </c>
      <c r="M68" s="510">
        <v>40</v>
      </c>
      <c r="N68" s="475">
        <v>40</v>
      </c>
    </row>
    <row r="69" spans="2:15" ht="14.2" customHeight="1">
      <c r="C69" s="159"/>
      <c r="D69" t="s">
        <v>166</v>
      </c>
      <c r="G69" t="s">
        <v>159</v>
      </c>
      <c r="J69" s="510">
        <v>10</v>
      </c>
      <c r="K69" s="510">
        <v>10</v>
      </c>
      <c r="L69" s="510">
        <v>10</v>
      </c>
      <c r="M69" s="510">
        <v>10</v>
      </c>
      <c r="N69" s="475">
        <v>10</v>
      </c>
    </row>
    <row r="70" spans="2:15" ht="6" customHeight="1">
      <c r="C70" s="159"/>
      <c r="N70" s="160"/>
    </row>
    <row r="71" spans="2:15" ht="14.2" customHeight="1">
      <c r="C71" s="476" t="s">
        <v>160</v>
      </c>
      <c r="N71" s="160"/>
    </row>
    <row r="72" spans="2:15" ht="14.2" customHeight="1">
      <c r="C72" s="476"/>
      <c r="D72" t="s">
        <v>200</v>
      </c>
      <c r="G72" t="s">
        <v>201</v>
      </c>
      <c r="J72" s="511">
        <v>0.1</v>
      </c>
      <c r="K72" s="511">
        <v>0.15</v>
      </c>
      <c r="L72" s="511">
        <v>0.2</v>
      </c>
      <c r="M72" s="511">
        <v>0.25</v>
      </c>
      <c r="N72" s="512">
        <f>1-SUM(J72:M72)</f>
        <v>0.30000000000000004</v>
      </c>
    </row>
    <row r="73" spans="2:15" ht="14.2" customHeight="1">
      <c r="C73" s="477"/>
      <c r="D73" t="s">
        <v>185</v>
      </c>
      <c r="G73" t="s">
        <v>145</v>
      </c>
      <c r="J73" s="410">
        <v>-25</v>
      </c>
      <c r="K73" s="410">
        <v>-25</v>
      </c>
      <c r="L73" s="410">
        <v>-25</v>
      </c>
      <c r="M73" s="410">
        <v>-25</v>
      </c>
      <c r="N73" s="174">
        <v>-25</v>
      </c>
    </row>
    <row r="74" spans="2:15" ht="14.2" customHeight="1">
      <c r="C74" s="159"/>
      <c r="D74" t="s">
        <v>121</v>
      </c>
      <c r="G74" t="s">
        <v>145</v>
      </c>
      <c r="J74" s="410">
        <v>0</v>
      </c>
      <c r="K74" s="410">
        <v>0</v>
      </c>
      <c r="L74" s="410">
        <v>0</v>
      </c>
      <c r="M74" s="410">
        <v>0</v>
      </c>
      <c r="N74" s="174">
        <v>0</v>
      </c>
    </row>
    <row r="75" spans="2:15" ht="12" customHeight="1">
      <c r="C75" s="161"/>
      <c r="D75" s="162"/>
      <c r="E75" s="162"/>
      <c r="F75" s="162"/>
      <c r="G75" s="162"/>
      <c r="H75" s="162"/>
      <c r="I75" s="162"/>
      <c r="J75" s="162"/>
      <c r="K75" s="478"/>
      <c r="L75" s="478"/>
      <c r="M75" s="478"/>
      <c r="N75" s="479"/>
    </row>
    <row r="76" spans="2:15" ht="9" customHeight="1">
      <c r="B76" s="8"/>
      <c r="C76" s="8"/>
      <c r="D76" s="18"/>
      <c r="E76" s="15"/>
      <c r="F76" s="15"/>
      <c r="G76" s="15"/>
      <c r="H76" s="15"/>
      <c r="I76" s="15"/>
      <c r="J76" s="15"/>
      <c r="K76" s="8"/>
      <c r="L76" s="8"/>
      <c r="M76" s="8"/>
      <c r="N76" s="8"/>
      <c r="O76" s="8"/>
    </row>
    <row r="77" spans="2:15" ht="12.75" customHeight="1">
      <c r="D77" s="480"/>
      <c r="E77" s="3"/>
      <c r="F77" s="3"/>
      <c r="G77" s="3"/>
      <c r="H77" s="3"/>
    </row>
    <row r="78" spans="2:15">
      <c r="D78" s="21"/>
    </row>
    <row r="79" spans="2:15">
      <c r="D79" s="21"/>
    </row>
  </sheetData>
  <sheetProtection formatCells="0" formatColumns="0" formatRows="0" insertColumns="0" insertRows="0"/>
  <phoneticPr fontId="0" type="noConversion"/>
  <conditionalFormatting sqref="J350:N354">
    <cfRule type="cellIs" dxfId="1" priority="1" stopIfTrue="1" operator="greaterThan">
      <formula>330</formula>
    </cfRule>
  </conditionalFormatting>
  <printOptions horizontalCentered="1"/>
  <pageMargins left="0.23622047244094491" right="0.23622047244094491" top="0.35433070866141736" bottom="0.51181102362204722" header="0.23622047244094491" footer="0.23622047244094491"/>
  <pageSetup scale="95" orientation="landscape" r:id="rId1"/>
  <headerFooter alignWithMargins="0">
    <oddFooter>&amp;L&amp;F&amp;CPage &amp;P of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42"/>
  <sheetViews>
    <sheetView showGridLines="0" zoomScale="70" zoomScaleNormal="70" zoomScaleSheetLayoutView="100" workbookViewId="0">
      <selection activeCell="G19" sqref="G19"/>
    </sheetView>
  </sheetViews>
  <sheetFormatPr defaultColWidth="10.5546875" defaultRowHeight="12.3"/>
  <cols>
    <col min="1" max="1" width="4.27734375" style="26" bestFit="1" customWidth="1"/>
    <col min="2" max="2" width="1.5546875" style="26" customWidth="1"/>
    <col min="3" max="3" width="18.5546875" style="26" customWidth="1"/>
    <col min="4" max="4" width="11.5546875" style="46" customWidth="1"/>
    <col min="5" max="5" width="1.5546875" style="46" customWidth="1"/>
    <col min="6" max="6" width="6.71875" style="26" customWidth="1"/>
    <col min="7" max="11" width="12.71875" style="26" customWidth="1"/>
    <col min="12" max="16" width="13.5546875" style="26" customWidth="1"/>
    <col min="17" max="16384" width="10.5546875" style="26"/>
  </cols>
  <sheetData>
    <row r="1" spans="1:11" s="23" customFormat="1" ht="22.75" customHeight="1">
      <c r="B1" s="24" t="str">
        <f>Assumptions!B1</f>
        <v>Dummy Co.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ht="17.7">
      <c r="B2" s="27" t="s">
        <v>193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ht="3" customHeight="1" thickBot="1">
      <c r="B3" s="179"/>
      <c r="C3" s="179"/>
      <c r="D3" s="180"/>
      <c r="E3" s="180"/>
      <c r="F3" s="179"/>
      <c r="G3" s="179"/>
      <c r="H3" s="179"/>
      <c r="I3" s="179"/>
      <c r="J3" s="179"/>
      <c r="K3" s="179"/>
    </row>
    <row r="4" spans="1:11" ht="12.75" customHeight="1">
      <c r="C4" s="28"/>
      <c r="D4" s="29"/>
      <c r="E4" s="29"/>
      <c r="F4" s="28"/>
    </row>
    <row r="5" spans="1:11" ht="6" customHeight="1">
      <c r="B5" s="30"/>
      <c r="C5" s="31"/>
      <c r="D5" s="32"/>
      <c r="E5" s="33"/>
      <c r="G5" s="34"/>
      <c r="H5" s="34"/>
      <c r="I5" s="34"/>
      <c r="J5" s="34"/>
      <c r="K5" s="34"/>
    </row>
    <row r="6" spans="1:11" ht="16.149999999999999" customHeight="1">
      <c r="B6" s="35" t="s">
        <v>99</v>
      </c>
      <c r="C6" s="36"/>
      <c r="D6" s="242">
        <v>1</v>
      </c>
      <c r="E6" s="243"/>
      <c r="F6" s="36"/>
      <c r="G6" s="175">
        <f>Assumptions!G8</f>
        <v>2023</v>
      </c>
      <c r="H6" s="175">
        <f>G6+1</f>
        <v>2024</v>
      </c>
      <c r="I6" s="175">
        <f>H6+1</f>
        <v>2025</v>
      </c>
      <c r="J6" s="175">
        <f>I6+1</f>
        <v>2026</v>
      </c>
      <c r="K6" s="175">
        <f>J6+1</f>
        <v>2027</v>
      </c>
    </row>
    <row r="7" spans="1:11" ht="6" customHeight="1">
      <c r="B7" s="38"/>
      <c r="C7" s="39"/>
      <c r="D7" s="40"/>
      <c r="E7" s="41"/>
      <c r="F7" s="36"/>
      <c r="G7" s="37"/>
      <c r="H7" s="37"/>
      <c r="I7" s="42"/>
      <c r="J7" s="42"/>
      <c r="K7" s="37"/>
    </row>
    <row r="8" spans="1:11">
      <c r="B8" s="36"/>
      <c r="C8" s="36"/>
      <c r="D8" s="43"/>
      <c r="E8" s="43"/>
      <c r="F8" s="36"/>
      <c r="G8" s="37"/>
      <c r="H8" s="37"/>
      <c r="I8" s="42"/>
      <c r="J8" s="42"/>
      <c r="K8" s="37"/>
    </row>
    <row r="9" spans="1:11">
      <c r="B9" s="36"/>
      <c r="C9" s="36"/>
      <c r="D9" s="43"/>
      <c r="E9" s="43"/>
      <c r="F9" s="36"/>
      <c r="G9" s="37"/>
      <c r="H9" s="37"/>
      <c r="I9" s="42"/>
      <c r="J9" s="42"/>
      <c r="K9" s="37"/>
    </row>
    <row r="10" spans="1:11" ht="15">
      <c r="A10" s="44"/>
      <c r="B10" s="45" t="s">
        <v>92</v>
      </c>
    </row>
    <row r="11" spans="1:11" ht="12.75" customHeight="1"/>
    <row r="12" spans="1:11" ht="16.149999999999999" customHeight="1">
      <c r="B12" s="47" t="s">
        <v>98</v>
      </c>
      <c r="D12" s="48"/>
      <c r="E12" s="48"/>
      <c r="G12" s="236">
        <f>IF(D6=1,G14,IF(D6=2,G15,G16))</f>
        <v>0.02</v>
      </c>
      <c r="H12" s="236">
        <f>CHOOSE($D$6,H14,H15,H16)</f>
        <v>0.02</v>
      </c>
      <c r="I12" s="236">
        <f ca="1">OFFSET(I13,$D$6,0)</f>
        <v>0.02</v>
      </c>
      <c r="J12" s="236" cm="1">
        <f t="array" ref="J12">INDEX(J14:J16,$D$6)</f>
        <v>2.5000000000000001E-2</v>
      </c>
      <c r="K12" s="236" cm="1">
        <f t="array" ref="K12">INDEX(K14:K16,$D$6)</f>
        <v>2.5000000000000001E-2</v>
      </c>
    </row>
    <row r="13" spans="1:11" ht="4.45" customHeight="1">
      <c r="B13" s="49"/>
      <c r="D13" s="48"/>
      <c r="E13" s="48"/>
      <c r="G13" s="50"/>
      <c r="H13" s="51"/>
      <c r="I13" s="51"/>
      <c r="J13" s="51"/>
      <c r="K13" s="51"/>
    </row>
    <row r="14" spans="1:11">
      <c r="B14" s="49"/>
      <c r="C14" s="26" t="str">
        <f>Assumptions!C18</f>
        <v>Base Case</v>
      </c>
      <c r="D14" s="48"/>
      <c r="G14" s="52">
        <v>0.02</v>
      </c>
      <c r="H14" s="53">
        <v>0.02</v>
      </c>
      <c r="I14" s="53">
        <v>0.02</v>
      </c>
      <c r="J14" s="53">
        <v>2.5000000000000001E-2</v>
      </c>
      <c r="K14" s="54">
        <v>2.5000000000000001E-2</v>
      </c>
    </row>
    <row r="15" spans="1:11">
      <c r="B15" s="49"/>
      <c r="C15" s="26" t="str">
        <f>Assumptions!C19</f>
        <v>Best Case</v>
      </c>
      <c r="D15" s="48"/>
      <c r="G15" s="55">
        <v>1.7999999999999999E-2</v>
      </c>
      <c r="H15" s="56">
        <v>1.7999999999999999E-2</v>
      </c>
      <c r="I15" s="56">
        <v>1.7999999999999999E-2</v>
      </c>
      <c r="J15" s="56">
        <v>0.02</v>
      </c>
      <c r="K15" s="57">
        <v>0.02</v>
      </c>
    </row>
    <row r="16" spans="1:11">
      <c r="B16" s="49"/>
      <c r="C16" s="26" t="str">
        <f>Assumptions!C20</f>
        <v>Worst Case</v>
      </c>
      <c r="D16" s="48"/>
      <c r="G16" s="58">
        <v>2.5000000000000001E-2</v>
      </c>
      <c r="H16" s="59">
        <v>2.5000000000000001E-2</v>
      </c>
      <c r="I16" s="59">
        <v>2.5000000000000001E-2</v>
      </c>
      <c r="J16" s="59">
        <v>2.5000000000000001E-2</v>
      </c>
      <c r="K16" s="60">
        <v>2.5000000000000001E-2</v>
      </c>
    </row>
    <row r="17" spans="1:12">
      <c r="C17" s="61"/>
      <c r="D17" s="62"/>
      <c r="E17" s="62"/>
      <c r="G17" s="63"/>
      <c r="H17" s="63"/>
      <c r="I17" s="63"/>
      <c r="J17" s="63"/>
      <c r="K17" s="64"/>
    </row>
    <row r="18" spans="1:12">
      <c r="B18" s="65"/>
      <c r="C18" s="65"/>
      <c r="D18" s="66"/>
      <c r="E18" s="66"/>
      <c r="F18" s="65"/>
      <c r="G18" s="65"/>
      <c r="H18" s="65"/>
      <c r="I18" s="65"/>
      <c r="J18" s="65"/>
      <c r="K18" s="65"/>
    </row>
    <row r="20" spans="1:12" ht="12.75" customHeight="1"/>
    <row r="21" spans="1:12" ht="12.75" customHeight="1">
      <c r="B21" s="45" t="s">
        <v>108</v>
      </c>
    </row>
    <row r="22" spans="1:12" ht="12.75" customHeight="1"/>
    <row r="23" spans="1:12" s="67" customFormat="1" ht="16.149999999999999" customHeight="1">
      <c r="B23" s="47" t="s">
        <v>169</v>
      </c>
      <c r="D23" s="68"/>
      <c r="E23" s="68"/>
      <c r="G23" s="237">
        <f>CHOOSE($D$6,G25,G26,G27)</f>
        <v>800</v>
      </c>
      <c r="H23" s="237">
        <f>CHOOSE($D$6,H25,H26,H27)</f>
        <v>725</v>
      </c>
      <c r="I23" s="237">
        <f>CHOOSE($D$6,I25,I26,I27)</f>
        <v>825</v>
      </c>
      <c r="J23" s="237">
        <f>CHOOSE($D$6,J25,J26,J27)</f>
        <v>800</v>
      </c>
      <c r="K23" s="237">
        <f>CHOOSE($D$6,K25,K26,K27)</f>
        <v>750</v>
      </c>
    </row>
    <row r="24" spans="1:12" ht="4.45" customHeight="1">
      <c r="B24" s="69"/>
      <c r="D24" s="48"/>
      <c r="E24" s="48"/>
      <c r="G24" s="70"/>
      <c r="H24" s="70"/>
      <c r="I24" s="70"/>
      <c r="J24" s="70"/>
      <c r="K24" s="70"/>
    </row>
    <row r="25" spans="1:12">
      <c r="C25" s="61" t="str">
        <f>C14</f>
        <v>Base Case</v>
      </c>
      <c r="D25" s="62"/>
      <c r="E25" s="62"/>
      <c r="G25" s="465">
        <v>800</v>
      </c>
      <c r="H25" s="466">
        <v>725</v>
      </c>
      <c r="I25" s="466">
        <v>825</v>
      </c>
      <c r="J25" s="466">
        <v>800</v>
      </c>
      <c r="K25" s="467">
        <v>750</v>
      </c>
      <c r="L25" s="71"/>
    </row>
    <row r="26" spans="1:12">
      <c r="A26" s="124">
        <f>Assumptions!F19</f>
        <v>0.04</v>
      </c>
      <c r="C26" s="474" t="str">
        <f>"Worst Case: "&amp;A26</f>
        <v>Worst Case: 0.04</v>
      </c>
      <c r="D26" s="62"/>
      <c r="E26" s="62"/>
      <c r="G26" s="468">
        <f t="shared" ref="G26:K27" si="0">G$25*(1+$A$26)</f>
        <v>832</v>
      </c>
      <c r="H26" s="469">
        <f t="shared" si="0"/>
        <v>754</v>
      </c>
      <c r="I26" s="469">
        <f t="shared" si="0"/>
        <v>858</v>
      </c>
      <c r="J26" s="469">
        <f t="shared" si="0"/>
        <v>832</v>
      </c>
      <c r="K26" s="470">
        <f t="shared" si="0"/>
        <v>780</v>
      </c>
      <c r="L26" s="71"/>
    </row>
    <row r="27" spans="1:12">
      <c r="A27" s="124">
        <f>Assumptions!F20</f>
        <v>-0.04</v>
      </c>
      <c r="C27" s="474" t="str">
        <f>"Best Case: "&amp;A27</f>
        <v>Best Case: -0.04</v>
      </c>
      <c r="D27" s="62"/>
      <c r="E27" s="62"/>
      <c r="G27" s="471">
        <f t="shared" si="0"/>
        <v>832</v>
      </c>
      <c r="H27" s="472">
        <f t="shared" si="0"/>
        <v>754</v>
      </c>
      <c r="I27" s="472">
        <f t="shared" si="0"/>
        <v>858</v>
      </c>
      <c r="J27" s="472">
        <f t="shared" si="0"/>
        <v>832</v>
      </c>
      <c r="K27" s="473">
        <f t="shared" si="0"/>
        <v>780</v>
      </c>
      <c r="L27" s="71"/>
    </row>
    <row r="28" spans="1:12">
      <c r="C28" s="73"/>
      <c r="D28" s="62"/>
      <c r="E28" s="62"/>
      <c r="G28" s="74"/>
      <c r="H28" s="74"/>
      <c r="I28" s="74"/>
      <c r="J28" s="74"/>
      <c r="K28" s="75"/>
      <c r="L28" s="71"/>
    </row>
    <row r="29" spans="1:12">
      <c r="C29" s="73"/>
      <c r="D29" s="62"/>
      <c r="E29" s="62"/>
      <c r="G29" s="74"/>
      <c r="H29" s="74"/>
      <c r="I29" s="74"/>
      <c r="J29" s="74"/>
      <c r="K29" s="75"/>
      <c r="L29" s="71"/>
    </row>
    <row r="30" spans="1:12" ht="16.149999999999999" customHeight="1">
      <c r="B30" s="47" t="s">
        <v>109</v>
      </c>
      <c r="D30" s="48"/>
      <c r="E30" s="48"/>
      <c r="G30" s="236">
        <f>CHOOSE($D$6,G32,G33,G34)</f>
        <v>0.05</v>
      </c>
      <c r="H30" s="236">
        <f>CHOOSE($D$6,H32,H33,H34)</f>
        <v>0.04</v>
      </c>
      <c r="I30" s="236">
        <f>CHOOSE($D$6,I32,I33,I34)</f>
        <v>0.04</v>
      </c>
      <c r="J30" s="236">
        <f>CHOOSE($D$6,J32,J33,J34)</f>
        <v>0.04</v>
      </c>
      <c r="K30" s="236">
        <f>CHOOSE($D$6,K32,K33,K34)</f>
        <v>0.04</v>
      </c>
    </row>
    <row r="31" spans="1:12" ht="4.45" customHeight="1">
      <c r="B31" s="49"/>
      <c r="D31" s="48"/>
      <c r="E31" s="48"/>
      <c r="G31" s="50"/>
      <c r="H31" s="51"/>
      <c r="I31" s="51"/>
      <c r="J31" s="51"/>
      <c r="K31" s="51"/>
    </row>
    <row r="32" spans="1:12">
      <c r="B32" s="49"/>
      <c r="C32" s="26" t="str">
        <f>C14</f>
        <v>Base Case</v>
      </c>
      <c r="D32" s="48"/>
      <c r="E32" s="48"/>
      <c r="G32" s="52">
        <v>0.05</v>
      </c>
      <c r="H32" s="53">
        <v>0.04</v>
      </c>
      <c r="I32" s="53">
        <v>0.04</v>
      </c>
      <c r="J32" s="53">
        <v>0.04</v>
      </c>
      <c r="K32" s="54">
        <v>0.04</v>
      </c>
    </row>
    <row r="33" spans="2:12">
      <c r="B33" s="49"/>
      <c r="C33" s="26" t="str">
        <f>C15</f>
        <v>Best Case</v>
      </c>
      <c r="D33" s="48"/>
      <c r="E33" s="48"/>
      <c r="G33" s="55">
        <v>0.05</v>
      </c>
      <c r="H33" s="56">
        <v>0.04</v>
      </c>
      <c r="I33" s="56">
        <v>0.05</v>
      </c>
      <c r="J33" s="56">
        <v>0.05</v>
      </c>
      <c r="K33" s="57">
        <v>0.04</v>
      </c>
    </row>
    <row r="34" spans="2:12">
      <c r="B34" s="49"/>
      <c r="C34" s="26" t="str">
        <f>C16</f>
        <v>Worst Case</v>
      </c>
      <c r="D34" s="48"/>
      <c r="E34" s="48"/>
      <c r="G34" s="58">
        <v>0.04</v>
      </c>
      <c r="H34" s="59">
        <v>0.04</v>
      </c>
      <c r="I34" s="59">
        <v>0.03</v>
      </c>
      <c r="J34" s="59">
        <v>0.03</v>
      </c>
      <c r="K34" s="60">
        <v>0.02</v>
      </c>
    </row>
    <row r="35" spans="2:12">
      <c r="C35" s="73"/>
      <c r="D35" s="62"/>
      <c r="E35" s="62"/>
      <c r="G35" s="74"/>
      <c r="H35" s="74"/>
      <c r="I35" s="74"/>
      <c r="J35" s="74"/>
      <c r="K35" s="75"/>
      <c r="L35" s="71"/>
    </row>
    <row r="36" spans="2:12">
      <c r="B36" s="76"/>
      <c r="C36" s="76"/>
      <c r="D36" s="77"/>
      <c r="E36" s="77"/>
      <c r="F36" s="76"/>
      <c r="G36" s="76"/>
      <c r="H36" s="76"/>
      <c r="I36" s="76"/>
      <c r="J36" s="76"/>
      <c r="K36" s="76"/>
    </row>
    <row r="39" spans="2:12">
      <c r="C39" s="36"/>
      <c r="D39" s="48"/>
      <c r="E39" s="48"/>
      <c r="G39" s="78"/>
    </row>
    <row r="40" spans="2:12">
      <c r="D40" s="62"/>
      <c r="E40" s="62"/>
      <c r="H40" s="72"/>
    </row>
    <row r="41" spans="2:12">
      <c r="D41" s="62"/>
      <c r="E41" s="62"/>
    </row>
    <row r="42" spans="2:12">
      <c r="G42" s="78"/>
    </row>
  </sheetData>
  <sheetProtection formatCells="0" formatColumns="0" formatRows="0" insertColumns="0" insertRows="0"/>
  <phoneticPr fontId="0" type="noConversion"/>
  <conditionalFormatting sqref="J348:L352">
    <cfRule type="cellIs" dxfId="0" priority="1" stopIfTrue="1" operator="greaterThan">
      <formula>330</formula>
    </cfRule>
  </conditionalFormatting>
  <printOptions horizontalCentered="1"/>
  <pageMargins left="0.23622047244094491" right="0.23622047244094491" top="0.35433070866141736" bottom="0.51181102362204722" header="0.23622047244094491" footer="0.23622047244094491"/>
  <pageSetup scale="95" orientation="landscape" r:id="rId1"/>
  <headerFooter alignWithMargins="0">
    <oddFooter>&amp;L&amp;F&amp;CPage &amp;P of &amp;N&amp;R&amp;D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Drop Down 2">
              <controlPr defaultSize="0" autoLine="0" autoPict="0">
                <anchor moveWithCells="1">
                  <from>
                    <xdr:col>2</xdr:col>
                    <xdr:colOff>1207770</xdr:colOff>
                    <xdr:row>4</xdr:row>
                    <xdr:rowOff>49530</xdr:rowOff>
                  </from>
                  <to>
                    <xdr:col>4</xdr:col>
                    <xdr:colOff>91440</xdr:colOff>
                    <xdr:row>6</xdr:row>
                    <xdr:rowOff>41910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IC362"/>
  <sheetViews>
    <sheetView showGridLines="0" topLeftCell="A54" zoomScale="70" zoomScaleNormal="70" zoomScaleSheetLayoutView="50" workbookViewId="0">
      <selection activeCell="J306" sqref="J306"/>
    </sheetView>
  </sheetViews>
  <sheetFormatPr defaultColWidth="9.44140625" defaultRowHeight="12.3"/>
  <cols>
    <col min="1" max="1" width="3.5546875" customWidth="1"/>
    <col min="2" max="2" width="1.83203125" customWidth="1"/>
    <col min="3" max="3" width="2.44140625" customWidth="1"/>
    <col min="4" max="4" width="11.44140625" customWidth="1"/>
    <col min="5" max="5" width="12.5546875" customWidth="1"/>
    <col min="6" max="6" width="10.44140625" style="80" customWidth="1"/>
    <col min="7" max="7" width="1.83203125" customWidth="1"/>
    <col min="8" max="15" width="10.71875" customWidth="1"/>
    <col min="18" max="19" width="11.1640625" bestFit="1" customWidth="1"/>
    <col min="20" max="20" width="2.71875" customWidth="1"/>
    <col min="21" max="21" width="3" customWidth="1"/>
  </cols>
  <sheetData>
    <row r="1" spans="1:15" ht="12.75" customHeight="1">
      <c r="A1" s="534"/>
      <c r="B1" s="2"/>
      <c r="C1" s="3"/>
      <c r="D1" s="3"/>
      <c r="E1" s="3"/>
      <c r="F1" s="79"/>
      <c r="G1" s="3"/>
      <c r="H1" s="3"/>
      <c r="I1" s="3"/>
      <c r="J1" s="3"/>
      <c r="K1" s="3"/>
      <c r="L1" s="3"/>
      <c r="M1" s="3"/>
      <c r="N1" s="3"/>
      <c r="O1" s="246" t="str">
        <f>UPPER(_xlfn.CONCAT("Currently Running: ",CHOOSE(Scenarios!$D$6,Scenarios!C14,Scenarios!C15,Scenarios!C16)," Scenario"))</f>
        <v>CURRENTLY RUNNING: BASE CASE SCENARIO</v>
      </c>
    </row>
    <row r="2" spans="1:15" ht="22.5">
      <c r="A2" s="535"/>
      <c r="B2" s="1" t="str">
        <f>Scenarios!B1</f>
        <v>Dummy Co.</v>
      </c>
      <c r="C2" s="3"/>
      <c r="D2" s="3"/>
      <c r="E2" s="3"/>
      <c r="F2" s="79"/>
      <c r="G2" s="3"/>
      <c r="H2" s="3"/>
      <c r="I2" s="3"/>
      <c r="J2" s="3"/>
      <c r="K2" s="3"/>
      <c r="L2" s="3"/>
      <c r="M2" s="3"/>
      <c r="N2" s="3"/>
      <c r="O2" s="3"/>
    </row>
    <row r="3" spans="1:15" ht="17.7">
      <c r="A3" s="536"/>
      <c r="B3" s="247" t="s">
        <v>100</v>
      </c>
      <c r="C3" s="248"/>
      <c r="D3" s="248"/>
      <c r="E3" s="248"/>
      <c r="F3" s="249"/>
      <c r="G3" s="248"/>
      <c r="H3" s="248"/>
      <c r="I3" s="248"/>
      <c r="J3" s="248"/>
      <c r="K3" s="248"/>
      <c r="L3" s="248"/>
      <c r="M3" s="248"/>
      <c r="N3" s="248"/>
      <c r="O3" s="248"/>
    </row>
    <row r="4" spans="1:15" ht="3" customHeight="1" thickBot="1">
      <c r="A4" s="536"/>
      <c r="B4" s="250"/>
      <c r="C4" s="251"/>
      <c r="D4" s="251"/>
      <c r="E4" s="251"/>
      <c r="F4" s="252"/>
      <c r="G4" s="251"/>
      <c r="H4" s="251"/>
      <c r="I4" s="251"/>
      <c r="J4" s="251"/>
      <c r="K4" s="251"/>
      <c r="L4" s="251"/>
      <c r="M4" s="251"/>
      <c r="N4" s="251"/>
      <c r="O4" s="251"/>
    </row>
    <row r="5" spans="1:15" ht="12.75" customHeight="1">
      <c r="A5" s="247"/>
      <c r="B5" s="248"/>
      <c r="C5" s="248"/>
      <c r="D5" s="248"/>
      <c r="E5" s="248"/>
      <c r="F5" s="249"/>
      <c r="G5" s="248"/>
      <c r="H5" s="248"/>
      <c r="I5" s="248"/>
      <c r="J5" s="248"/>
      <c r="K5" s="248"/>
      <c r="L5" s="248"/>
      <c r="M5" s="248"/>
      <c r="N5" s="248"/>
      <c r="O5" s="248"/>
    </row>
    <row r="6" spans="1:15">
      <c r="G6" s="253"/>
      <c r="K6" s="254" t="s">
        <v>2</v>
      </c>
      <c r="L6" s="15"/>
      <c r="M6" s="15"/>
      <c r="N6" s="15"/>
      <c r="O6" s="15"/>
    </row>
    <row r="7" spans="1:15">
      <c r="G7" s="16"/>
      <c r="H7" s="255">
        <f>I7-1</f>
        <v>2020</v>
      </c>
      <c r="I7" s="255">
        <f>J7-1</f>
        <v>2021</v>
      </c>
      <c r="J7" s="255">
        <f>K7-1</f>
        <v>2022</v>
      </c>
      <c r="K7" s="256">
        <f>Scenarios!G6</f>
        <v>2023</v>
      </c>
      <c r="L7" s="256">
        <f>Scenarios!H6</f>
        <v>2024</v>
      </c>
      <c r="M7" s="256">
        <f>Scenarios!I6</f>
        <v>2025</v>
      </c>
      <c r="N7" s="256">
        <f>Scenarios!J6</f>
        <v>2026</v>
      </c>
      <c r="O7" s="256">
        <f>Scenarios!K6</f>
        <v>2027</v>
      </c>
    </row>
    <row r="8" spans="1:15" ht="12.75" customHeight="1">
      <c r="H8" s="257"/>
      <c r="I8" s="257"/>
      <c r="J8" s="257"/>
    </row>
    <row r="9" spans="1:15">
      <c r="B9" s="258" t="s">
        <v>1</v>
      </c>
      <c r="F9" s="259"/>
      <c r="H9" s="257"/>
      <c r="I9" s="257"/>
      <c r="J9" s="257"/>
      <c r="K9" s="260"/>
    </row>
    <row r="10" spans="1:15">
      <c r="C10" s="7" t="s">
        <v>62</v>
      </c>
      <c r="F10" s="261" t="s">
        <v>170</v>
      </c>
      <c r="H10" s="81"/>
      <c r="I10" s="81"/>
      <c r="J10" s="82">
        <v>694.4</v>
      </c>
      <c r="K10" s="262">
        <f>Scenarios!G23</f>
        <v>800</v>
      </c>
      <c r="L10" s="262">
        <f>Scenarios!H23</f>
        <v>725</v>
      </c>
      <c r="M10" s="262">
        <f>Scenarios!I23</f>
        <v>825</v>
      </c>
      <c r="N10" s="262">
        <f>Scenarios!J23</f>
        <v>800</v>
      </c>
      <c r="O10" s="262">
        <f>Scenarios!K23</f>
        <v>750</v>
      </c>
    </row>
    <row r="11" spans="1:15" ht="12.6">
      <c r="C11" t="s">
        <v>98</v>
      </c>
      <c r="F11" s="259" t="s">
        <v>110</v>
      </c>
      <c r="H11" s="263"/>
      <c r="I11" s="264"/>
      <c r="J11" s="264"/>
      <c r="K11" s="265">
        <f>Scenarios!G12</f>
        <v>0.02</v>
      </c>
      <c r="L11" s="265">
        <f>Scenarios!H12</f>
        <v>0.02</v>
      </c>
      <c r="M11" s="265">
        <f ca="1">Scenarios!I12</f>
        <v>0.02</v>
      </c>
      <c r="N11" s="265">
        <f>Scenarios!J12</f>
        <v>2.5000000000000001E-2</v>
      </c>
      <c r="O11" s="265">
        <f>Scenarios!K12</f>
        <v>2.5000000000000001E-2</v>
      </c>
    </row>
    <row r="12" spans="1:15">
      <c r="C12" s="14" t="s">
        <v>51</v>
      </c>
      <c r="F12" s="261" t="s">
        <v>170</v>
      </c>
      <c r="H12" s="83"/>
      <c r="I12" s="83"/>
      <c r="J12" s="84">
        <v>100</v>
      </c>
      <c r="K12" s="266">
        <f>J12*(1+K11)</f>
        <v>102</v>
      </c>
      <c r="L12" s="266">
        <f>K12*(1+L11)</f>
        <v>104.04</v>
      </c>
      <c r="M12" s="266">
        <f ca="1">L12*(1+M11)</f>
        <v>106.1208</v>
      </c>
      <c r="N12" s="266">
        <f ca="1">M12*(1+N11)</f>
        <v>108.77381999999999</v>
      </c>
      <c r="O12" s="266">
        <f ca="1">N12*(1+O11)</f>
        <v>111.49316549999998</v>
      </c>
    </row>
    <row r="13" spans="1:15">
      <c r="C13" s="267" t="s">
        <v>64</v>
      </c>
      <c r="F13" s="268" t="s">
        <v>170</v>
      </c>
      <c r="H13" s="85"/>
      <c r="I13" s="85"/>
      <c r="J13" s="86">
        <f t="shared" ref="J13:O13" si="0">J10-J12</f>
        <v>594.4</v>
      </c>
      <c r="K13" s="86">
        <f t="shared" si="0"/>
        <v>698</v>
      </c>
      <c r="L13" s="86">
        <f t="shared" si="0"/>
        <v>620.96</v>
      </c>
      <c r="M13" s="86">
        <f t="shared" ca="1" si="0"/>
        <v>718.87919999999997</v>
      </c>
      <c r="N13" s="86">
        <f t="shared" ca="1" si="0"/>
        <v>691.22618</v>
      </c>
      <c r="O13" s="86">
        <f t="shared" ca="1" si="0"/>
        <v>638.50683449999997</v>
      </c>
    </row>
    <row r="14" spans="1:15">
      <c r="B14" s="269"/>
      <c r="C14" s="270"/>
      <c r="D14" s="269"/>
      <c r="E14" s="269"/>
      <c r="F14" s="271"/>
      <c r="G14" s="269"/>
      <c r="H14" s="87"/>
      <c r="I14" s="87"/>
      <c r="J14" s="87"/>
      <c r="K14" s="88"/>
      <c r="L14" s="88"/>
      <c r="M14" s="88"/>
      <c r="N14" s="88"/>
      <c r="O14" s="88"/>
    </row>
    <row r="15" spans="1:15">
      <c r="C15" s="258"/>
      <c r="F15" s="268"/>
      <c r="H15" s="89"/>
      <c r="I15" s="89"/>
      <c r="J15" s="89"/>
      <c r="K15" s="90"/>
      <c r="L15" s="90"/>
      <c r="M15" s="90"/>
      <c r="N15" s="90"/>
      <c r="O15" s="90"/>
    </row>
    <row r="16" spans="1:15">
      <c r="B16" s="267" t="s">
        <v>111</v>
      </c>
      <c r="F16" s="259"/>
    </row>
    <row r="17" spans="1:27">
      <c r="B17" s="267"/>
      <c r="C17" t="s">
        <v>161</v>
      </c>
      <c r="F17" s="259" t="s">
        <v>76</v>
      </c>
      <c r="H17" s="82"/>
      <c r="I17" s="82"/>
      <c r="J17" s="82"/>
      <c r="K17" s="262">
        <f>Assumptions!N17</f>
        <v>420</v>
      </c>
      <c r="L17" s="91">
        <f>K17</f>
        <v>420</v>
      </c>
      <c r="M17" s="91">
        <f>L17</f>
        <v>420</v>
      </c>
      <c r="N17" s="91">
        <f>M17</f>
        <v>420</v>
      </c>
      <c r="O17" s="91">
        <f>N17</f>
        <v>420</v>
      </c>
    </row>
    <row r="18" spans="1:27">
      <c r="B18" s="267"/>
      <c r="F18" s="259"/>
    </row>
    <row r="19" spans="1:27" ht="12.6">
      <c r="C19" t="s">
        <v>109</v>
      </c>
      <c r="F19" s="259" t="s">
        <v>110</v>
      </c>
      <c r="H19" s="263"/>
      <c r="I19" s="264"/>
      <c r="J19" s="272"/>
      <c r="K19" s="273">
        <f>Scenarios!G30</f>
        <v>0.05</v>
      </c>
      <c r="L19" s="273">
        <f>Scenarios!H30</f>
        <v>0.04</v>
      </c>
      <c r="M19" s="273">
        <f>Scenarios!I30</f>
        <v>0.04</v>
      </c>
      <c r="N19" s="273">
        <f>Scenarios!J30</f>
        <v>0.04</v>
      </c>
      <c r="O19" s="273">
        <f>Scenarios!K30</f>
        <v>0.04</v>
      </c>
    </row>
    <row r="20" spans="1:27">
      <c r="C20" s="256" t="s">
        <v>112</v>
      </c>
      <c r="F20" s="274" t="s">
        <v>76</v>
      </c>
      <c r="H20" s="92"/>
      <c r="I20" s="92"/>
      <c r="J20" s="86">
        <f>J26*1000/J10</f>
        <v>344.4700460829493</v>
      </c>
      <c r="K20" s="86">
        <f>MIN(J20*(1+K19),K17)</f>
        <v>361.69354838709677</v>
      </c>
      <c r="L20" s="86">
        <f>MIN(K20*(1+L19),L17)</f>
        <v>376.16129032258067</v>
      </c>
      <c r="M20" s="86">
        <f>MIN(L20*(1+M19),M17)</f>
        <v>391.20774193548391</v>
      </c>
      <c r="N20" s="86">
        <f>MIN(M20*(1+N19),N17)</f>
        <v>406.85605161290329</v>
      </c>
      <c r="O20" s="86">
        <f>MIN(N20*(1+O19),O17)</f>
        <v>420</v>
      </c>
    </row>
    <row r="21" spans="1:27" ht="6" customHeight="1">
      <c r="C21" s="256"/>
      <c r="F21" s="274"/>
      <c r="H21" s="90"/>
      <c r="I21" s="90"/>
      <c r="J21" s="90"/>
      <c r="K21" s="90"/>
      <c r="L21" s="90"/>
      <c r="M21" s="90"/>
      <c r="N21" s="90"/>
      <c r="O21" s="90"/>
    </row>
    <row r="22" spans="1:27">
      <c r="C22" t="s">
        <v>52</v>
      </c>
      <c r="F22" s="274"/>
      <c r="H22" s="275"/>
      <c r="I22" s="275"/>
      <c r="J22" s="275"/>
      <c r="K22" s="275">
        <f>K20/K17</f>
        <v>0.86117511520737322</v>
      </c>
      <c r="L22" s="275">
        <f>L20/L17</f>
        <v>0.8956221198156683</v>
      </c>
      <c r="M22" s="275">
        <f>M20/M17</f>
        <v>0.93144700460829499</v>
      </c>
      <c r="N22" s="275">
        <f>N20/N17</f>
        <v>0.96870488479262684</v>
      </c>
      <c r="O22" s="275">
        <f>O20/O17</f>
        <v>1</v>
      </c>
    </row>
    <row r="23" spans="1:27" ht="12.75" customHeight="1">
      <c r="B23" s="269"/>
      <c r="C23" s="269"/>
      <c r="D23" s="269"/>
      <c r="E23" s="269"/>
      <c r="F23" s="276"/>
      <c r="G23" s="269"/>
      <c r="H23" s="269"/>
      <c r="I23" s="269"/>
      <c r="J23" s="269"/>
      <c r="K23" s="269"/>
      <c r="L23" s="269"/>
      <c r="M23" s="269"/>
      <c r="N23" s="269"/>
      <c r="O23" s="269"/>
    </row>
    <row r="24" spans="1:27" ht="12.75" customHeight="1">
      <c r="F24" s="259"/>
    </row>
    <row r="25" spans="1:27">
      <c r="B25" s="256" t="s">
        <v>43</v>
      </c>
      <c r="F25" s="259"/>
    </row>
    <row r="26" spans="1:27">
      <c r="A26" s="537"/>
      <c r="C26" s="7" t="s">
        <v>44</v>
      </c>
      <c r="F26" s="259" t="s">
        <v>171</v>
      </c>
      <c r="H26" s="93"/>
      <c r="I26" s="93"/>
      <c r="J26" s="94">
        <f>J83</f>
        <v>239.2</v>
      </c>
      <c r="K26" s="94">
        <f>K20*K10/1000</f>
        <v>289.35483870967738</v>
      </c>
      <c r="L26" s="94">
        <f>L20*L10/1000</f>
        <v>272.716935483871</v>
      </c>
      <c r="M26" s="94">
        <f>M20*M10/1000</f>
        <v>322.74638709677424</v>
      </c>
      <c r="N26" s="94">
        <f>N20*N10/1000</f>
        <v>325.48484129032266</v>
      </c>
      <c r="O26" s="94">
        <f>O20*O10/1000</f>
        <v>315</v>
      </c>
    </row>
    <row r="27" spans="1:27">
      <c r="C27" s="14" t="s">
        <v>51</v>
      </c>
      <c r="F27" s="259" t="s">
        <v>171</v>
      </c>
      <c r="H27" s="93"/>
      <c r="I27" s="93"/>
      <c r="J27" s="94">
        <f>J84</f>
        <v>34.4</v>
      </c>
      <c r="K27" s="94">
        <f>K$20*K12/1000</f>
        <v>36.892741935483869</v>
      </c>
      <c r="L27" s="94">
        <f>L$20*L12/1000</f>
        <v>39.135820645161296</v>
      </c>
      <c r="M27" s="94">
        <f ca="1">M$20*M12/1000</f>
        <v>41.515278540387101</v>
      </c>
      <c r="N27" s="94">
        <f ca="1">N$20*N12/1000</f>
        <v>44.255286924052648</v>
      </c>
      <c r="O27" s="94">
        <f ca="1">O$20*O12/1000</f>
        <v>46.827129509999992</v>
      </c>
    </row>
    <row r="28" spans="1:27">
      <c r="C28" s="256" t="s">
        <v>3</v>
      </c>
      <c r="F28" s="274" t="s">
        <v>171</v>
      </c>
      <c r="H28" s="95"/>
      <c r="I28" s="95"/>
      <c r="J28" s="96">
        <f t="shared" ref="J28:O28" si="1">J26-J27</f>
        <v>204.79999999999998</v>
      </c>
      <c r="K28" s="96">
        <f t="shared" si="1"/>
        <v>252.46209677419353</v>
      </c>
      <c r="L28" s="96">
        <f t="shared" si="1"/>
        <v>233.58111483870971</v>
      </c>
      <c r="M28" s="96">
        <f t="shared" ca="1" si="1"/>
        <v>281.23110855638714</v>
      </c>
      <c r="N28" s="96">
        <f t="shared" ca="1" si="1"/>
        <v>281.22955436627001</v>
      </c>
      <c r="O28" s="96">
        <f t="shared" ca="1" si="1"/>
        <v>268.17287049000004</v>
      </c>
    </row>
    <row r="29" spans="1:27" ht="12.75" customHeight="1">
      <c r="B29" s="8"/>
      <c r="C29" s="8"/>
      <c r="D29" s="8"/>
      <c r="E29" s="8"/>
      <c r="F29" s="277"/>
      <c r="G29" s="8"/>
      <c r="H29" s="8"/>
      <c r="I29" s="8"/>
      <c r="J29" s="8"/>
      <c r="K29" s="8"/>
      <c r="L29" s="8"/>
      <c r="M29" s="8"/>
      <c r="N29" s="8"/>
      <c r="O29" s="8"/>
    </row>
    <row r="30" spans="1:27" ht="12.75" customHeight="1">
      <c r="X30" s="80"/>
    </row>
    <row r="31" spans="1:27" ht="12.75" customHeight="1">
      <c r="A31" s="535"/>
      <c r="B31" s="1"/>
      <c r="C31" s="3"/>
      <c r="D31" s="3"/>
      <c r="E31" s="3"/>
      <c r="F31" s="79"/>
      <c r="G31" s="3"/>
      <c r="H31" s="3"/>
      <c r="I31" s="3"/>
      <c r="J31" s="3"/>
      <c r="K31" s="3"/>
      <c r="L31" s="3"/>
      <c r="M31" s="3"/>
      <c r="N31" s="3"/>
      <c r="O31" s="278" t="str">
        <f>$O$1</f>
        <v>CURRENTLY RUNNING: BASE CASE SCENARIO</v>
      </c>
      <c r="T31" s="1"/>
      <c r="U31" s="3"/>
      <c r="V31" s="3"/>
      <c r="W31" s="3"/>
      <c r="X31" s="79"/>
      <c r="Y31" s="3"/>
      <c r="Z31" s="3"/>
      <c r="AA31" s="3"/>
    </row>
    <row r="32" spans="1:27" ht="22.5">
      <c r="A32" s="535"/>
      <c r="B32" s="1" t="str">
        <f>B$2</f>
        <v>Dummy Co.</v>
      </c>
      <c r="C32" s="3"/>
      <c r="D32" s="3"/>
      <c r="E32" s="3"/>
      <c r="F32" s="79"/>
      <c r="G32" s="3"/>
      <c r="H32" s="3"/>
      <c r="I32" s="3"/>
      <c r="J32" s="3"/>
      <c r="K32" s="3"/>
      <c r="L32" s="3"/>
      <c r="M32" s="3"/>
      <c r="N32" s="3"/>
      <c r="O32" s="3"/>
      <c r="T32" s="1"/>
      <c r="U32" s="3"/>
      <c r="V32" s="3"/>
      <c r="W32" s="3"/>
      <c r="X32" s="79"/>
      <c r="Y32" s="3"/>
      <c r="Z32" s="3"/>
      <c r="AA32" s="3"/>
    </row>
    <row r="33" spans="1:15" ht="17.7">
      <c r="A33" s="536"/>
      <c r="B33" s="247" t="s">
        <v>181</v>
      </c>
      <c r="C33" s="248"/>
      <c r="D33" s="248"/>
      <c r="E33" s="248"/>
      <c r="F33" s="249"/>
      <c r="G33" s="248"/>
      <c r="H33" s="248"/>
      <c r="I33" s="248"/>
      <c r="J33" s="248"/>
      <c r="K33" s="248"/>
      <c r="L33" s="248"/>
      <c r="M33" s="248"/>
      <c r="N33" s="248"/>
      <c r="O33" s="248"/>
    </row>
    <row r="34" spans="1:15" ht="3" customHeight="1" thickBot="1">
      <c r="A34" s="536"/>
      <c r="B34" s="250"/>
      <c r="C34" s="251"/>
      <c r="D34" s="251"/>
      <c r="E34" s="251"/>
      <c r="F34" s="252"/>
      <c r="G34" s="251"/>
      <c r="H34" s="251"/>
      <c r="I34" s="251"/>
      <c r="J34" s="251"/>
      <c r="K34" s="251"/>
      <c r="L34" s="251"/>
      <c r="M34" s="251"/>
      <c r="N34" s="251"/>
      <c r="O34" s="251"/>
    </row>
    <row r="35" spans="1:15" ht="12.75" customHeight="1">
      <c r="A35" s="247"/>
      <c r="B35" s="248"/>
      <c r="C35" s="248"/>
      <c r="D35" s="248"/>
      <c r="E35" s="248"/>
      <c r="F35" s="249"/>
      <c r="G35" s="248"/>
      <c r="H35" s="248"/>
      <c r="I35" s="248"/>
      <c r="J35" s="248"/>
      <c r="K35" s="248"/>
      <c r="L35" s="248"/>
      <c r="M35" s="248"/>
      <c r="N35" s="248"/>
      <c r="O35" s="248"/>
    </row>
    <row r="36" spans="1:15">
      <c r="G36" s="253"/>
      <c r="K36" s="254" t="s">
        <v>2</v>
      </c>
      <c r="L36" s="15"/>
      <c r="M36" s="15"/>
      <c r="N36" s="15"/>
      <c r="O36" s="15"/>
    </row>
    <row r="37" spans="1:15">
      <c r="G37" s="16"/>
      <c r="H37" s="255">
        <f t="shared" ref="H37:O37" si="2">H$7</f>
        <v>2020</v>
      </c>
      <c r="I37" s="255">
        <f t="shared" si="2"/>
        <v>2021</v>
      </c>
      <c r="J37" s="255">
        <f t="shared" si="2"/>
        <v>2022</v>
      </c>
      <c r="K37" s="279">
        <f t="shared" si="2"/>
        <v>2023</v>
      </c>
      <c r="L37" s="279">
        <f t="shared" si="2"/>
        <v>2024</v>
      </c>
      <c r="M37" s="279">
        <f t="shared" si="2"/>
        <v>2025</v>
      </c>
      <c r="N37" s="279">
        <f t="shared" si="2"/>
        <v>2026</v>
      </c>
      <c r="O37" s="279">
        <f t="shared" si="2"/>
        <v>2027</v>
      </c>
    </row>
    <row r="38" spans="1:15" ht="13" customHeight="1">
      <c r="G38" s="16"/>
      <c r="H38" s="16"/>
      <c r="I38" s="16"/>
      <c r="J38" s="16"/>
      <c r="K38" s="16"/>
      <c r="L38" s="16"/>
      <c r="M38" s="16"/>
      <c r="N38" s="16"/>
      <c r="O38" s="16"/>
    </row>
    <row r="39" spans="1:15" ht="13" customHeight="1">
      <c r="B39" s="280" t="s">
        <v>112</v>
      </c>
      <c r="C39" s="281"/>
      <c r="D39" s="281"/>
      <c r="E39" s="281"/>
      <c r="F39" s="282" t="s">
        <v>76</v>
      </c>
      <c r="G39" s="283"/>
      <c r="H39" s="284"/>
      <c r="I39" s="284"/>
      <c r="J39" s="284">
        <f t="shared" ref="J39:O39" si="3">J20</f>
        <v>344.4700460829493</v>
      </c>
      <c r="K39" s="284">
        <f t="shared" si="3"/>
        <v>361.69354838709677</v>
      </c>
      <c r="L39" s="284">
        <f t="shared" si="3"/>
        <v>376.16129032258067</v>
      </c>
      <c r="M39" s="284">
        <f t="shared" si="3"/>
        <v>391.20774193548391</v>
      </c>
      <c r="N39" s="284">
        <f t="shared" si="3"/>
        <v>406.85605161290329</v>
      </c>
      <c r="O39" s="285">
        <f t="shared" si="3"/>
        <v>420</v>
      </c>
    </row>
    <row r="40" spans="1:15">
      <c r="B40" s="286" t="s">
        <v>98</v>
      </c>
      <c r="C40" s="269"/>
      <c r="D40" s="269"/>
      <c r="E40" s="269"/>
      <c r="F40" s="276" t="s">
        <v>110</v>
      </c>
      <c r="G40" s="287"/>
      <c r="H40" s="288"/>
      <c r="I40" s="288"/>
      <c r="J40" s="288"/>
      <c r="K40" s="288"/>
      <c r="L40" s="289">
        <f>L11</f>
        <v>0.02</v>
      </c>
      <c r="M40" s="289">
        <f ca="1">M11</f>
        <v>0.02</v>
      </c>
      <c r="N40" s="289">
        <f>N11</f>
        <v>2.5000000000000001E-2</v>
      </c>
      <c r="O40" s="290">
        <f>O11</f>
        <v>2.5000000000000001E-2</v>
      </c>
    </row>
    <row r="41" spans="1:15" ht="13" customHeight="1">
      <c r="B41" s="291"/>
      <c r="G41" s="16"/>
      <c r="H41" s="16"/>
      <c r="I41" s="16"/>
      <c r="J41" s="16"/>
      <c r="K41" s="16"/>
      <c r="L41" s="16"/>
      <c r="M41" s="16"/>
      <c r="N41" s="16"/>
      <c r="O41" s="16"/>
    </row>
    <row r="42" spans="1:15" ht="12.75" customHeight="1">
      <c r="A42" s="538"/>
      <c r="B42" s="292" t="s">
        <v>77</v>
      </c>
      <c r="G42" s="16"/>
      <c r="H42" s="16"/>
      <c r="I42" s="16"/>
      <c r="J42" s="16"/>
      <c r="K42" s="16"/>
      <c r="M42" s="16"/>
      <c r="N42" s="16"/>
      <c r="O42" s="16"/>
    </row>
    <row r="43" spans="1:15">
      <c r="A43" s="537"/>
      <c r="C43" s="256" t="s">
        <v>33</v>
      </c>
    </row>
    <row r="44" spans="1:15">
      <c r="D44" s="14" t="str">
        <f>Assumptions!C27</f>
        <v>Raw Materials</v>
      </c>
      <c r="F44" s="80" t="s">
        <v>170</v>
      </c>
      <c r="H44" s="293"/>
      <c r="I44" s="293"/>
      <c r="J44" s="293"/>
      <c r="K44" s="294">
        <f>Assumptions!E27</f>
        <v>226</v>
      </c>
      <c r="L44" s="295">
        <f t="shared" ref="L44:O45" si="4">K44*(1+L$40)</f>
        <v>230.52</v>
      </c>
      <c r="M44" s="295">
        <f t="shared" ca="1" si="4"/>
        <v>235.13040000000001</v>
      </c>
      <c r="N44" s="295">
        <f t="shared" ca="1" si="4"/>
        <v>241.00865999999999</v>
      </c>
      <c r="O44" s="295">
        <f t="shared" ca="1" si="4"/>
        <v>247.03387649999996</v>
      </c>
    </row>
    <row r="45" spans="1:15">
      <c r="D45" s="14" t="str">
        <f>Assumptions!C28</f>
        <v>Utilities</v>
      </c>
      <c r="F45" s="80" t="s">
        <v>170</v>
      </c>
      <c r="H45" s="293"/>
      <c r="I45" s="293"/>
      <c r="J45" s="293"/>
      <c r="K45" s="296">
        <f>Assumptions!E28</f>
        <v>66.2</v>
      </c>
      <c r="L45" s="297">
        <f t="shared" si="4"/>
        <v>67.524000000000001</v>
      </c>
      <c r="M45" s="297">
        <f t="shared" ca="1" si="4"/>
        <v>68.874480000000005</v>
      </c>
      <c r="N45" s="297">
        <f t="shared" ca="1" si="4"/>
        <v>70.596341999999993</v>
      </c>
      <c r="O45" s="297">
        <f t="shared" ca="1" si="4"/>
        <v>72.36125054999998</v>
      </c>
    </row>
    <row r="46" spans="1:15">
      <c r="D46" s="256" t="s">
        <v>34</v>
      </c>
      <c r="F46" s="298" t="s">
        <v>170</v>
      </c>
      <c r="H46" s="99"/>
      <c r="I46" s="99"/>
      <c r="J46" s="99"/>
      <c r="K46" s="99">
        <f>SUM(K44:K45)</f>
        <v>292.2</v>
      </c>
      <c r="L46" s="99">
        <f>SUM(L44:L45)</f>
        <v>298.04399999999998</v>
      </c>
      <c r="M46" s="99">
        <f ca="1">SUM(M44:M45)</f>
        <v>304.00488000000001</v>
      </c>
      <c r="N46" s="99">
        <f ca="1">SUM(N44:N45)</f>
        <v>311.60500200000001</v>
      </c>
      <c r="O46" s="99">
        <f ca="1">SUM(O44:O45)</f>
        <v>319.39512704999993</v>
      </c>
    </row>
    <row r="47" spans="1:15" ht="6" customHeight="1">
      <c r="D47" s="14"/>
      <c r="H47" s="116"/>
      <c r="I47" s="116"/>
      <c r="J47" s="116"/>
      <c r="K47" s="116"/>
      <c r="L47" s="116"/>
      <c r="M47" s="116"/>
      <c r="N47" s="116"/>
      <c r="O47" s="116"/>
    </row>
    <row r="48" spans="1:15" ht="12.75" customHeight="1">
      <c r="A48" s="538"/>
      <c r="C48" s="267" t="s">
        <v>35</v>
      </c>
      <c r="D48" s="14"/>
      <c r="H48" s="299"/>
      <c r="I48" s="299"/>
      <c r="J48" s="299"/>
      <c r="K48" s="299"/>
      <c r="L48" s="300"/>
      <c r="M48" s="300"/>
      <c r="N48" s="300"/>
      <c r="O48" s="300"/>
    </row>
    <row r="49" spans="1:16" ht="12.75" customHeight="1">
      <c r="D49" s="14" t="str">
        <f>Assumptions!C29</f>
        <v>Rent</v>
      </c>
      <c r="F49" s="80" t="s">
        <v>170</v>
      </c>
      <c r="H49" s="295"/>
      <c r="I49" s="295"/>
      <c r="J49" s="295"/>
      <c r="K49" s="295">
        <f t="shared" ref="K49:L51" si="5">K64/K$39*1000</f>
        <v>64.972129319955414</v>
      </c>
      <c r="L49" s="295">
        <f t="shared" si="5"/>
        <v>63.722665294571641</v>
      </c>
      <c r="M49" s="295">
        <f t="shared" ref="M49:O51" ca="1" si="6">M64/M$39*1000</f>
        <v>62.497229423522192</v>
      </c>
      <c r="N49" s="295">
        <f t="shared" ca="1" si="6"/>
        <v>61.595827076067536</v>
      </c>
      <c r="O49" s="295">
        <f t="shared" ca="1" si="6"/>
        <v>61.15988303571428</v>
      </c>
    </row>
    <row r="50" spans="1:16">
      <c r="D50" s="14" t="str">
        <f>Assumptions!C30</f>
        <v>Operating Labour</v>
      </c>
      <c r="F50" s="80" t="s">
        <v>170</v>
      </c>
      <c r="H50" s="295"/>
      <c r="I50" s="295"/>
      <c r="J50" s="295"/>
      <c r="K50" s="295">
        <f t="shared" si="5"/>
        <v>120.26755852842808</v>
      </c>
      <c r="L50" s="295">
        <f t="shared" si="5"/>
        <v>117.95472086441984</v>
      </c>
      <c r="M50" s="295">
        <f t="shared" ca="1" si="6"/>
        <v>115.68636084779638</v>
      </c>
      <c r="N50" s="295">
        <f t="shared" ca="1" si="6"/>
        <v>114.01780756633777</v>
      </c>
      <c r="O50" s="295">
        <f t="shared" ca="1" si="6"/>
        <v>113.21084732142856</v>
      </c>
    </row>
    <row r="51" spans="1:16" ht="12.75" customHeight="1">
      <c r="D51" t="s">
        <v>10</v>
      </c>
      <c r="F51" s="80" t="s">
        <v>170</v>
      </c>
      <c r="H51" s="295"/>
      <c r="I51" s="295"/>
      <c r="J51" s="295"/>
      <c r="K51" s="297">
        <f t="shared" si="5"/>
        <v>5.529542920847268</v>
      </c>
      <c r="L51" s="297">
        <f t="shared" si="5"/>
        <v>5.4232055569848203</v>
      </c>
      <c r="M51" s="297">
        <f t="shared" ca="1" si="6"/>
        <v>5.3189131424274203</v>
      </c>
      <c r="N51" s="297">
        <f t="shared" ca="1" si="6"/>
        <v>5.2421980490270235</v>
      </c>
      <c r="O51" s="297">
        <f t="shared" ca="1" si="6"/>
        <v>5.2050964285714274</v>
      </c>
    </row>
    <row r="52" spans="1:16">
      <c r="D52" s="258" t="s">
        <v>50</v>
      </c>
      <c r="F52" s="298" t="s">
        <v>170</v>
      </c>
      <c r="H52" s="99"/>
      <c r="I52" s="99"/>
      <c r="J52" s="99"/>
      <c r="K52" s="99">
        <f>SUM(K49:K51)</f>
        <v>190.76923076923075</v>
      </c>
      <c r="L52" s="99">
        <f>SUM(L49:L51)</f>
        <v>187.10059171597629</v>
      </c>
      <c r="M52" s="99">
        <f ca="1">SUM(M49:M51)</f>
        <v>183.50250341374598</v>
      </c>
      <c r="N52" s="99">
        <f ca="1">SUM(N49:N51)</f>
        <v>180.85583269143234</v>
      </c>
      <c r="O52" s="99">
        <f ca="1">SUM(O49:O51)</f>
        <v>179.57582678571427</v>
      </c>
      <c r="P52" s="301"/>
    </row>
    <row r="53" spans="1:16" ht="6" customHeight="1">
      <c r="C53" s="256"/>
      <c r="F53" s="298"/>
      <c r="H53" s="302"/>
      <c r="I53" s="302"/>
      <c r="J53" s="302"/>
      <c r="K53" s="302"/>
      <c r="L53" s="302"/>
      <c r="M53" s="302"/>
      <c r="N53" s="302"/>
      <c r="O53" s="302"/>
      <c r="P53" s="301"/>
    </row>
    <row r="54" spans="1:16" ht="12.6" thickBot="1">
      <c r="C54" s="258" t="s">
        <v>45</v>
      </c>
      <c r="F54" s="298" t="s">
        <v>170</v>
      </c>
      <c r="H54" s="95"/>
      <c r="I54" s="95"/>
      <c r="J54" s="95"/>
      <c r="K54" s="303">
        <f>SUM(K46,K53)</f>
        <v>292.2</v>
      </c>
      <c r="L54" s="303">
        <f>SUM(L46,L53)</f>
        <v>298.04399999999998</v>
      </c>
      <c r="M54" s="303">
        <f ca="1">SUM(M46,M53)</f>
        <v>304.00488000000001</v>
      </c>
      <c r="N54" s="303">
        <f ca="1">SUM(N46,N53)</f>
        <v>311.60500200000001</v>
      </c>
      <c r="O54" s="303">
        <f ca="1">SUM(O46,O53)</f>
        <v>319.39512704999993</v>
      </c>
    </row>
    <row r="55" spans="1:16" ht="13" customHeight="1" thickTop="1">
      <c r="B55" s="270"/>
      <c r="C55" s="304"/>
      <c r="D55" s="269"/>
      <c r="E55" s="269"/>
      <c r="F55" s="305"/>
      <c r="G55" s="306"/>
      <c r="H55" s="306"/>
      <c r="I55" s="306"/>
      <c r="J55" s="306"/>
      <c r="K55" s="306"/>
      <c r="L55" s="306"/>
      <c r="M55" s="306"/>
      <c r="N55" s="306"/>
      <c r="O55" s="306"/>
    </row>
    <row r="56" spans="1:16" ht="13" customHeight="1">
      <c r="B56" s="258"/>
      <c r="C56" s="256"/>
      <c r="F56" s="298"/>
      <c r="H56" s="302"/>
      <c r="I56" s="302"/>
      <c r="J56" s="302"/>
      <c r="K56" s="302"/>
      <c r="L56" s="302"/>
      <c r="M56" s="302"/>
      <c r="N56" s="302"/>
      <c r="O56" s="302"/>
    </row>
    <row r="57" spans="1:16">
      <c r="B57" s="292" t="s">
        <v>182</v>
      </c>
      <c r="C57" s="256"/>
      <c r="F57" s="298"/>
      <c r="H57" s="302"/>
      <c r="I57" s="302"/>
      <c r="J57" s="302"/>
      <c r="K57" s="302"/>
      <c r="L57" s="302"/>
      <c r="M57" s="302"/>
      <c r="N57" s="302"/>
      <c r="O57" s="302"/>
    </row>
    <row r="58" spans="1:16">
      <c r="A58" s="538"/>
      <c r="C58" s="256" t="s">
        <v>33</v>
      </c>
      <c r="F58" s="298"/>
      <c r="H58" s="302"/>
      <c r="I58" s="302"/>
      <c r="J58" s="302"/>
      <c r="K58" s="302"/>
      <c r="L58" s="302"/>
      <c r="M58" s="302"/>
      <c r="N58" s="302"/>
      <c r="O58" s="302"/>
    </row>
    <row r="59" spans="1:16">
      <c r="D59" s="14" t="str">
        <f>D44</f>
        <v>Raw Materials</v>
      </c>
      <c r="F59" s="80" t="s">
        <v>171</v>
      </c>
      <c r="H59" s="295"/>
      <c r="I59" s="295"/>
      <c r="J59" s="295"/>
      <c r="K59" s="295">
        <f>K44*K$39/1000</f>
        <v>81.742741935483863</v>
      </c>
      <c r="L59" s="295">
        <f>L44*L$39/1000</f>
        <v>86.712700645161291</v>
      </c>
      <c r="M59" s="295">
        <f t="shared" ref="M59:O60" ca="1" si="7">M44*M$39/1000</f>
        <v>91.984832844387114</v>
      </c>
      <c r="N59" s="295">
        <f t="shared" ca="1" si="7"/>
        <v>98.055831812116651</v>
      </c>
      <c r="O59" s="295">
        <f t="shared" ca="1" si="7"/>
        <v>103.75422812999999</v>
      </c>
    </row>
    <row r="60" spans="1:16">
      <c r="D60" s="14" t="str">
        <f>D45</f>
        <v>Utilities</v>
      </c>
      <c r="F60" s="80" t="s">
        <v>171</v>
      </c>
      <c r="H60" s="295"/>
      <c r="I60" s="295"/>
      <c r="J60" s="295"/>
      <c r="K60" s="297">
        <f>K45*K$39/1000</f>
        <v>23.944112903225808</v>
      </c>
      <c r="L60" s="297">
        <f>L45*L$39/1000</f>
        <v>25.399914967741939</v>
      </c>
      <c r="M60" s="297">
        <f t="shared" ca="1" si="7"/>
        <v>26.944229797780647</v>
      </c>
      <c r="N60" s="297">
        <f t="shared" ca="1" si="7"/>
        <v>28.722548964434168</v>
      </c>
      <c r="O60" s="297">
        <f t="shared" ca="1" si="7"/>
        <v>30.391725230999992</v>
      </c>
    </row>
    <row r="61" spans="1:16" ht="12.75" customHeight="1">
      <c r="D61" s="256" t="s">
        <v>34</v>
      </c>
      <c r="F61" s="298" t="s">
        <v>171</v>
      </c>
      <c r="H61" s="99"/>
      <c r="I61" s="99"/>
      <c r="J61" s="99"/>
      <c r="K61" s="99">
        <f>SUM(K59:K60)</f>
        <v>105.68685483870968</v>
      </c>
      <c r="L61" s="99">
        <f>SUM(L59:L60)</f>
        <v>112.11261561290323</v>
      </c>
      <c r="M61" s="99">
        <f ca="1">SUM(M59:M60)</f>
        <v>118.92906264216776</v>
      </c>
      <c r="N61" s="99">
        <f ca="1">SUM(N59:N60)</f>
        <v>126.77838077655082</v>
      </c>
      <c r="O61" s="99">
        <f ca="1">SUM(O59:O60)</f>
        <v>134.14595336099998</v>
      </c>
    </row>
    <row r="62" spans="1:16" ht="6" customHeight="1">
      <c r="D62" s="14"/>
      <c r="F62" s="298"/>
      <c r="H62" s="302"/>
      <c r="I62" s="302"/>
      <c r="J62" s="302"/>
      <c r="K62" s="302"/>
      <c r="L62" s="302"/>
      <c r="M62" s="302"/>
      <c r="N62" s="302"/>
      <c r="O62" s="302"/>
    </row>
    <row r="63" spans="1:16" ht="12.75" customHeight="1">
      <c r="A63" s="538"/>
      <c r="C63" s="267" t="s">
        <v>35</v>
      </c>
      <c r="D63" s="14"/>
      <c r="F63" s="298"/>
      <c r="H63" s="302"/>
      <c r="I63" s="302"/>
      <c r="J63" s="302"/>
      <c r="K63" s="302"/>
      <c r="L63" s="302"/>
      <c r="M63" s="302"/>
      <c r="N63" s="302"/>
      <c r="O63" s="302"/>
    </row>
    <row r="64" spans="1:16" ht="12.75" customHeight="1">
      <c r="A64" s="490"/>
      <c r="D64" s="14" t="str">
        <f>D49</f>
        <v>Rent</v>
      </c>
      <c r="F64" s="80" t="s">
        <v>171</v>
      </c>
      <c r="H64" s="293"/>
      <c r="I64" s="293"/>
      <c r="J64" s="293"/>
      <c r="K64" s="294">
        <f>Assumptions!E29</f>
        <v>23.5</v>
      </c>
      <c r="L64" s="295">
        <f t="shared" ref="L64:O66" si="8">K64*(1+L$40)</f>
        <v>23.97</v>
      </c>
      <c r="M64" s="295">
        <f t="shared" ca="1" si="8"/>
        <v>24.449400000000001</v>
      </c>
      <c r="N64" s="295">
        <f t="shared" ca="1" si="8"/>
        <v>25.060634999999998</v>
      </c>
      <c r="O64" s="295">
        <f t="shared" ca="1" si="8"/>
        <v>25.687150874999997</v>
      </c>
    </row>
    <row r="65" spans="1:15" ht="12.75" customHeight="1">
      <c r="D65" s="14" t="str">
        <f>D50</f>
        <v>Operating Labour</v>
      </c>
      <c r="F65" s="80" t="s">
        <v>171</v>
      </c>
      <c r="H65" s="293"/>
      <c r="I65" s="293"/>
      <c r="J65" s="293"/>
      <c r="K65" s="294">
        <f>Assumptions!E30</f>
        <v>43.5</v>
      </c>
      <c r="L65" s="295">
        <f t="shared" si="8"/>
        <v>44.37</v>
      </c>
      <c r="M65" s="295">
        <f t="shared" ca="1" si="8"/>
        <v>45.257399999999997</v>
      </c>
      <c r="N65" s="295">
        <f t="shared" ca="1" si="8"/>
        <v>46.388834999999993</v>
      </c>
      <c r="O65" s="295">
        <f t="shared" ca="1" si="8"/>
        <v>47.548555874999991</v>
      </c>
    </row>
    <row r="66" spans="1:15" ht="13" customHeight="1">
      <c r="D66" t="str">
        <f>D51</f>
        <v>Other</v>
      </c>
      <c r="F66" s="80" t="s">
        <v>171</v>
      </c>
      <c r="H66" s="293"/>
      <c r="I66" s="293"/>
      <c r="J66" s="293"/>
      <c r="K66" s="296">
        <f>Assumptions!E31</f>
        <v>2</v>
      </c>
      <c r="L66" s="297">
        <f t="shared" si="8"/>
        <v>2.04</v>
      </c>
      <c r="M66" s="297">
        <f t="shared" ca="1" si="8"/>
        <v>2.0808</v>
      </c>
      <c r="N66" s="297">
        <f t="shared" ca="1" si="8"/>
        <v>2.1328199999999997</v>
      </c>
      <c r="O66" s="297">
        <f t="shared" ca="1" si="8"/>
        <v>2.1861404999999996</v>
      </c>
    </row>
    <row r="67" spans="1:15" ht="13" customHeight="1">
      <c r="D67" s="258" t="s">
        <v>50</v>
      </c>
      <c r="F67" s="298" t="s">
        <v>171</v>
      </c>
      <c r="H67" s="99"/>
      <c r="I67" s="99"/>
      <c r="J67" s="99"/>
      <c r="K67" s="99">
        <f>SUM(K64:K66)</f>
        <v>69</v>
      </c>
      <c r="L67" s="99">
        <f>SUM(L64:L66)</f>
        <v>70.38000000000001</v>
      </c>
      <c r="M67" s="99">
        <f ca="1">SUM(M64:M66)</f>
        <v>71.787599999999998</v>
      </c>
      <c r="N67" s="99">
        <f ca="1">SUM(N64:N66)</f>
        <v>73.582289999999986</v>
      </c>
      <c r="O67" s="99">
        <f ca="1">SUM(O64:O66)</f>
        <v>75.421847249999985</v>
      </c>
    </row>
    <row r="68" spans="1:15" ht="6" customHeight="1">
      <c r="C68" s="256"/>
      <c r="H68" s="116"/>
      <c r="I68" s="116"/>
      <c r="J68" s="116"/>
      <c r="K68" s="116"/>
      <c r="L68" s="116"/>
      <c r="M68" s="116"/>
      <c r="N68" s="116"/>
      <c r="O68" s="116"/>
    </row>
    <row r="69" spans="1:15" ht="12.6" thickBot="1">
      <c r="C69" s="258" t="s">
        <v>45</v>
      </c>
      <c r="F69" s="298" t="s">
        <v>171</v>
      </c>
      <c r="H69" s="95"/>
      <c r="I69" s="95"/>
      <c r="J69" s="95"/>
      <c r="K69" s="303">
        <f>SUM(K61,K67)</f>
        <v>174.68685483870968</v>
      </c>
      <c r="L69" s="303">
        <f>SUM(L61,L67)</f>
        <v>182.49261561290325</v>
      </c>
      <c r="M69" s="303">
        <f ca="1">SUM(M61,M67)</f>
        <v>190.71666264216776</v>
      </c>
      <c r="N69" s="303">
        <f ca="1">SUM(N61,N67)</f>
        <v>200.36067077655082</v>
      </c>
      <c r="O69" s="303">
        <f ca="1">SUM(O61,O67)</f>
        <v>209.56780061099997</v>
      </c>
    </row>
    <row r="70" spans="1:15" ht="12.75" customHeight="1" thickTop="1">
      <c r="B70" s="307"/>
      <c r="C70" s="308"/>
      <c r="D70" s="8"/>
      <c r="E70" s="8"/>
      <c r="F70" s="309"/>
      <c r="G70" s="310"/>
      <c r="H70" s="310"/>
      <c r="I70" s="310"/>
      <c r="J70" s="310"/>
      <c r="K70" s="310"/>
      <c r="L70" s="310"/>
      <c r="M70" s="310"/>
      <c r="N70" s="310"/>
      <c r="O70" s="310"/>
    </row>
    <row r="71" spans="1:15">
      <c r="H71" s="109"/>
      <c r="I71" s="109"/>
      <c r="J71" s="109"/>
      <c r="K71" s="109"/>
      <c r="L71" s="109"/>
      <c r="M71" s="109"/>
      <c r="N71" s="109"/>
      <c r="O71" s="109"/>
    </row>
    <row r="72" spans="1:15" ht="12.75" customHeight="1">
      <c r="A72" s="535"/>
      <c r="B72" s="1"/>
      <c r="C72" s="3"/>
      <c r="D72" s="3"/>
      <c r="E72" s="3"/>
      <c r="F72" s="79"/>
      <c r="G72" s="3"/>
      <c r="H72" s="3"/>
      <c r="I72" s="3"/>
      <c r="J72" s="3"/>
      <c r="K72" s="3"/>
      <c r="L72" s="3"/>
      <c r="M72" s="3"/>
      <c r="N72" s="3"/>
      <c r="O72" s="278" t="str">
        <f>$O$1</f>
        <v>CURRENTLY RUNNING: BASE CASE SCENARIO</v>
      </c>
    </row>
    <row r="73" spans="1:15" ht="22.5">
      <c r="A73" s="535"/>
      <c r="B73" s="1" t="str">
        <f>B$2</f>
        <v>Dummy Co.</v>
      </c>
      <c r="C73" s="3"/>
      <c r="D73" s="3"/>
      <c r="E73" s="3"/>
      <c r="F73" s="79"/>
      <c r="G73" s="3"/>
      <c r="H73" s="3"/>
      <c r="I73" s="3"/>
      <c r="J73" s="3"/>
      <c r="K73" s="3"/>
      <c r="L73" s="3"/>
      <c r="M73" s="3"/>
      <c r="N73" s="3"/>
      <c r="O73" s="3"/>
    </row>
    <row r="74" spans="1:15" ht="17.7">
      <c r="A74" s="536"/>
      <c r="B74" s="247" t="s">
        <v>37</v>
      </c>
      <c r="C74" s="248"/>
      <c r="D74" s="248"/>
      <c r="E74" s="248"/>
      <c r="F74" s="249"/>
      <c r="G74" s="248"/>
      <c r="H74" s="248"/>
      <c r="I74" s="248"/>
      <c r="J74" s="248"/>
      <c r="K74" s="248"/>
      <c r="L74" s="248"/>
      <c r="M74" s="248"/>
      <c r="N74" s="248"/>
      <c r="O74" s="248"/>
    </row>
    <row r="75" spans="1:15" ht="3" customHeight="1" thickBot="1">
      <c r="A75" s="536"/>
      <c r="B75" s="250"/>
      <c r="C75" s="251"/>
      <c r="D75" s="251"/>
      <c r="E75" s="251"/>
      <c r="F75" s="252"/>
      <c r="G75" s="251"/>
      <c r="H75" s="251"/>
      <c r="I75" s="251"/>
      <c r="J75" s="251"/>
      <c r="K75" s="251"/>
      <c r="L75" s="251"/>
      <c r="M75" s="251"/>
      <c r="N75" s="251"/>
      <c r="O75" s="251"/>
    </row>
    <row r="76" spans="1:15" ht="15" customHeight="1">
      <c r="A76" s="247"/>
      <c r="B76" s="311" t="s">
        <v>172</v>
      </c>
      <c r="C76" s="248"/>
      <c r="D76" s="248"/>
      <c r="E76" s="248"/>
      <c r="F76" s="249"/>
      <c r="G76" s="248"/>
      <c r="H76" s="248"/>
      <c r="I76" s="248"/>
      <c r="J76" s="248"/>
      <c r="K76" s="248"/>
      <c r="L76" s="248"/>
      <c r="M76" s="248"/>
      <c r="N76" s="248"/>
      <c r="O76" s="248"/>
    </row>
    <row r="77" spans="1:15">
      <c r="G77" s="253"/>
      <c r="K77" s="254" t="s">
        <v>2</v>
      </c>
      <c r="L77" s="15"/>
      <c r="M77" s="15"/>
      <c r="N77" s="15"/>
      <c r="O77" s="15"/>
    </row>
    <row r="78" spans="1:15">
      <c r="G78" s="16"/>
      <c r="H78" s="255">
        <f t="shared" ref="H78:O78" si="9">H$7</f>
        <v>2020</v>
      </c>
      <c r="I78" s="255">
        <f t="shared" si="9"/>
        <v>2021</v>
      </c>
      <c r="J78" s="255">
        <f t="shared" si="9"/>
        <v>2022</v>
      </c>
      <c r="K78" s="279">
        <f t="shared" si="9"/>
        <v>2023</v>
      </c>
      <c r="L78" s="279">
        <f t="shared" si="9"/>
        <v>2024</v>
      </c>
      <c r="M78" s="279">
        <f t="shared" si="9"/>
        <v>2025</v>
      </c>
      <c r="N78" s="279">
        <f t="shared" si="9"/>
        <v>2026</v>
      </c>
      <c r="O78" s="279">
        <f t="shared" si="9"/>
        <v>2027</v>
      </c>
    </row>
    <row r="79" spans="1:15" ht="6" customHeight="1">
      <c r="G79" s="16"/>
      <c r="H79" s="16"/>
      <c r="I79" s="16"/>
      <c r="J79" s="16"/>
      <c r="K79" s="312"/>
      <c r="L79" s="312"/>
      <c r="M79" s="312"/>
      <c r="N79" s="50"/>
      <c r="O79" s="260"/>
    </row>
    <row r="80" spans="1:15">
      <c r="B80" s="313" t="s">
        <v>111</v>
      </c>
      <c r="C80" s="314"/>
      <c r="D80" s="314"/>
      <c r="E80" s="314"/>
      <c r="F80" s="314" t="s">
        <v>76</v>
      </c>
      <c r="G80" s="315"/>
      <c r="H80" s="316"/>
      <c r="I80" s="316"/>
      <c r="J80" s="316">
        <f t="shared" ref="J80:O80" si="10">J20</f>
        <v>344.4700460829493</v>
      </c>
      <c r="K80" s="316">
        <f t="shared" si="10"/>
        <v>361.69354838709677</v>
      </c>
      <c r="L80" s="316">
        <f t="shared" si="10"/>
        <v>376.16129032258067</v>
      </c>
      <c r="M80" s="316">
        <f t="shared" si="10"/>
        <v>391.20774193548391</v>
      </c>
      <c r="N80" s="316">
        <f t="shared" si="10"/>
        <v>406.85605161290329</v>
      </c>
      <c r="O80" s="317">
        <f t="shared" si="10"/>
        <v>420</v>
      </c>
    </row>
    <row r="81" spans="1:15" ht="6" customHeight="1">
      <c r="F81" s="259"/>
      <c r="G81" s="16"/>
      <c r="H81" s="16"/>
      <c r="I81" s="16"/>
      <c r="J81" s="16"/>
      <c r="K81" s="312"/>
      <c r="L81" s="312"/>
      <c r="M81" s="312"/>
      <c r="N81" s="50"/>
      <c r="O81" s="260"/>
    </row>
    <row r="82" spans="1:15">
      <c r="B82" s="256" t="s">
        <v>43</v>
      </c>
      <c r="F82" s="259"/>
      <c r="G82" s="16"/>
      <c r="H82" s="16"/>
      <c r="I82" s="16"/>
      <c r="J82" s="16"/>
      <c r="K82" s="312"/>
      <c r="L82" s="312"/>
      <c r="M82" s="312"/>
      <c r="N82" s="50"/>
      <c r="O82" s="260"/>
    </row>
    <row r="83" spans="1:15">
      <c r="C83" t="s">
        <v>44</v>
      </c>
      <c r="F83" s="318"/>
      <c r="G83" s="16"/>
      <c r="H83" s="293">
        <v>244.79999999999998</v>
      </c>
      <c r="I83" s="293">
        <v>269.3</v>
      </c>
      <c r="J83" s="293">
        <v>239.2</v>
      </c>
      <c r="K83" s="319">
        <f t="shared" ref="K83:O84" si="11">K26</f>
        <v>289.35483870967738</v>
      </c>
      <c r="L83" s="319">
        <f t="shared" si="11"/>
        <v>272.716935483871</v>
      </c>
      <c r="M83" s="319">
        <f t="shared" si="11"/>
        <v>322.74638709677424</v>
      </c>
      <c r="N83" s="319">
        <f t="shared" si="11"/>
        <v>325.48484129032266</v>
      </c>
      <c r="O83" s="319">
        <f t="shared" si="11"/>
        <v>315</v>
      </c>
    </row>
    <row r="84" spans="1:15">
      <c r="C84" s="14" t="s">
        <v>51</v>
      </c>
      <c r="F84" s="318"/>
      <c r="G84" s="16"/>
      <c r="H84" s="101">
        <v>31.3</v>
      </c>
      <c r="I84" s="101">
        <v>32.700000000000003</v>
      </c>
      <c r="J84" s="101">
        <v>34.4</v>
      </c>
      <c r="K84" s="320">
        <f t="shared" si="11"/>
        <v>36.892741935483869</v>
      </c>
      <c r="L84" s="320">
        <f t="shared" si="11"/>
        <v>39.135820645161296</v>
      </c>
      <c r="M84" s="320">
        <f t="shared" ca="1" si="11"/>
        <v>41.515278540387101</v>
      </c>
      <c r="N84" s="320">
        <f t="shared" ca="1" si="11"/>
        <v>44.255286924052648</v>
      </c>
      <c r="O84" s="320">
        <f t="shared" ca="1" si="11"/>
        <v>46.827129509999992</v>
      </c>
    </row>
    <row r="85" spans="1:15">
      <c r="C85" s="256" t="s">
        <v>3</v>
      </c>
      <c r="F85" s="274"/>
      <c r="G85" s="16"/>
      <c r="H85" s="321">
        <f>+H83-H84</f>
        <v>213.49999999999997</v>
      </c>
      <c r="I85" s="321">
        <f>+I83-I84</f>
        <v>236.60000000000002</v>
      </c>
      <c r="J85" s="321">
        <f>+J83-J84</f>
        <v>204.79999999999998</v>
      </c>
      <c r="K85" s="321">
        <f>K83-K84</f>
        <v>252.46209677419353</v>
      </c>
      <c r="L85" s="321">
        <f>L83-L84</f>
        <v>233.58111483870971</v>
      </c>
      <c r="M85" s="321">
        <f ca="1">M83-M84</f>
        <v>281.23110855638714</v>
      </c>
      <c r="N85" s="321">
        <f ca="1">N83-N84</f>
        <v>281.22955436627001</v>
      </c>
      <c r="O85" s="321">
        <f ca="1">O83-O84</f>
        <v>268.17287049000004</v>
      </c>
    </row>
    <row r="86" spans="1:15">
      <c r="F86" s="318"/>
      <c r="G86" s="16"/>
      <c r="H86" s="322"/>
      <c r="I86" s="322"/>
      <c r="J86" s="322"/>
      <c r="K86" s="323"/>
      <c r="L86" s="323"/>
      <c r="M86" s="323"/>
      <c r="N86" s="323"/>
      <c r="O86" s="301"/>
    </row>
    <row r="87" spans="1:15">
      <c r="C87" t="s">
        <v>4</v>
      </c>
      <c r="F87" s="318"/>
      <c r="G87" s="16"/>
      <c r="H87" s="97">
        <v>159.9</v>
      </c>
      <c r="I87" s="97">
        <v>164.6</v>
      </c>
      <c r="J87" s="97">
        <v>167.9</v>
      </c>
      <c r="K87" s="319">
        <f>K69</f>
        <v>174.68685483870968</v>
      </c>
      <c r="L87" s="319">
        <f>L69</f>
        <v>182.49261561290325</v>
      </c>
      <c r="M87" s="319">
        <f ca="1">M69</f>
        <v>190.71666264216776</v>
      </c>
      <c r="N87" s="319">
        <f ca="1">N69</f>
        <v>200.36067077655082</v>
      </c>
      <c r="O87" s="319">
        <f ca="1">O69</f>
        <v>209.56780061099997</v>
      </c>
    </row>
    <row r="88" spans="1:15">
      <c r="A88" s="537"/>
      <c r="C88" s="7" t="s">
        <v>36</v>
      </c>
      <c r="F88" s="318"/>
      <c r="G88" s="16"/>
      <c r="H88" s="98">
        <v>3.4</v>
      </c>
      <c r="I88" s="98">
        <v>3.6</v>
      </c>
      <c r="J88" s="98">
        <v>3.8</v>
      </c>
      <c r="K88" s="324">
        <f>Assumptions!E32</f>
        <v>3.9</v>
      </c>
      <c r="L88" s="320">
        <f>K88*(1+L40)</f>
        <v>3.9779999999999998</v>
      </c>
      <c r="M88" s="320">
        <f ca="1">L88*(1+M40)</f>
        <v>4.0575599999999996</v>
      </c>
      <c r="N88" s="320">
        <f ca="1">M88*(1+N40)</f>
        <v>4.1589989999999997</v>
      </c>
      <c r="O88" s="320">
        <f ca="1">N88*(1+O40)</f>
        <v>4.2629739749999995</v>
      </c>
    </row>
    <row r="89" spans="1:15">
      <c r="C89" s="258" t="s">
        <v>45</v>
      </c>
      <c r="F89" s="274"/>
      <c r="G89" s="16"/>
      <c r="H89" s="321">
        <f t="shared" ref="H89:O89" si="12">SUM(H87:H88)</f>
        <v>163.30000000000001</v>
      </c>
      <c r="I89" s="321">
        <f t="shared" si="12"/>
        <v>168.2</v>
      </c>
      <c r="J89" s="321">
        <f t="shared" si="12"/>
        <v>171.70000000000002</v>
      </c>
      <c r="K89" s="321">
        <f t="shared" si="12"/>
        <v>178.58685483870968</v>
      </c>
      <c r="L89" s="321">
        <f t="shared" si="12"/>
        <v>186.47061561290326</v>
      </c>
      <c r="M89" s="321">
        <f t="shared" ca="1" si="12"/>
        <v>194.77422264216776</v>
      </c>
      <c r="N89" s="321">
        <f t="shared" ca="1" si="12"/>
        <v>204.51966977655081</v>
      </c>
      <c r="O89" s="321">
        <f t="shared" ca="1" si="12"/>
        <v>213.83077458599996</v>
      </c>
    </row>
    <row r="90" spans="1:15">
      <c r="C90" s="258"/>
      <c r="F90" s="318"/>
      <c r="G90" s="16"/>
      <c r="H90" s="325"/>
      <c r="I90" s="325"/>
      <c r="J90" s="325"/>
      <c r="K90" s="325"/>
      <c r="L90" s="325"/>
      <c r="M90" s="325"/>
      <c r="N90" s="325"/>
      <c r="O90" s="325"/>
    </row>
    <row r="91" spans="1:15">
      <c r="A91" s="537"/>
      <c r="C91" s="7" t="s">
        <v>162</v>
      </c>
      <c r="F91" s="318"/>
      <c r="G91" s="16"/>
      <c r="H91" s="98">
        <v>0</v>
      </c>
      <c r="I91" s="98">
        <v>0</v>
      </c>
      <c r="J91" s="98">
        <v>0</v>
      </c>
      <c r="K91" s="324">
        <f>Assumptions!J53</f>
        <v>0</v>
      </c>
      <c r="L91" s="324">
        <f>Assumptions!K53</f>
        <v>0</v>
      </c>
      <c r="M91" s="324">
        <f>Assumptions!L53</f>
        <v>0</v>
      </c>
      <c r="N91" s="324">
        <f>Assumptions!M53</f>
        <v>0</v>
      </c>
      <c r="O91" s="324">
        <f>Assumptions!N53</f>
        <v>0</v>
      </c>
    </row>
    <row r="92" spans="1:15">
      <c r="B92" s="256"/>
      <c r="C92" s="256" t="s">
        <v>5</v>
      </c>
      <c r="F92" s="274"/>
      <c r="H92" s="99">
        <f t="shared" ref="H92:O92" si="13">H85-H89+H91</f>
        <v>50.19999999999996</v>
      </c>
      <c r="I92" s="99">
        <f t="shared" si="13"/>
        <v>68.400000000000034</v>
      </c>
      <c r="J92" s="99">
        <f t="shared" si="13"/>
        <v>33.099999999999966</v>
      </c>
      <c r="K92" s="99">
        <f t="shared" si="13"/>
        <v>73.875241935483842</v>
      </c>
      <c r="L92" s="99">
        <f t="shared" si="13"/>
        <v>47.11049922580645</v>
      </c>
      <c r="M92" s="99">
        <f t="shared" ca="1" si="13"/>
        <v>86.456885914219384</v>
      </c>
      <c r="N92" s="99">
        <f t="shared" ca="1" si="13"/>
        <v>76.709884589719195</v>
      </c>
      <c r="O92" s="99">
        <f t="shared" ca="1" si="13"/>
        <v>54.342095904000075</v>
      </c>
    </row>
    <row r="93" spans="1:15">
      <c r="F93" s="318"/>
      <c r="H93" s="116"/>
      <c r="I93" s="116"/>
      <c r="J93" s="326"/>
      <c r="K93" s="326"/>
      <c r="L93" s="326"/>
      <c r="M93" s="326"/>
      <c r="N93" s="326"/>
      <c r="O93" s="326"/>
    </row>
    <row r="94" spans="1:15">
      <c r="C94" t="s">
        <v>46</v>
      </c>
      <c r="F94" s="318"/>
      <c r="H94" s="100">
        <v>15.4</v>
      </c>
      <c r="I94" s="100">
        <v>15.5</v>
      </c>
      <c r="J94" s="100">
        <v>15.8</v>
      </c>
      <c r="K94" s="297">
        <f>K214</f>
        <v>16.174666666666667</v>
      </c>
      <c r="L94" s="297">
        <f>L214</f>
        <v>16.724666666666668</v>
      </c>
      <c r="M94" s="297">
        <f>M214</f>
        <v>17.296333333333333</v>
      </c>
      <c r="N94" s="297">
        <f>N214</f>
        <v>17.876333333333335</v>
      </c>
      <c r="O94" s="297">
        <f>O214</f>
        <v>18.468</v>
      </c>
    </row>
    <row r="95" spans="1:15">
      <c r="C95" s="258" t="s">
        <v>7</v>
      </c>
      <c r="F95" s="274"/>
      <c r="H95" s="99">
        <f t="shared" ref="H95:O95" si="14">H92-H94</f>
        <v>34.799999999999962</v>
      </c>
      <c r="I95" s="99">
        <f t="shared" si="14"/>
        <v>52.900000000000034</v>
      </c>
      <c r="J95" s="99">
        <f t="shared" si="14"/>
        <v>17.299999999999965</v>
      </c>
      <c r="K95" s="99">
        <f t="shared" si="14"/>
        <v>57.700575268817175</v>
      </c>
      <c r="L95" s="99">
        <f t="shared" si="14"/>
        <v>30.385832559139782</v>
      </c>
      <c r="M95" s="99">
        <f t="shared" ca="1" si="14"/>
        <v>69.160552580886048</v>
      </c>
      <c r="N95" s="99">
        <f t="shared" ca="1" si="14"/>
        <v>58.83355125638586</v>
      </c>
      <c r="O95" s="99">
        <f t="shared" ca="1" si="14"/>
        <v>35.874095904000072</v>
      </c>
    </row>
    <row r="96" spans="1:15" ht="6" customHeight="1">
      <c r="C96" s="258"/>
      <c r="F96" s="318"/>
      <c r="H96" s="302"/>
      <c r="I96" s="302"/>
      <c r="J96" s="302"/>
      <c r="K96" s="302"/>
      <c r="L96" s="302"/>
      <c r="M96" s="302"/>
      <c r="N96" s="302"/>
      <c r="O96" s="302"/>
    </row>
    <row r="97" spans="2:18">
      <c r="C97" s="14" t="s">
        <v>73</v>
      </c>
      <c r="F97" s="318"/>
      <c r="H97" s="101">
        <v>15</v>
      </c>
      <c r="I97" s="101">
        <v>15</v>
      </c>
      <c r="J97" s="101">
        <v>14</v>
      </c>
      <c r="K97" s="297">
        <f>K324</f>
        <v>11.997</v>
      </c>
      <c r="L97" s="297">
        <f>L324</f>
        <v>10.564527457357491</v>
      </c>
      <c r="M97" s="297">
        <f>M324</f>
        <v>9.4645185852770624</v>
      </c>
      <c r="N97" s="297">
        <f ca="1">N324</f>
        <v>7.5736377461636701</v>
      </c>
      <c r="O97" s="297">
        <f ca="1">O324</f>
        <v>5.9858178051259161</v>
      </c>
    </row>
    <row r="98" spans="2:18">
      <c r="C98" s="267" t="s">
        <v>75</v>
      </c>
      <c r="F98" s="274"/>
      <c r="H98" s="295">
        <f t="shared" ref="H98:O98" si="15">H95-H97</f>
        <v>19.799999999999962</v>
      </c>
      <c r="I98" s="295">
        <f t="shared" si="15"/>
        <v>37.900000000000034</v>
      </c>
      <c r="J98" s="295">
        <f t="shared" si="15"/>
        <v>3.2999999999999652</v>
      </c>
      <c r="K98" s="295">
        <f t="shared" si="15"/>
        <v>45.703575268817175</v>
      </c>
      <c r="L98" s="295">
        <f t="shared" si="15"/>
        <v>19.821305101782293</v>
      </c>
      <c r="M98" s="295">
        <f t="shared" ca="1" si="15"/>
        <v>59.696033995608985</v>
      </c>
      <c r="N98" s="295">
        <f t="shared" ca="1" si="15"/>
        <v>51.259913510222191</v>
      </c>
      <c r="O98" s="295">
        <f t="shared" ca="1" si="15"/>
        <v>29.888278098874157</v>
      </c>
    </row>
    <row r="99" spans="2:18" ht="6" customHeight="1">
      <c r="C99" s="258"/>
      <c r="F99" s="318"/>
      <c r="H99" s="327"/>
      <c r="I99" s="327"/>
      <c r="J99" s="327"/>
      <c r="K99" s="327"/>
      <c r="L99" s="302"/>
      <c r="M99" s="99"/>
      <c r="N99" s="99"/>
      <c r="O99" s="302"/>
    </row>
    <row r="100" spans="2:18">
      <c r="C100" t="s">
        <v>93</v>
      </c>
      <c r="F100" s="318"/>
      <c r="H100" s="293">
        <v>3</v>
      </c>
      <c r="I100" s="293">
        <v>8</v>
      </c>
      <c r="J100" s="293">
        <v>0</v>
      </c>
      <c r="K100" s="295">
        <f t="shared" ref="K100:O101" si="16">K237</f>
        <v>14.24625134408601</v>
      </c>
      <c r="L100" s="295">
        <f t="shared" si="16"/>
        <v>5.1874567856238025</v>
      </c>
      <c r="M100" s="295">
        <f t="shared" ca="1" si="16"/>
        <v>19.143611898463142</v>
      </c>
      <c r="N100" s="295">
        <f t="shared" ca="1" si="16"/>
        <v>16.190969728577766</v>
      </c>
      <c r="O100" s="295">
        <f t="shared" ca="1" si="16"/>
        <v>8.7108973346059546</v>
      </c>
    </row>
    <row r="101" spans="2:18">
      <c r="C101" t="s">
        <v>146</v>
      </c>
      <c r="F101" s="318"/>
      <c r="H101" s="101">
        <v>2.7</v>
      </c>
      <c r="I101" s="101">
        <v>6.2</v>
      </c>
      <c r="J101" s="101">
        <v>1.1000000000000001</v>
      </c>
      <c r="K101" s="297">
        <f t="shared" si="16"/>
        <v>1.75</v>
      </c>
      <c r="L101" s="297">
        <f t="shared" si="16"/>
        <v>1.75</v>
      </c>
      <c r="M101" s="297">
        <f t="shared" ca="1" si="16"/>
        <v>1.75</v>
      </c>
      <c r="N101" s="297">
        <f t="shared" ca="1" si="16"/>
        <v>1.75</v>
      </c>
      <c r="O101" s="297">
        <f t="shared" ca="1" si="16"/>
        <v>1.75</v>
      </c>
    </row>
    <row r="102" spans="2:18">
      <c r="C102" s="256" t="s">
        <v>94</v>
      </c>
      <c r="F102" s="274"/>
      <c r="H102" s="102">
        <f>SUM(H100:H101)</f>
        <v>5.7</v>
      </c>
      <c r="I102" s="102">
        <f>SUM(I100:I101)</f>
        <v>14.2</v>
      </c>
      <c r="J102" s="102">
        <f t="shared" ref="J102:O102" si="17">SUM(J100:J101)</f>
        <v>1.1000000000000001</v>
      </c>
      <c r="K102" s="102">
        <f t="shared" si="17"/>
        <v>15.99625134408601</v>
      </c>
      <c r="L102" s="102">
        <f t="shared" si="17"/>
        <v>6.9374567856238025</v>
      </c>
      <c r="M102" s="102">
        <f t="shared" ca="1" si="17"/>
        <v>20.893611898463142</v>
      </c>
      <c r="N102" s="102">
        <f t="shared" ca="1" si="17"/>
        <v>17.940969728577766</v>
      </c>
      <c r="O102" s="102">
        <f t="shared" ca="1" si="17"/>
        <v>10.460897334605955</v>
      </c>
    </row>
    <row r="103" spans="2:18">
      <c r="F103" s="318"/>
    </row>
    <row r="104" spans="2:18" ht="12.6" thickBot="1">
      <c r="C104" s="328" t="s">
        <v>8</v>
      </c>
      <c r="D104" s="256"/>
      <c r="E104" s="256"/>
      <c r="F104" s="274"/>
      <c r="H104" s="329">
        <f t="shared" ref="H104:O104" si="18">H98-H102</f>
        <v>14.099999999999962</v>
      </c>
      <c r="I104" s="329">
        <f t="shared" si="18"/>
        <v>23.700000000000035</v>
      </c>
      <c r="J104" s="329">
        <f t="shared" si="18"/>
        <v>2.1999999999999651</v>
      </c>
      <c r="K104" s="329">
        <f t="shared" si="18"/>
        <v>29.707323924731163</v>
      </c>
      <c r="L104" s="329">
        <f t="shared" si="18"/>
        <v>12.883848316158492</v>
      </c>
      <c r="M104" s="329">
        <f t="shared" ca="1" si="18"/>
        <v>38.802422097145843</v>
      </c>
      <c r="N104" s="329">
        <f t="shared" ca="1" si="18"/>
        <v>33.318943781644421</v>
      </c>
      <c r="O104" s="329">
        <f t="shared" ca="1" si="18"/>
        <v>19.4273807642682</v>
      </c>
      <c r="R104" s="118"/>
    </row>
    <row r="105" spans="2:18" ht="12.6" thickTop="1">
      <c r="C105" s="330"/>
      <c r="F105"/>
      <c r="H105" s="331"/>
      <c r="I105" s="331"/>
      <c r="J105" s="331"/>
      <c r="K105" s="331"/>
      <c r="L105" s="331"/>
      <c r="M105" s="331"/>
      <c r="N105" s="331"/>
      <c r="O105" s="331"/>
    </row>
    <row r="106" spans="2:18">
      <c r="H106" s="109"/>
      <c r="I106" s="109"/>
      <c r="J106" s="109"/>
      <c r="K106" s="332"/>
      <c r="L106" s="332"/>
      <c r="M106" s="332"/>
      <c r="N106" s="332"/>
      <c r="O106" s="332"/>
    </row>
    <row r="107" spans="2:18">
      <c r="B107" s="333" t="s">
        <v>38</v>
      </c>
      <c r="C107" s="334"/>
      <c r="D107" s="334"/>
      <c r="E107" s="334"/>
      <c r="F107" s="335"/>
      <c r="G107" s="334"/>
      <c r="H107" s="336"/>
      <c r="I107" s="336"/>
      <c r="J107" s="336"/>
      <c r="K107" s="336"/>
      <c r="L107" s="336"/>
      <c r="M107" s="336"/>
      <c r="N107" s="336"/>
      <c r="O107" s="337"/>
    </row>
    <row r="108" spans="2:18" ht="12.6">
      <c r="B108" s="338"/>
      <c r="C108" t="s">
        <v>39</v>
      </c>
      <c r="H108" s="103">
        <f t="shared" ref="H108:O108" si="19">H92/H85</f>
        <v>0.23512880562060876</v>
      </c>
      <c r="I108" s="103">
        <f t="shared" si="19"/>
        <v>0.28909551986475074</v>
      </c>
      <c r="J108" s="103">
        <f t="shared" si="19"/>
        <v>0.16162109374999983</v>
      </c>
      <c r="K108" s="103">
        <f t="shared" si="19"/>
        <v>0.29261914116778937</v>
      </c>
      <c r="L108" s="103">
        <f t="shared" si="19"/>
        <v>0.20168796290888824</v>
      </c>
      <c r="M108" s="103">
        <f t="shared" ca="1" si="19"/>
        <v>0.30742291049528286</v>
      </c>
      <c r="N108" s="103">
        <f t="shared" ca="1" si="19"/>
        <v>0.27276608520956924</v>
      </c>
      <c r="O108" s="339">
        <f t="shared" ca="1" si="19"/>
        <v>0.20263830492885912</v>
      </c>
      <c r="P108" s="340"/>
    </row>
    <row r="109" spans="2:18" ht="12.6">
      <c r="B109" s="338"/>
      <c r="C109" t="s">
        <v>40</v>
      </c>
      <c r="F109" s="341"/>
      <c r="H109" s="103">
        <f t="shared" ref="H109:O109" si="20">H95/H85</f>
        <v>0.16299765807962513</v>
      </c>
      <c r="I109" s="103">
        <f t="shared" si="20"/>
        <v>0.22358410819949293</v>
      </c>
      <c r="J109" s="103">
        <f t="shared" si="20"/>
        <v>8.4472656249999833E-2</v>
      </c>
      <c r="K109" s="103">
        <f t="shared" si="20"/>
        <v>0.22855143804190761</v>
      </c>
      <c r="L109" s="103">
        <f t="shared" si="20"/>
        <v>0.13008685475331142</v>
      </c>
      <c r="M109" s="103">
        <f t="shared" ca="1" si="20"/>
        <v>0.24592070534408636</v>
      </c>
      <c r="N109" s="103">
        <f t="shared" ca="1" si="20"/>
        <v>0.20920116802433128</v>
      </c>
      <c r="O109" s="339">
        <f t="shared" ca="1" si="20"/>
        <v>0.13377227845028339</v>
      </c>
    </row>
    <row r="110" spans="2:18" ht="12.6">
      <c r="B110" s="342"/>
      <c r="C110" s="8" t="s">
        <v>125</v>
      </c>
      <c r="D110" s="8"/>
      <c r="E110" s="8"/>
      <c r="F110" s="343"/>
      <c r="G110" s="8"/>
      <c r="H110" s="344"/>
      <c r="I110" s="344"/>
      <c r="J110" s="345">
        <f t="shared" ref="J110:O110" si="21">J104/J184</f>
        <v>8.5106382978722053E-3</v>
      </c>
      <c r="K110" s="346">
        <f t="shared" si="21"/>
        <v>0.1052458983713626</v>
      </c>
      <c r="L110" s="346">
        <f t="shared" si="21"/>
        <v>4.4036363764056376E-2</v>
      </c>
      <c r="M110" s="346">
        <f t="shared" ca="1" si="21"/>
        <v>0.11990308554493986</v>
      </c>
      <c r="N110" s="346">
        <f t="shared" ca="1" si="21"/>
        <v>9.5123592887714298E-2</v>
      </c>
      <c r="O110" s="346">
        <f t="shared" ca="1" si="21"/>
        <v>5.310756402351189E-2</v>
      </c>
    </row>
    <row r="111" spans="2:18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2:18" ht="12.6">
      <c r="C112" s="347"/>
      <c r="F112" s="341"/>
      <c r="H112" s="348"/>
      <c r="I112" s="348"/>
      <c r="J112" s="348"/>
      <c r="K112" s="348"/>
      <c r="L112" s="348"/>
      <c r="M112" s="348"/>
      <c r="N112" s="348"/>
      <c r="O112" s="348"/>
    </row>
    <row r="113" spans="1:19" ht="12.75" customHeight="1">
      <c r="A113" s="535"/>
      <c r="B113" s="1"/>
      <c r="C113" s="3"/>
      <c r="D113" s="3"/>
      <c r="E113" s="3"/>
      <c r="F113" s="79"/>
      <c r="G113" s="3"/>
      <c r="H113" s="3"/>
      <c r="I113" s="3"/>
      <c r="J113" s="3"/>
      <c r="K113" s="3"/>
      <c r="L113" s="3"/>
      <c r="M113" s="3"/>
      <c r="N113" s="3"/>
      <c r="O113" s="278" t="str">
        <f>$O$1</f>
        <v>CURRENTLY RUNNING: BASE CASE SCENARIO</v>
      </c>
    </row>
    <row r="114" spans="1:19" ht="22.5">
      <c r="B114" s="1" t="str">
        <f>B$2</f>
        <v>Dummy Co.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9" ht="17.7">
      <c r="B115" s="247" t="s">
        <v>47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9" ht="3" customHeight="1" thickBot="1">
      <c r="A116" s="536"/>
      <c r="B116" s="250"/>
      <c r="C116" s="251"/>
      <c r="D116" s="251"/>
      <c r="E116" s="251"/>
      <c r="F116" s="252"/>
      <c r="G116" s="251"/>
      <c r="H116" s="251"/>
      <c r="I116" s="251"/>
      <c r="J116" s="251"/>
      <c r="K116" s="251"/>
      <c r="L116" s="251"/>
      <c r="M116" s="251"/>
      <c r="N116" s="251"/>
      <c r="O116" s="251"/>
    </row>
    <row r="117" spans="1:19" ht="12.6">
      <c r="B117" s="311" t="s">
        <v>172</v>
      </c>
      <c r="F117" s="22"/>
    </row>
    <row r="118" spans="1:19">
      <c r="F118"/>
      <c r="K118" s="254" t="s">
        <v>2</v>
      </c>
      <c r="L118" s="15"/>
      <c r="M118" s="15"/>
      <c r="N118" s="15"/>
      <c r="O118" s="15"/>
    </row>
    <row r="119" spans="1:19" ht="12.6">
      <c r="B119" s="349"/>
      <c r="C119" t="s">
        <v>203</v>
      </c>
      <c r="G119" s="350"/>
      <c r="H119" s="255">
        <f t="shared" ref="H119:O119" si="22">H$7</f>
        <v>2020</v>
      </c>
      <c r="I119" s="255">
        <f t="shared" si="22"/>
        <v>2021</v>
      </c>
      <c r="J119" s="255">
        <f t="shared" si="22"/>
        <v>2022</v>
      </c>
      <c r="K119" s="351">
        <f t="shared" si="22"/>
        <v>2023</v>
      </c>
      <c r="L119" s="351">
        <f t="shared" si="22"/>
        <v>2024</v>
      </c>
      <c r="M119" s="351">
        <f t="shared" si="22"/>
        <v>2025</v>
      </c>
      <c r="N119" s="351">
        <f t="shared" si="22"/>
        <v>2026</v>
      </c>
      <c r="O119" s="351">
        <f t="shared" si="22"/>
        <v>2027</v>
      </c>
      <c r="R119" s="238"/>
      <c r="S119" s="238"/>
    </row>
    <row r="120" spans="1:19">
      <c r="B120" s="256" t="s">
        <v>9</v>
      </c>
      <c r="F120" s="352"/>
      <c r="N120" t="s">
        <v>202</v>
      </c>
      <c r="R120" s="238"/>
      <c r="S120" s="238"/>
    </row>
    <row r="121" spans="1:19">
      <c r="C121" t="s">
        <v>8</v>
      </c>
      <c r="F121"/>
      <c r="G121" s="105"/>
      <c r="H121" s="104">
        <v>14.099999999999962</v>
      </c>
      <c r="I121" s="104">
        <v>23.700000000000035</v>
      </c>
      <c r="J121" s="104">
        <v>2.2000000000000002</v>
      </c>
      <c r="K121" s="106">
        <f>K104</f>
        <v>29.707323924731163</v>
      </c>
      <c r="L121" s="106">
        <f>L104</f>
        <v>12.883848316158492</v>
      </c>
      <c r="M121" s="106">
        <f ca="1">M104</f>
        <v>38.802422097145843</v>
      </c>
      <c r="N121" s="106">
        <f ca="1">N104</f>
        <v>33.318943781644421</v>
      </c>
      <c r="O121" s="106">
        <f ca="1">O104</f>
        <v>19.4273807642682</v>
      </c>
    </row>
    <row r="122" spans="1:19">
      <c r="C122" t="s">
        <v>6</v>
      </c>
      <c r="F122" s="353"/>
      <c r="G122" s="105"/>
      <c r="H122" s="104">
        <v>15.4</v>
      </c>
      <c r="I122" s="104">
        <v>15.5</v>
      </c>
      <c r="J122" s="104">
        <v>15.8</v>
      </c>
      <c r="K122" s="106">
        <f>K94</f>
        <v>16.174666666666667</v>
      </c>
      <c r="L122" s="106">
        <f>L94</f>
        <v>16.724666666666668</v>
      </c>
      <c r="M122" s="106">
        <f>M94</f>
        <v>17.296333333333333</v>
      </c>
      <c r="N122" s="106">
        <f>N94</f>
        <v>17.876333333333335</v>
      </c>
      <c r="O122" s="106">
        <f>O94</f>
        <v>18.468</v>
      </c>
    </row>
    <row r="123" spans="1:19">
      <c r="C123" t="s">
        <v>146</v>
      </c>
      <c r="F123" s="353"/>
      <c r="G123" s="105"/>
      <c r="H123" s="104">
        <v>2.7</v>
      </c>
      <c r="I123" s="104">
        <v>6.2</v>
      </c>
      <c r="J123" s="104">
        <v>1.1000000000000001</v>
      </c>
      <c r="K123" s="106">
        <f>K101</f>
        <v>1.75</v>
      </c>
      <c r="L123" s="106">
        <f>L101</f>
        <v>1.75</v>
      </c>
      <c r="M123" s="106">
        <f ca="1">M101</f>
        <v>1.75</v>
      </c>
      <c r="N123" s="106">
        <f ca="1">N101</f>
        <v>1.75</v>
      </c>
      <c r="O123" s="106">
        <f ca="1">O101</f>
        <v>1.75</v>
      </c>
    </row>
    <row r="124" spans="1:19">
      <c r="C124" t="s">
        <v>126</v>
      </c>
      <c r="F124" s="353"/>
      <c r="G124" s="112"/>
      <c r="H124" s="107">
        <v>0</v>
      </c>
      <c r="I124" s="107">
        <v>0</v>
      </c>
      <c r="J124" s="108">
        <v>0</v>
      </c>
      <c r="K124" s="297">
        <f>K275</f>
        <v>-2.0659834290764323</v>
      </c>
      <c r="L124" s="297">
        <f>L275</f>
        <v>6.5517358817469855</v>
      </c>
      <c r="M124" s="297">
        <f ca="1">M275</f>
        <v>-1.2735903591601243</v>
      </c>
      <c r="N124" s="297">
        <f ca="1">N275</f>
        <v>-1.1359731018459769</v>
      </c>
      <c r="O124" s="297">
        <f ca="1">O275</f>
        <v>3.2169856855465184</v>
      </c>
    </row>
    <row r="125" spans="1:19">
      <c r="C125" s="258" t="s">
        <v>11</v>
      </c>
      <c r="F125" s="353"/>
      <c r="G125" s="302"/>
      <c r="H125" s="354">
        <f t="shared" ref="H125:O125" si="23">SUM(H121:H124)</f>
        <v>32.199999999999967</v>
      </c>
      <c r="I125" s="354">
        <f t="shared" si="23"/>
        <v>45.400000000000034</v>
      </c>
      <c r="J125" s="354">
        <f t="shared" si="23"/>
        <v>19.100000000000001</v>
      </c>
      <c r="K125" s="354">
        <f t="shared" si="23"/>
        <v>45.566007162321398</v>
      </c>
      <c r="L125" s="354">
        <f t="shared" si="23"/>
        <v>37.910250864572149</v>
      </c>
      <c r="M125" s="354">
        <f t="shared" ca="1" si="23"/>
        <v>56.575165071319049</v>
      </c>
      <c r="N125" s="354">
        <f t="shared" ca="1" si="23"/>
        <v>51.809304013131779</v>
      </c>
      <c r="O125" s="354">
        <f t="shared" ca="1" si="23"/>
        <v>42.862366449814715</v>
      </c>
    </row>
    <row r="126" spans="1:19">
      <c r="B126" s="7"/>
      <c r="F126" s="256"/>
      <c r="G126" s="109"/>
      <c r="H126" s="355"/>
      <c r="I126" s="355"/>
      <c r="J126" s="355"/>
      <c r="K126" s="355">
        <v>45.6</v>
      </c>
      <c r="L126" s="355">
        <v>37.9</v>
      </c>
      <c r="M126" s="355"/>
      <c r="N126" s="355"/>
      <c r="O126" s="355"/>
    </row>
    <row r="127" spans="1:19">
      <c r="B127" s="7"/>
      <c r="C127" t="s">
        <v>204</v>
      </c>
      <c r="F127" s="353"/>
      <c r="G127" s="109"/>
      <c r="H127" s="355"/>
      <c r="I127" s="355"/>
      <c r="J127" s="355"/>
      <c r="K127" s="355"/>
      <c r="L127" s="355"/>
      <c r="M127" s="355"/>
      <c r="N127" s="355"/>
      <c r="O127" s="355"/>
    </row>
    <row r="128" spans="1:19">
      <c r="B128" s="256" t="s">
        <v>102</v>
      </c>
      <c r="F128"/>
      <c r="G128" s="109"/>
      <c r="H128" s="110"/>
      <c r="I128" s="110"/>
      <c r="J128" s="110"/>
      <c r="K128" s="105"/>
      <c r="L128" s="105"/>
      <c r="M128" s="105"/>
      <c r="N128" s="105"/>
      <c r="O128" s="105"/>
    </row>
    <row r="129" spans="1:15">
      <c r="C129" t="s">
        <v>54</v>
      </c>
      <c r="F129" s="353"/>
      <c r="H129" s="111">
        <v>-14.1</v>
      </c>
      <c r="I129" s="111">
        <v>-15</v>
      </c>
      <c r="J129" s="111">
        <v>-15.5</v>
      </c>
      <c r="K129" s="294">
        <f>-Assumptions!J58</f>
        <v>-16</v>
      </c>
      <c r="L129" s="294">
        <f>-Assumptions!K58</f>
        <v>-17</v>
      </c>
      <c r="M129" s="294">
        <f>-Assumptions!L58</f>
        <v>-17.3</v>
      </c>
      <c r="N129" s="294">
        <f>-Assumptions!M58</f>
        <v>-17.5</v>
      </c>
      <c r="O129" s="294">
        <f>-Assumptions!N58</f>
        <v>-18</v>
      </c>
    </row>
    <row r="130" spans="1:15">
      <c r="C130" t="s">
        <v>10</v>
      </c>
      <c r="F130" s="353"/>
      <c r="H130" s="100">
        <v>-5</v>
      </c>
      <c r="I130" s="100">
        <v>4</v>
      </c>
      <c r="J130" s="100">
        <v>3</v>
      </c>
      <c r="K130" s="324">
        <f>-Assumptions!J56</f>
        <v>0</v>
      </c>
      <c r="L130" s="324">
        <f>-Assumptions!K56</f>
        <v>0</v>
      </c>
      <c r="M130" s="324">
        <f>-Assumptions!L56</f>
        <v>0</v>
      </c>
      <c r="N130" s="324">
        <f>-Assumptions!M56</f>
        <v>0</v>
      </c>
      <c r="O130" s="324">
        <f>-Assumptions!N56</f>
        <v>0</v>
      </c>
    </row>
    <row r="131" spans="1:15">
      <c r="A131" s="256"/>
      <c r="C131" s="256" t="s">
        <v>103</v>
      </c>
      <c r="F131" s="353"/>
      <c r="G131" s="302"/>
      <c r="H131" s="356">
        <f t="shared" ref="H131:O131" si="24">SUM(H129:H130)</f>
        <v>-19.100000000000001</v>
      </c>
      <c r="I131" s="356">
        <f t="shared" si="24"/>
        <v>-11</v>
      </c>
      <c r="J131" s="356">
        <f t="shared" si="24"/>
        <v>-12.5</v>
      </c>
      <c r="K131" s="356">
        <f t="shared" si="24"/>
        <v>-16</v>
      </c>
      <c r="L131" s="356">
        <f t="shared" si="24"/>
        <v>-17</v>
      </c>
      <c r="M131" s="356">
        <f t="shared" si="24"/>
        <v>-17.3</v>
      </c>
      <c r="N131" s="356">
        <f t="shared" si="24"/>
        <v>-17.5</v>
      </c>
      <c r="O131" s="356">
        <f t="shared" si="24"/>
        <v>-18</v>
      </c>
    </row>
    <row r="132" spans="1:15">
      <c r="A132" s="256"/>
      <c r="B132" s="267"/>
      <c r="F132" s="256"/>
      <c r="G132" s="302"/>
      <c r="H132" s="357"/>
      <c r="I132" s="357"/>
      <c r="J132" s="358"/>
      <c r="K132" s="359"/>
      <c r="L132" s="359"/>
      <c r="M132" s="359"/>
      <c r="N132" s="359"/>
      <c r="O132" s="359"/>
    </row>
    <row r="133" spans="1:15">
      <c r="A133" s="256"/>
      <c r="B133" s="267"/>
      <c r="C133" t="s">
        <v>205</v>
      </c>
      <c r="F133"/>
      <c r="G133" s="302"/>
      <c r="H133" s="357"/>
      <c r="I133" s="357"/>
      <c r="J133" s="357"/>
      <c r="K133" s="359"/>
      <c r="L133" s="359"/>
      <c r="M133" s="359"/>
      <c r="N133" s="359"/>
      <c r="O133" s="359"/>
    </row>
    <row r="134" spans="1:15">
      <c r="A134" s="256"/>
      <c r="B134" s="267" t="s">
        <v>72</v>
      </c>
      <c r="F134"/>
      <c r="G134" s="302"/>
      <c r="H134" s="360"/>
      <c r="I134" s="360"/>
      <c r="J134" s="360"/>
      <c r="K134" s="361"/>
      <c r="L134" s="361"/>
      <c r="M134" s="361"/>
      <c r="N134" s="361"/>
      <c r="O134" s="361"/>
    </row>
    <row r="135" spans="1:15">
      <c r="A135" s="256"/>
      <c r="B135" s="267"/>
      <c r="C135" t="s">
        <v>132</v>
      </c>
      <c r="F135"/>
      <c r="G135" s="302"/>
      <c r="H135" s="111">
        <v>0</v>
      </c>
      <c r="I135" s="111">
        <v>0</v>
      </c>
      <c r="J135" s="111">
        <v>0</v>
      </c>
      <c r="K135" s="106">
        <f>K306</f>
        <v>1.0754576226248351</v>
      </c>
      <c r="L135" s="106">
        <f>L306</f>
        <v>6.6665187986595509</v>
      </c>
      <c r="M135" s="106">
        <f ca="1">M306</f>
        <v>-6.5146806518898819</v>
      </c>
      <c r="N135" s="106">
        <f ca="1">N306</f>
        <v>-1.2272957693945044</v>
      </c>
      <c r="O135" s="106">
        <f ca="1">O306</f>
        <v>2.6048902156305322</v>
      </c>
    </row>
    <row r="136" spans="1:15">
      <c r="A136" s="256"/>
      <c r="B136" s="267"/>
      <c r="C136" t="s">
        <v>133</v>
      </c>
      <c r="F136" s="353"/>
      <c r="G136" s="302"/>
      <c r="H136" s="111">
        <v>-25</v>
      </c>
      <c r="I136" s="111">
        <v>-25</v>
      </c>
      <c r="J136" s="111">
        <v>-25</v>
      </c>
      <c r="K136" s="106">
        <f>K317</f>
        <v>-25</v>
      </c>
      <c r="L136" s="106">
        <f>L317</f>
        <v>-25</v>
      </c>
      <c r="M136" s="106">
        <f>M317</f>
        <v>-25</v>
      </c>
      <c r="N136" s="106">
        <f>N317</f>
        <v>-25</v>
      </c>
      <c r="O136" s="106">
        <f>O317</f>
        <v>-25</v>
      </c>
    </row>
    <row r="137" spans="1:15">
      <c r="A137" s="256"/>
      <c r="B137" s="267"/>
      <c r="C137" t="s">
        <v>122</v>
      </c>
      <c r="F137" s="353"/>
      <c r="G137" s="302"/>
      <c r="H137" s="111">
        <v>0</v>
      </c>
      <c r="I137" s="111">
        <v>0</v>
      </c>
      <c r="J137" s="111">
        <v>0</v>
      </c>
      <c r="K137" s="106">
        <f>K337</f>
        <v>0</v>
      </c>
      <c r="L137" s="106">
        <f>L337</f>
        <v>0</v>
      </c>
      <c r="M137" s="106">
        <f>M337</f>
        <v>0</v>
      </c>
      <c r="N137" s="106">
        <f>N337</f>
        <v>0</v>
      </c>
      <c r="O137" s="106">
        <f>O337</f>
        <v>0</v>
      </c>
    </row>
    <row r="138" spans="1:15">
      <c r="A138" s="256"/>
      <c r="B138" s="267"/>
      <c r="C138" t="s">
        <v>123</v>
      </c>
      <c r="F138" s="353"/>
      <c r="G138" s="302"/>
      <c r="H138" s="100">
        <v>-2.8</v>
      </c>
      <c r="I138" s="100">
        <v>-4.7</v>
      </c>
      <c r="J138" s="100">
        <v>-2.4</v>
      </c>
      <c r="K138" s="106">
        <f>-K342</f>
        <v>-5.9414647849462332</v>
      </c>
      <c r="L138" s="106">
        <f>-L342</f>
        <v>-2.5767696632316985</v>
      </c>
      <c r="M138" s="106">
        <f ca="1">-M342</f>
        <v>-7.7604844194291687</v>
      </c>
      <c r="N138" s="106">
        <f ca="1">-N342</f>
        <v>-6.6637887563288842</v>
      </c>
      <c r="O138" s="106">
        <f ca="1">-O342</f>
        <v>-3.8854761528536401</v>
      </c>
    </row>
    <row r="139" spans="1:15">
      <c r="A139" s="256"/>
      <c r="B139" s="267"/>
      <c r="C139" s="256" t="s">
        <v>104</v>
      </c>
      <c r="F139" s="353"/>
      <c r="G139" s="302"/>
      <c r="H139" s="356">
        <f t="shared" ref="H139:O139" si="25">SUM(H135:H138)</f>
        <v>-27.8</v>
      </c>
      <c r="I139" s="356">
        <f t="shared" si="25"/>
        <v>-29.7</v>
      </c>
      <c r="J139" s="356">
        <f t="shared" si="25"/>
        <v>-27.4</v>
      </c>
      <c r="K139" s="356">
        <f t="shared" si="25"/>
        <v>-29.866007162321399</v>
      </c>
      <c r="L139" s="356">
        <f t="shared" si="25"/>
        <v>-20.910250864572145</v>
      </c>
      <c r="M139" s="356">
        <f t="shared" ca="1" si="25"/>
        <v>-39.275165071319051</v>
      </c>
      <c r="N139" s="356">
        <f t="shared" ca="1" si="25"/>
        <v>-32.891084525723386</v>
      </c>
      <c r="O139" s="356">
        <f t="shared" ca="1" si="25"/>
        <v>-26.280585937223108</v>
      </c>
    </row>
    <row r="140" spans="1:15">
      <c r="A140" s="256"/>
      <c r="B140" s="267"/>
      <c r="F140" s="256"/>
      <c r="G140" s="302"/>
      <c r="H140" s="360"/>
      <c r="I140" s="360"/>
      <c r="J140" s="360"/>
      <c r="K140" s="360"/>
      <c r="L140" s="360"/>
      <c r="M140" s="360"/>
      <c r="N140" s="360"/>
      <c r="O140" s="360"/>
    </row>
    <row r="141" spans="1:15">
      <c r="A141" s="256"/>
      <c r="C141" s="258"/>
      <c r="F141"/>
      <c r="G141" s="302"/>
      <c r="H141" s="360"/>
      <c r="I141" s="360"/>
      <c r="J141" s="360"/>
      <c r="K141" s="360"/>
      <c r="L141" s="360"/>
      <c r="M141" s="360"/>
      <c r="N141" s="360"/>
      <c r="O141" s="360"/>
    </row>
    <row r="142" spans="1:15">
      <c r="A142" s="256"/>
      <c r="B142" s="362" t="s">
        <v>55</v>
      </c>
      <c r="C142" s="363"/>
      <c r="D142" s="334"/>
      <c r="E142" s="334"/>
      <c r="F142" s="334"/>
      <c r="G142" s="364"/>
      <c r="H142" s="365">
        <f>H139+H131+H125</f>
        <v>-14.700000000000038</v>
      </c>
      <c r="I142" s="365">
        <f>I139+I131+I125</f>
        <v>4.7000000000000313</v>
      </c>
      <c r="J142" s="365">
        <f>J139+J131+J125</f>
        <v>-20.799999999999997</v>
      </c>
      <c r="K142" s="365">
        <f>SUM(K125,K131,K139)</f>
        <v>-0.30000000000000071</v>
      </c>
      <c r="L142" s="365">
        <f>SUM(L125,L131,L139)</f>
        <v>0</v>
      </c>
      <c r="M142" s="365">
        <f ca="1">SUM(M125,M131,M139)</f>
        <v>0</v>
      </c>
      <c r="N142" s="365">
        <f ca="1">SUM(N125,N131,N139)</f>
        <v>1.4182194874083933</v>
      </c>
      <c r="O142" s="366">
        <f ca="1">SUM(O125,O131,O139)</f>
        <v>-1.4182194874083933</v>
      </c>
    </row>
    <row r="143" spans="1:15">
      <c r="A143" s="256"/>
      <c r="B143" s="338" t="s">
        <v>56</v>
      </c>
      <c r="C143" s="258"/>
      <c r="F143"/>
      <c r="G143" s="302"/>
      <c r="H143" s="367">
        <v>31.1</v>
      </c>
      <c r="I143" s="368">
        <f t="shared" ref="I143:O143" si="26">+H144</f>
        <v>16.399999999999963</v>
      </c>
      <c r="J143" s="368">
        <f t="shared" si="26"/>
        <v>21.099999999999994</v>
      </c>
      <c r="K143" s="368">
        <f t="shared" si="26"/>
        <v>0.29999999999999716</v>
      </c>
      <c r="L143" s="368">
        <f t="shared" si="26"/>
        <v>-3.5527136788005009E-15</v>
      </c>
      <c r="M143" s="368">
        <f t="shared" si="26"/>
        <v>-3.5527136788005009E-15</v>
      </c>
      <c r="N143" s="368">
        <f t="shared" ca="1" si="26"/>
        <v>-3.5527136788005009E-15</v>
      </c>
      <c r="O143" s="369">
        <f t="shared" ca="1" si="26"/>
        <v>1.4182194874083898</v>
      </c>
    </row>
    <row r="144" spans="1:15">
      <c r="A144" s="256"/>
      <c r="B144" s="370" t="s">
        <v>57</v>
      </c>
      <c r="C144" s="307"/>
      <c r="D144" s="8"/>
      <c r="E144" s="8"/>
      <c r="F144" s="8"/>
      <c r="G144" s="310"/>
      <c r="H144" s="371">
        <f>H143+H142</f>
        <v>16.399999999999963</v>
      </c>
      <c r="I144" s="371">
        <f>I143+I142</f>
        <v>21.099999999999994</v>
      </c>
      <c r="J144" s="371">
        <f>J143+J142</f>
        <v>0.29999999999999716</v>
      </c>
      <c r="K144" s="371">
        <f>SUM(K142:K143)</f>
        <v>-3.5527136788005009E-15</v>
      </c>
      <c r="L144" s="371">
        <f>SUM(L142:L143)</f>
        <v>-3.5527136788005009E-15</v>
      </c>
      <c r="M144" s="371">
        <f ca="1">SUM(M142:M143)</f>
        <v>-3.5527136788005009E-15</v>
      </c>
      <c r="N144" s="371">
        <f ca="1">SUM(N142:N143)</f>
        <v>1.4182194874083898</v>
      </c>
      <c r="O144" s="372">
        <f ca="1">SUM(O142:O143)</f>
        <v>-3.5527136788005009E-15</v>
      </c>
    </row>
    <row r="145" spans="1:19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spans="1:19">
      <c r="F146"/>
    </row>
    <row r="147" spans="1:19" ht="12.75" customHeight="1">
      <c r="A147" s="535"/>
      <c r="B147" s="1"/>
      <c r="C147" s="3"/>
      <c r="D147" s="3"/>
      <c r="E147" s="3"/>
      <c r="F147" s="79"/>
      <c r="G147" s="3"/>
      <c r="H147" s="3"/>
      <c r="I147" s="3"/>
      <c r="J147" s="3"/>
      <c r="K147" s="3"/>
      <c r="L147" s="3"/>
      <c r="M147" s="3"/>
      <c r="N147" s="3"/>
      <c r="O147" s="278" t="str">
        <f>$O$1</f>
        <v>CURRENTLY RUNNING: BASE CASE SCENARIO</v>
      </c>
    </row>
    <row r="148" spans="1:19" ht="22.5">
      <c r="B148" s="1" t="str">
        <f>B$2</f>
        <v>Dummy Co.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9" ht="17.7">
      <c r="B149" s="247" t="s">
        <v>105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9" ht="3" customHeight="1" thickBot="1">
      <c r="A150" s="536"/>
      <c r="B150" s="250"/>
      <c r="C150" s="251"/>
      <c r="D150" s="251"/>
      <c r="E150" s="251"/>
      <c r="F150" s="252"/>
      <c r="G150" s="251"/>
      <c r="H150" s="251"/>
      <c r="I150" s="251"/>
      <c r="J150" s="251"/>
      <c r="K150" s="251"/>
      <c r="L150" s="251"/>
      <c r="M150" s="251"/>
      <c r="N150" s="251"/>
      <c r="O150" s="251"/>
    </row>
    <row r="151" spans="1:19" ht="12.6">
      <c r="B151" s="311" t="s">
        <v>172</v>
      </c>
      <c r="F151"/>
      <c r="O151" s="14"/>
    </row>
    <row r="152" spans="1:19">
      <c r="F152"/>
      <c r="H152" s="373"/>
      <c r="I152" s="373"/>
      <c r="J152" s="373"/>
      <c r="K152" s="254" t="s">
        <v>2</v>
      </c>
      <c r="L152" s="15"/>
      <c r="M152" s="15"/>
      <c r="N152" s="15"/>
      <c r="O152" s="15"/>
    </row>
    <row r="153" spans="1:19" ht="12.6">
      <c r="B153" s="374"/>
      <c r="F153" s="375"/>
      <c r="G153" s="350"/>
      <c r="H153" s="255">
        <f t="shared" ref="H153:O153" si="27">H$7</f>
        <v>2020</v>
      </c>
      <c r="I153" s="255">
        <f t="shared" si="27"/>
        <v>2021</v>
      </c>
      <c r="J153" s="255">
        <f t="shared" si="27"/>
        <v>2022</v>
      </c>
      <c r="K153" s="351">
        <f t="shared" si="27"/>
        <v>2023</v>
      </c>
      <c r="L153" s="351">
        <f t="shared" si="27"/>
        <v>2024</v>
      </c>
      <c r="M153" s="351">
        <f t="shared" si="27"/>
        <v>2025</v>
      </c>
      <c r="N153" s="351">
        <f t="shared" si="27"/>
        <v>2026</v>
      </c>
      <c r="O153" s="351">
        <f t="shared" si="27"/>
        <v>2027</v>
      </c>
    </row>
    <row r="154" spans="1:19" ht="12.6">
      <c r="B154" s="374"/>
      <c r="F154"/>
      <c r="G154" s="350"/>
      <c r="H154" s="375"/>
      <c r="I154" s="375"/>
      <c r="J154" s="375"/>
      <c r="K154" s="375"/>
      <c r="L154" s="375"/>
      <c r="M154" s="375"/>
      <c r="N154" s="375"/>
      <c r="O154" s="375"/>
    </row>
    <row r="155" spans="1:19">
      <c r="B155" s="256" t="s">
        <v>12</v>
      </c>
      <c r="F155"/>
    </row>
    <row r="156" spans="1:19">
      <c r="C156" t="s">
        <v>13</v>
      </c>
      <c r="F156" s="353"/>
      <c r="G156" s="112"/>
      <c r="H156" s="111">
        <v>16.399999999999963</v>
      </c>
      <c r="I156" s="111">
        <v>21.099999999999994</v>
      </c>
      <c r="J156" s="111">
        <v>0.3</v>
      </c>
      <c r="K156" s="376">
        <f>K144</f>
        <v>-3.5527136788005009E-15</v>
      </c>
      <c r="L156" s="376">
        <f>L144</f>
        <v>-3.5527136788005009E-15</v>
      </c>
      <c r="M156" s="376">
        <f ca="1">M144</f>
        <v>-3.5527136788005009E-15</v>
      </c>
      <c r="N156" s="376">
        <f ca="1">N144</f>
        <v>1.4182194874083898</v>
      </c>
      <c r="O156" s="376">
        <f ca="1">O144</f>
        <v>-3.5527136788005009E-15</v>
      </c>
      <c r="R156" s="102"/>
      <c r="S156" s="102"/>
    </row>
    <row r="157" spans="1:19">
      <c r="C157" t="s">
        <v>14</v>
      </c>
      <c r="F157" s="353"/>
      <c r="G157" s="112"/>
      <c r="H157" s="111">
        <v>27</v>
      </c>
      <c r="I157" s="111">
        <v>27.8</v>
      </c>
      <c r="J157" s="111">
        <v>28.3</v>
      </c>
      <c r="K157" s="106">
        <f t="shared" ref="K157:O160" si="28">K267</f>
        <v>33.200494918250108</v>
      </c>
      <c r="L157" s="106">
        <f t="shared" si="28"/>
        <v>28.080789762030673</v>
      </c>
      <c r="M157" s="106">
        <f t="shared" ca="1" si="28"/>
        <v>30.819847513028726</v>
      </c>
      <c r="N157" s="106">
        <f t="shared" ca="1" si="28"/>
        <v>30.819677190824109</v>
      </c>
      <c r="O157" s="106">
        <f t="shared" ca="1" si="28"/>
        <v>29.38880772493151</v>
      </c>
    </row>
    <row r="158" spans="1:19">
      <c r="C158" t="s">
        <v>15</v>
      </c>
      <c r="F158" s="353"/>
      <c r="G158" s="112"/>
      <c r="H158" s="111">
        <v>36.5</v>
      </c>
      <c r="I158" s="111">
        <v>36.1</v>
      </c>
      <c r="J158" s="111">
        <v>35.1</v>
      </c>
      <c r="K158" s="106">
        <f t="shared" si="28"/>
        <v>33.501588599204595</v>
      </c>
      <c r="L158" s="106">
        <f t="shared" si="28"/>
        <v>32.409890750925442</v>
      </c>
      <c r="M158" s="106">
        <f t="shared" ca="1" si="28"/>
        <v>31.350684269945383</v>
      </c>
      <c r="N158" s="106">
        <f t="shared" ca="1" si="28"/>
        <v>32.936000675597391</v>
      </c>
      <c r="O158" s="106">
        <f t="shared" ca="1" si="28"/>
        <v>31.578709681109586</v>
      </c>
    </row>
    <row r="159" spans="1:19">
      <c r="C159" t="s">
        <v>164</v>
      </c>
      <c r="F159" s="353"/>
      <c r="G159" s="112"/>
      <c r="H159" s="111">
        <v>14.6</v>
      </c>
      <c r="I159" s="111">
        <v>14.4</v>
      </c>
      <c r="J159" s="111">
        <v>14.9</v>
      </c>
      <c r="K159" s="106">
        <f t="shared" si="28"/>
        <v>14.357823685373399</v>
      </c>
      <c r="L159" s="106">
        <f t="shared" si="28"/>
        <v>14.958411115811742</v>
      </c>
      <c r="M159" s="106">
        <f t="shared" ca="1" si="28"/>
        <v>15.675342134972691</v>
      </c>
      <c r="N159" s="106">
        <f t="shared" ca="1" si="28"/>
        <v>16.468000337798696</v>
      </c>
      <c r="O159" s="106">
        <f t="shared" ca="1" si="28"/>
        <v>17.224750735150682</v>
      </c>
    </row>
    <row r="160" spans="1:19">
      <c r="C160" s="14" t="s">
        <v>10</v>
      </c>
      <c r="F160" s="353"/>
      <c r="G160" s="112"/>
      <c r="H160" s="100">
        <v>1.4</v>
      </c>
      <c r="I160" s="100">
        <v>1.8</v>
      </c>
      <c r="J160" s="100">
        <v>1.2</v>
      </c>
      <c r="K160" s="297">
        <f t="shared" si="28"/>
        <v>1.4357823685373399</v>
      </c>
      <c r="L160" s="297">
        <f t="shared" si="28"/>
        <v>1.4958411115811741</v>
      </c>
      <c r="M160" s="297">
        <f t="shared" ca="1" si="28"/>
        <v>1.5675342134972692</v>
      </c>
      <c r="N160" s="297">
        <f t="shared" ca="1" si="28"/>
        <v>1.6468000337798698</v>
      </c>
      <c r="O160" s="297">
        <f t="shared" ca="1" si="28"/>
        <v>1.7224750735150685</v>
      </c>
    </row>
    <row r="161" spans="2:15">
      <c r="C161" s="258" t="s">
        <v>16</v>
      </c>
      <c r="F161" s="256"/>
      <c r="G161" s="116"/>
      <c r="H161" s="106">
        <f t="shared" ref="H161:O161" si="29">SUM(H156:H160)</f>
        <v>95.899999999999963</v>
      </c>
      <c r="I161" s="106">
        <f t="shared" si="29"/>
        <v>101.2</v>
      </c>
      <c r="J161" s="106">
        <f t="shared" si="29"/>
        <v>79.800000000000011</v>
      </c>
      <c r="K161" s="106">
        <f t="shared" si="29"/>
        <v>82.495689571365446</v>
      </c>
      <c r="L161" s="106">
        <f t="shared" si="29"/>
        <v>76.944932740349032</v>
      </c>
      <c r="M161" s="106">
        <f t="shared" ca="1" si="29"/>
        <v>79.413408131444072</v>
      </c>
      <c r="N161" s="106">
        <f t="shared" ca="1" si="29"/>
        <v>83.288697725408454</v>
      </c>
      <c r="O161" s="106">
        <f t="shared" ca="1" si="29"/>
        <v>79.914743214706846</v>
      </c>
    </row>
    <row r="162" spans="2:15">
      <c r="F162" s="116"/>
      <c r="G162" s="105"/>
      <c r="H162" s="116"/>
      <c r="I162" s="116"/>
      <c r="J162" s="377"/>
      <c r="K162" s="377"/>
      <c r="L162" s="377"/>
      <c r="M162" s="377"/>
      <c r="N162" s="377"/>
      <c r="O162" s="377"/>
    </row>
    <row r="163" spans="2:15">
      <c r="C163" t="s">
        <v>17</v>
      </c>
      <c r="F163" s="353"/>
      <c r="G163" s="112"/>
      <c r="H163" s="111">
        <v>398.5</v>
      </c>
      <c r="I163" s="111">
        <v>398</v>
      </c>
      <c r="J163" s="111">
        <v>397.7</v>
      </c>
      <c r="K163" s="106">
        <f>K216</f>
        <v>397.52533333333332</v>
      </c>
      <c r="L163" s="106">
        <f>L216</f>
        <v>397.80066666666664</v>
      </c>
      <c r="M163" s="106">
        <f>M216</f>
        <v>397.80433333333332</v>
      </c>
      <c r="N163" s="106">
        <f>N216</f>
        <v>397.428</v>
      </c>
      <c r="O163" s="106">
        <f>O216</f>
        <v>396.96</v>
      </c>
    </row>
    <row r="164" spans="2:15">
      <c r="C164" s="14" t="s">
        <v>10</v>
      </c>
      <c r="F164" s="353"/>
      <c r="G164" s="112"/>
      <c r="H164" s="100">
        <v>19</v>
      </c>
      <c r="I164" s="100">
        <v>15</v>
      </c>
      <c r="J164" s="100">
        <v>12</v>
      </c>
      <c r="K164" s="297">
        <f>J164-K130</f>
        <v>12</v>
      </c>
      <c r="L164" s="297">
        <f>K164-L130</f>
        <v>12</v>
      </c>
      <c r="M164" s="297">
        <f>L164-M130</f>
        <v>12</v>
      </c>
      <c r="N164" s="297">
        <f>M164-N130</f>
        <v>12</v>
      </c>
      <c r="O164" s="297">
        <f>N164-O130</f>
        <v>12</v>
      </c>
    </row>
    <row r="165" spans="2:15">
      <c r="C165" s="267" t="s">
        <v>178</v>
      </c>
      <c r="F165" s="256"/>
      <c r="G165" s="112"/>
      <c r="H165" s="113">
        <f t="shared" ref="H165:O165" si="30">SUM(H163:H164)</f>
        <v>417.5</v>
      </c>
      <c r="I165" s="113">
        <f t="shared" si="30"/>
        <v>413</v>
      </c>
      <c r="J165" s="113">
        <f t="shared" si="30"/>
        <v>409.7</v>
      </c>
      <c r="K165" s="113">
        <f t="shared" si="30"/>
        <v>409.52533333333332</v>
      </c>
      <c r="L165" s="113">
        <f t="shared" si="30"/>
        <v>409.80066666666664</v>
      </c>
      <c r="M165" s="113">
        <f t="shared" si="30"/>
        <v>409.80433333333332</v>
      </c>
      <c r="N165" s="113">
        <f t="shared" si="30"/>
        <v>409.428</v>
      </c>
      <c r="O165" s="113">
        <f t="shared" si="30"/>
        <v>408.96</v>
      </c>
    </row>
    <row r="166" spans="2:15">
      <c r="C166" s="14"/>
      <c r="F166" s="259"/>
      <c r="G166" s="112"/>
      <c r="H166" s="111"/>
      <c r="I166" s="111"/>
      <c r="J166" s="111"/>
      <c r="K166" s="106"/>
      <c r="L166" s="106"/>
      <c r="M166" s="106"/>
      <c r="N166" s="106"/>
      <c r="O166" s="106"/>
    </row>
    <row r="167" spans="2:15" ht="12.6" thickBot="1">
      <c r="C167" s="256" t="s">
        <v>18</v>
      </c>
      <c r="F167" s="256"/>
      <c r="G167" s="302"/>
      <c r="H167" s="303">
        <f>+H161+H165</f>
        <v>513.4</v>
      </c>
      <c r="I167" s="303">
        <f>+I161+I165</f>
        <v>514.20000000000005</v>
      </c>
      <c r="J167" s="303">
        <f>+J161+J165</f>
        <v>489.5</v>
      </c>
      <c r="K167" s="303">
        <f>SUM(K161,K165)</f>
        <v>492.02102290469878</v>
      </c>
      <c r="L167" s="303">
        <f>SUM(L161,L165)</f>
        <v>486.74559940701567</v>
      </c>
      <c r="M167" s="303">
        <f ca="1">SUM(M161,M165)</f>
        <v>489.21774146477742</v>
      </c>
      <c r="N167" s="303">
        <f ca="1">SUM(N161,N165)</f>
        <v>492.71669772540844</v>
      </c>
      <c r="O167" s="303">
        <f ca="1">SUM(O161,O165)</f>
        <v>488.87474321470683</v>
      </c>
    </row>
    <row r="168" spans="2:15" ht="12.6" thickTop="1">
      <c r="F168" s="116"/>
      <c r="G168" s="105"/>
      <c r="H168" s="116"/>
      <c r="I168" s="116"/>
      <c r="J168" s="105"/>
      <c r="K168" s="105"/>
      <c r="L168" s="105"/>
      <c r="M168" s="105"/>
      <c r="N168" s="105"/>
      <c r="O168" s="105"/>
    </row>
    <row r="169" spans="2:15">
      <c r="F169" s="116"/>
      <c r="G169" s="105"/>
      <c r="H169" s="116"/>
      <c r="I169" s="116"/>
      <c r="J169" s="105"/>
      <c r="K169" s="105"/>
      <c r="L169" s="105"/>
      <c r="M169" s="105"/>
      <c r="N169" s="105"/>
      <c r="O169" s="105"/>
    </row>
    <row r="170" spans="2:15">
      <c r="B170" s="258" t="s">
        <v>19</v>
      </c>
      <c r="F170" s="116"/>
      <c r="G170" s="105"/>
      <c r="H170" s="116"/>
      <c r="I170" s="116"/>
      <c r="J170" s="105"/>
      <c r="K170" s="105"/>
      <c r="L170" s="105"/>
      <c r="M170" s="105"/>
      <c r="N170" s="105"/>
      <c r="O170" s="105"/>
    </row>
    <row r="171" spans="2:15">
      <c r="C171" s="14" t="s">
        <v>134</v>
      </c>
      <c r="F171" s="353"/>
      <c r="G171" s="112"/>
      <c r="H171" s="111">
        <v>0</v>
      </c>
      <c r="I171" s="111">
        <v>0</v>
      </c>
      <c r="J171" s="111">
        <v>0</v>
      </c>
      <c r="K171" s="106">
        <f>K307</f>
        <v>1.0754576226248351</v>
      </c>
      <c r="L171" s="106">
        <f>L307</f>
        <v>7.7419764212843862</v>
      </c>
      <c r="M171" s="106">
        <f ca="1">M307</f>
        <v>1.2272957693945044</v>
      </c>
      <c r="N171" s="106">
        <f ca="1">N307</f>
        <v>0</v>
      </c>
      <c r="O171" s="106">
        <f ca="1">O307</f>
        <v>2.6048902156305322</v>
      </c>
    </row>
    <row r="172" spans="2:15">
      <c r="C172" s="14" t="s">
        <v>20</v>
      </c>
      <c r="F172" s="353"/>
      <c r="G172" s="112"/>
      <c r="H172" s="114">
        <v>18.299999999999997</v>
      </c>
      <c r="I172" s="114">
        <v>18.700000000000003</v>
      </c>
      <c r="J172" s="114">
        <v>18.2</v>
      </c>
      <c r="K172" s="295">
        <f t="shared" ref="K172:O173" si="31">K271</f>
        <v>19.143764913831198</v>
      </c>
      <c r="L172" s="295">
        <f t="shared" si="31"/>
        <v>19.944548154415656</v>
      </c>
      <c r="M172" s="295">
        <f t="shared" ca="1" si="31"/>
        <v>20.900456179963591</v>
      </c>
      <c r="N172" s="295">
        <f t="shared" ca="1" si="31"/>
        <v>21.957333783731595</v>
      </c>
      <c r="O172" s="295">
        <f t="shared" ca="1" si="31"/>
        <v>22.966334313534244</v>
      </c>
    </row>
    <row r="173" spans="2:15">
      <c r="C173" s="14" t="s">
        <v>10</v>
      </c>
      <c r="F173" s="353"/>
      <c r="G173" s="112"/>
      <c r="H173" s="100">
        <v>4.7</v>
      </c>
      <c r="I173" s="100">
        <v>4.9000000000000004</v>
      </c>
      <c r="J173" s="100">
        <v>4.8</v>
      </c>
      <c r="K173" s="297">
        <f t="shared" si="31"/>
        <v>4.7859412284577996</v>
      </c>
      <c r="L173" s="297">
        <f t="shared" si="31"/>
        <v>4.9861370386039141</v>
      </c>
      <c r="M173" s="297">
        <f t="shared" ca="1" si="31"/>
        <v>5.2251140449908977</v>
      </c>
      <c r="N173" s="297">
        <f t="shared" ca="1" si="31"/>
        <v>5.4893334459328988</v>
      </c>
      <c r="O173" s="297">
        <f t="shared" ca="1" si="31"/>
        <v>5.7415835783835609</v>
      </c>
    </row>
    <row r="174" spans="2:15">
      <c r="C174" s="258" t="s">
        <v>21</v>
      </c>
      <c r="F174" s="256"/>
      <c r="G174" s="116"/>
      <c r="H174" s="295">
        <f t="shared" ref="H174:O174" si="32">SUM(H171:H173)</f>
        <v>22.999999999999996</v>
      </c>
      <c r="I174" s="295">
        <f t="shared" si="32"/>
        <v>23.6</v>
      </c>
      <c r="J174" s="295">
        <f t="shared" si="32"/>
        <v>23</v>
      </c>
      <c r="K174" s="295">
        <f t="shared" si="32"/>
        <v>25.005163764913831</v>
      </c>
      <c r="L174" s="295">
        <f t="shared" si="32"/>
        <v>32.672661614303955</v>
      </c>
      <c r="M174" s="295">
        <f t="shared" ca="1" si="32"/>
        <v>27.352865994348996</v>
      </c>
      <c r="N174" s="295">
        <f t="shared" ca="1" si="32"/>
        <v>27.446667229664495</v>
      </c>
      <c r="O174" s="295">
        <f t="shared" ca="1" si="32"/>
        <v>31.312808107548339</v>
      </c>
    </row>
    <row r="175" spans="2:15">
      <c r="F175" s="116"/>
      <c r="G175" s="105"/>
      <c r="H175" s="116"/>
      <c r="I175" s="116"/>
      <c r="J175" s="105"/>
      <c r="K175" s="105"/>
      <c r="L175" s="105"/>
      <c r="M175" s="106"/>
      <c r="N175" s="105"/>
      <c r="O175" s="105"/>
    </row>
    <row r="176" spans="2:15">
      <c r="C176" t="s">
        <v>146</v>
      </c>
      <c r="F176" s="353"/>
      <c r="G176" s="105"/>
      <c r="H176" s="115">
        <v>0.70000000000000018</v>
      </c>
      <c r="I176" s="115">
        <v>6.9</v>
      </c>
      <c r="J176" s="115">
        <v>8</v>
      </c>
      <c r="K176" s="106">
        <f>J176+K238</f>
        <v>9.75</v>
      </c>
      <c r="L176" s="106">
        <f>K176+L238</f>
        <v>11.5</v>
      </c>
      <c r="M176" s="106">
        <f ca="1">L176+M238</f>
        <v>13.25</v>
      </c>
      <c r="N176" s="106">
        <f ca="1">M176+N238</f>
        <v>15</v>
      </c>
      <c r="O176" s="106">
        <f ca="1">N176+O238</f>
        <v>16.75</v>
      </c>
    </row>
    <row r="177" spans="1:15">
      <c r="C177" s="14" t="s">
        <v>131</v>
      </c>
      <c r="F177" s="353"/>
      <c r="G177" s="378"/>
      <c r="H177" s="100">
        <v>250</v>
      </c>
      <c r="I177" s="100">
        <v>225</v>
      </c>
      <c r="J177" s="100">
        <v>200</v>
      </c>
      <c r="K177" s="297">
        <f>K318</f>
        <v>175</v>
      </c>
      <c r="L177" s="297">
        <f>L318</f>
        <v>150</v>
      </c>
      <c r="M177" s="297">
        <f>M318</f>
        <v>125</v>
      </c>
      <c r="N177" s="297">
        <f>N318</f>
        <v>100</v>
      </c>
      <c r="O177" s="297">
        <f>O318</f>
        <v>75</v>
      </c>
    </row>
    <row r="178" spans="1:15">
      <c r="C178" s="267" t="s">
        <v>22</v>
      </c>
      <c r="F178" s="256"/>
      <c r="G178" s="112"/>
      <c r="H178" s="106">
        <f t="shared" ref="H178:O178" si="33">SUM(H176:H177)</f>
        <v>250.7</v>
      </c>
      <c r="I178" s="106">
        <f t="shared" si="33"/>
        <v>231.9</v>
      </c>
      <c r="J178" s="106">
        <f t="shared" si="33"/>
        <v>208</v>
      </c>
      <c r="K178" s="106">
        <f t="shared" si="33"/>
        <v>184.75</v>
      </c>
      <c r="L178" s="106">
        <f t="shared" si="33"/>
        <v>161.5</v>
      </c>
      <c r="M178" s="106">
        <f t="shared" ca="1" si="33"/>
        <v>138.25</v>
      </c>
      <c r="N178" s="106">
        <f t="shared" ca="1" si="33"/>
        <v>115</v>
      </c>
      <c r="O178" s="106">
        <f t="shared" ca="1" si="33"/>
        <v>91.75</v>
      </c>
    </row>
    <row r="179" spans="1:15">
      <c r="C179" s="258"/>
      <c r="F179" s="116"/>
      <c r="G179" s="105"/>
      <c r="H179" s="116"/>
      <c r="I179" s="116"/>
      <c r="J179" s="105"/>
      <c r="K179" s="105"/>
      <c r="L179" s="105"/>
      <c r="M179" s="105"/>
      <c r="N179" s="105"/>
      <c r="O179" s="105"/>
    </row>
    <row r="180" spans="1:15">
      <c r="C180" s="267" t="s">
        <v>23</v>
      </c>
      <c r="F180" s="256"/>
      <c r="G180" s="302"/>
      <c r="H180" s="99">
        <f>H178+H174</f>
        <v>273.7</v>
      </c>
      <c r="I180" s="99">
        <f>I178+I174</f>
        <v>255.5</v>
      </c>
      <c r="J180" s="99">
        <f>J178+J174</f>
        <v>231</v>
      </c>
      <c r="K180" s="99">
        <f>SUM(K174,K178)</f>
        <v>209.75516376491385</v>
      </c>
      <c r="L180" s="99">
        <f>SUM(L174,L178)</f>
        <v>194.17266161430396</v>
      </c>
      <c r="M180" s="99">
        <f ca="1">SUM(M174,M178)</f>
        <v>165.602865994349</v>
      </c>
      <c r="N180" s="99">
        <f ca="1">SUM(N174,N178)</f>
        <v>142.44666722966448</v>
      </c>
      <c r="O180" s="99">
        <f ca="1">SUM(O174,O178)</f>
        <v>123.06280810754834</v>
      </c>
    </row>
    <row r="181" spans="1:15">
      <c r="F181" s="116"/>
      <c r="G181" s="116"/>
      <c r="H181" s="116"/>
      <c r="I181" s="116"/>
      <c r="J181" s="105"/>
      <c r="K181" s="105"/>
      <c r="L181" s="105"/>
      <c r="M181" s="105"/>
      <c r="N181" s="105"/>
      <c r="O181" s="105"/>
    </row>
    <row r="182" spans="1:15">
      <c r="C182" t="s">
        <v>115</v>
      </c>
      <c r="F182" s="353"/>
      <c r="G182" s="116"/>
      <c r="H182" s="111">
        <v>120</v>
      </c>
      <c r="I182" s="111">
        <v>120</v>
      </c>
      <c r="J182" s="111">
        <v>120</v>
      </c>
      <c r="K182" s="106">
        <f>K338</f>
        <v>120</v>
      </c>
      <c r="L182" s="106">
        <f>L338</f>
        <v>120</v>
      </c>
      <c r="M182" s="106">
        <f>M338</f>
        <v>120</v>
      </c>
      <c r="N182" s="106">
        <f>N338</f>
        <v>120</v>
      </c>
      <c r="O182" s="106">
        <f>O338</f>
        <v>120</v>
      </c>
    </row>
    <row r="183" spans="1:15">
      <c r="C183" t="s">
        <v>118</v>
      </c>
      <c r="F183" s="353"/>
      <c r="G183" s="116"/>
      <c r="H183" s="100">
        <v>119.70000000000002</v>
      </c>
      <c r="I183" s="100">
        <v>138.70000000000007</v>
      </c>
      <c r="J183" s="100">
        <v>138.50000000000003</v>
      </c>
      <c r="K183" s="297">
        <f>K349</f>
        <v>162.26585913978496</v>
      </c>
      <c r="L183" s="297">
        <f>L349</f>
        <v>172.57293779271177</v>
      </c>
      <c r="M183" s="297">
        <f ca="1">M349</f>
        <v>203.61487547042844</v>
      </c>
      <c r="N183" s="297">
        <f ca="1">N349</f>
        <v>230.27003049574398</v>
      </c>
      <c r="O183" s="297">
        <f ca="1">O349</f>
        <v>245.81193510715855</v>
      </c>
    </row>
    <row r="184" spans="1:15">
      <c r="C184" s="258" t="s">
        <v>24</v>
      </c>
      <c r="F184" s="256"/>
      <c r="G184" s="112"/>
      <c r="H184" s="354">
        <f t="shared" ref="H184:O184" si="34">SUM(H182:H183)</f>
        <v>239.70000000000002</v>
      </c>
      <c r="I184" s="354">
        <f t="shared" si="34"/>
        <v>258.70000000000005</v>
      </c>
      <c r="J184" s="354">
        <f t="shared" si="34"/>
        <v>258.5</v>
      </c>
      <c r="K184" s="354">
        <f t="shared" si="34"/>
        <v>282.26585913978499</v>
      </c>
      <c r="L184" s="354">
        <f t="shared" si="34"/>
        <v>292.57293779271174</v>
      </c>
      <c r="M184" s="354">
        <f t="shared" ca="1" si="34"/>
        <v>323.61487547042844</v>
      </c>
      <c r="N184" s="354">
        <f t="shared" ca="1" si="34"/>
        <v>350.27003049574398</v>
      </c>
      <c r="O184" s="354">
        <f t="shared" ca="1" si="34"/>
        <v>365.81193510715855</v>
      </c>
    </row>
    <row r="185" spans="1:15">
      <c r="F185" s="116"/>
      <c r="G185" s="116"/>
      <c r="H185" s="105"/>
      <c r="I185" s="105"/>
      <c r="J185" s="105"/>
      <c r="K185" s="105"/>
      <c r="L185" s="105"/>
      <c r="M185" s="105"/>
      <c r="N185" s="105"/>
      <c r="O185" s="105"/>
    </row>
    <row r="186" spans="1:15" ht="12.6" thickBot="1">
      <c r="B186" s="258" t="s">
        <v>25</v>
      </c>
      <c r="F186" s="256"/>
      <c r="G186" s="302"/>
      <c r="H186" s="303">
        <f>H184+H180</f>
        <v>513.4</v>
      </c>
      <c r="I186" s="303">
        <f>I184+I180</f>
        <v>514.20000000000005</v>
      </c>
      <c r="J186" s="303">
        <f>J184+J180</f>
        <v>489.5</v>
      </c>
      <c r="K186" s="303">
        <f>SUM(K180,K184)</f>
        <v>492.02102290469884</v>
      </c>
      <c r="L186" s="303">
        <f>SUM(L180,L184)</f>
        <v>486.74559940701567</v>
      </c>
      <c r="M186" s="303">
        <f ca="1">SUM(M180,M184)</f>
        <v>489.21774146477742</v>
      </c>
      <c r="N186" s="303">
        <f ca="1">SUM(N180,N184)</f>
        <v>492.71669772540849</v>
      </c>
      <c r="O186" s="303">
        <f ca="1">SUM(O180,O184)</f>
        <v>488.87474321470688</v>
      </c>
    </row>
    <row r="187" spans="1:15" ht="12.6" thickTop="1">
      <c r="F187" s="379"/>
      <c r="G187" s="379"/>
      <c r="H187" s="91"/>
      <c r="I187" s="91"/>
      <c r="J187" s="91"/>
      <c r="K187" s="91"/>
      <c r="L187" s="91"/>
      <c r="M187" s="91"/>
      <c r="N187" s="91"/>
      <c r="O187" s="91"/>
    </row>
    <row r="188" spans="1:15" ht="12.6">
      <c r="B188" s="349"/>
      <c r="D188" s="380" t="s">
        <v>26</v>
      </c>
      <c r="F188" s="381"/>
      <c r="G188" s="381"/>
      <c r="H188" s="382">
        <f>ROUND(H167-H186,3)</f>
        <v>0</v>
      </c>
      <c r="I188" s="382">
        <f t="shared" ref="I188:O188" si="35">ROUND(I167-I186,3)</f>
        <v>0</v>
      </c>
      <c r="J188" s="382">
        <f t="shared" si="35"/>
        <v>0</v>
      </c>
      <c r="K188" s="382">
        <f>ROUND(K167-K186,3)</f>
        <v>0</v>
      </c>
      <c r="L188" s="382">
        <f>ROUND(L167-L186,3)</f>
        <v>0</v>
      </c>
      <c r="M188" s="382">
        <f t="shared" ca="1" si="35"/>
        <v>0</v>
      </c>
      <c r="N188" s="382">
        <f t="shared" ca="1" si="35"/>
        <v>0</v>
      </c>
      <c r="O188" s="382">
        <f t="shared" ca="1" si="35"/>
        <v>0</v>
      </c>
    </row>
    <row r="189" spans="1:15" ht="12.6">
      <c r="B189" s="383"/>
      <c r="C189" s="8"/>
      <c r="D189" s="8"/>
      <c r="E189" s="8"/>
      <c r="F189" s="8"/>
      <c r="G189" s="8"/>
      <c r="H189" s="8"/>
      <c r="I189" s="8"/>
      <c r="J189" s="8"/>
      <c r="K189" s="384"/>
      <c r="L189" s="384"/>
      <c r="M189" s="384"/>
      <c r="N189" s="384"/>
      <c r="O189" s="384"/>
    </row>
    <row r="190" spans="1:15">
      <c r="F190"/>
    </row>
    <row r="191" spans="1:15" ht="12.75" customHeight="1">
      <c r="A191" s="535"/>
      <c r="B191" s="1"/>
      <c r="C191" s="3"/>
      <c r="D191" s="3"/>
      <c r="E191" s="3"/>
      <c r="F191" s="79"/>
      <c r="G191" s="3"/>
      <c r="H191" s="3"/>
      <c r="I191" s="3"/>
      <c r="J191" s="3"/>
      <c r="K191" s="3"/>
      <c r="L191" s="3"/>
      <c r="M191" s="3"/>
      <c r="N191" s="3"/>
      <c r="O191" s="278" t="str">
        <f>$O$1</f>
        <v>CURRENTLY RUNNING: BASE CASE SCENARIO</v>
      </c>
    </row>
    <row r="192" spans="1:15" ht="22.75" customHeight="1">
      <c r="B192" s="385" t="str">
        <f>B$2</f>
        <v>Dummy Co.</v>
      </c>
      <c r="C192" s="386"/>
      <c r="D192" s="386"/>
      <c r="E192" s="387"/>
      <c r="F192" s="387"/>
      <c r="G192" s="388"/>
      <c r="H192" s="388"/>
      <c r="I192" s="388"/>
      <c r="J192" s="388"/>
      <c r="K192" s="388"/>
      <c r="L192" s="388"/>
      <c r="M192" s="388"/>
      <c r="N192" s="388"/>
      <c r="O192" s="388"/>
    </row>
    <row r="193" spans="1:237" ht="17.7">
      <c r="B193" s="247" t="s">
        <v>208</v>
      </c>
      <c r="C193" s="247"/>
      <c r="D193" s="247"/>
      <c r="E193" s="389"/>
      <c r="F193" s="389"/>
      <c r="G193" s="247"/>
      <c r="H193" s="247"/>
      <c r="I193" s="247"/>
      <c r="J193" s="247"/>
      <c r="K193" s="247"/>
      <c r="L193" s="247"/>
      <c r="M193" s="247"/>
      <c r="N193" s="247"/>
      <c r="O193" s="247"/>
    </row>
    <row r="194" spans="1:237" ht="3" customHeight="1" thickBot="1">
      <c r="A194" s="536"/>
      <c r="B194" s="250"/>
      <c r="C194" s="251"/>
      <c r="D194" s="251"/>
      <c r="E194" s="251"/>
      <c r="F194" s="252"/>
      <c r="G194" s="251"/>
      <c r="H194" s="251"/>
      <c r="I194" s="251"/>
      <c r="J194" s="251"/>
      <c r="K194" s="251"/>
      <c r="L194" s="251"/>
      <c r="M194" s="251"/>
      <c r="N194" s="251"/>
      <c r="O194" s="251"/>
    </row>
    <row r="195" spans="1:237" ht="12.6">
      <c r="B195" s="311" t="s">
        <v>172</v>
      </c>
      <c r="C195" s="349"/>
      <c r="E195" s="80"/>
      <c r="G195" s="349"/>
    </row>
    <row r="196" spans="1:237">
      <c r="E196" s="80"/>
      <c r="K196" s="254" t="s">
        <v>2</v>
      </c>
      <c r="L196" s="390"/>
      <c r="M196" s="390"/>
      <c r="N196" s="390"/>
      <c r="O196" s="390"/>
    </row>
    <row r="197" spans="1:237">
      <c r="C197" s="256"/>
      <c r="D197" s="256"/>
      <c r="E197" s="298"/>
      <c r="F197" s="391"/>
      <c r="G197" s="392"/>
      <c r="H197" s="255">
        <f t="shared" ref="H197:O197" si="36">H$7</f>
        <v>2020</v>
      </c>
      <c r="I197" s="255">
        <f t="shared" si="36"/>
        <v>2021</v>
      </c>
      <c r="J197" s="255">
        <f t="shared" si="36"/>
        <v>2022</v>
      </c>
      <c r="K197" s="393">
        <f t="shared" si="36"/>
        <v>2023</v>
      </c>
      <c r="L197" s="393">
        <f t="shared" si="36"/>
        <v>2024</v>
      </c>
      <c r="M197" s="393">
        <f t="shared" si="36"/>
        <v>2025</v>
      </c>
      <c r="N197" s="393">
        <f t="shared" si="36"/>
        <v>2026</v>
      </c>
      <c r="O197" s="393">
        <f t="shared" si="36"/>
        <v>2027</v>
      </c>
    </row>
    <row r="199" spans="1:237" ht="13.45" customHeight="1">
      <c r="A199" s="539"/>
      <c r="B199" s="394" t="s">
        <v>195</v>
      </c>
      <c r="C199" s="362"/>
      <c r="D199" s="334"/>
      <c r="E199" s="334"/>
      <c r="F199" s="395">
        <f>Assumptions!H39</f>
        <v>25</v>
      </c>
      <c r="K199" s="396"/>
      <c r="L199" s="397"/>
      <c r="M199" s="397"/>
      <c r="N199" s="39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/>
      <c r="BW199" s="117"/>
      <c r="BX199" s="117"/>
      <c r="BY199" s="117"/>
      <c r="BZ199" s="117"/>
      <c r="CA199" s="117"/>
      <c r="CB199" s="117"/>
      <c r="CC199" s="117"/>
      <c r="CD199" s="117"/>
      <c r="CE199" s="117"/>
      <c r="CF199" s="117"/>
      <c r="CG199" s="117"/>
      <c r="CH199" s="117"/>
      <c r="CI199" s="117"/>
      <c r="CJ199" s="117"/>
      <c r="CK199" s="117"/>
      <c r="CL199" s="117"/>
      <c r="CM199" s="117"/>
      <c r="CN199" s="117"/>
      <c r="CO199" s="117"/>
      <c r="CP199" s="117"/>
      <c r="CQ199" s="117"/>
      <c r="CR199" s="117"/>
      <c r="CS199" s="117"/>
      <c r="CT199" s="117"/>
      <c r="CU199" s="117"/>
      <c r="CV199" s="117"/>
      <c r="CW199" s="117"/>
      <c r="CX199" s="117"/>
      <c r="CY199" s="117"/>
      <c r="CZ199" s="117"/>
      <c r="DA199" s="117"/>
      <c r="DB199" s="117"/>
      <c r="DC199" s="117"/>
      <c r="DD199" s="117"/>
      <c r="DE199" s="117"/>
      <c r="DF199" s="117"/>
      <c r="DG199" s="117"/>
      <c r="DH199" s="117"/>
      <c r="DI199" s="117"/>
      <c r="DJ199" s="117"/>
      <c r="DK199" s="117"/>
      <c r="DL199" s="117"/>
      <c r="DM199" s="117"/>
      <c r="DN199" s="117"/>
      <c r="DO199" s="117"/>
      <c r="DP199" s="117"/>
      <c r="DQ199" s="117"/>
      <c r="DR199" s="117"/>
      <c r="DS199" s="117"/>
      <c r="DT199" s="117"/>
      <c r="DU199" s="117"/>
      <c r="DV199" s="117"/>
      <c r="DW199" s="117"/>
      <c r="DX199" s="117"/>
      <c r="DY199" s="117"/>
      <c r="DZ199" s="117"/>
      <c r="EA199" s="117"/>
      <c r="EB199" s="117"/>
      <c r="EC199" s="117"/>
      <c r="ED199" s="117"/>
      <c r="EE199" s="117"/>
      <c r="EF199" s="117"/>
      <c r="EG199" s="117"/>
      <c r="EH199" s="117"/>
      <c r="EI199" s="117"/>
      <c r="EJ199" s="117"/>
      <c r="EK199" s="117"/>
      <c r="EL199" s="117"/>
      <c r="EM199" s="117"/>
      <c r="EN199" s="117"/>
      <c r="EO199" s="117"/>
      <c r="EP199" s="117"/>
      <c r="EQ199" s="117"/>
      <c r="ER199" s="117"/>
      <c r="ES199" s="117"/>
      <c r="ET199" s="117"/>
      <c r="EU199" s="117"/>
      <c r="EV199" s="117"/>
      <c r="EW199" s="117"/>
      <c r="EX199" s="117"/>
      <c r="EY199" s="117"/>
      <c r="EZ199" s="117"/>
      <c r="FA199" s="117"/>
      <c r="FB199" s="117"/>
      <c r="FC199" s="117"/>
      <c r="FD199" s="117"/>
      <c r="FE199" s="117"/>
      <c r="FF199" s="117"/>
      <c r="FG199" s="117"/>
      <c r="FH199" s="117"/>
      <c r="FI199" s="117"/>
      <c r="FJ199" s="117"/>
      <c r="FK199" s="117"/>
      <c r="FL199" s="117"/>
      <c r="FM199" s="117"/>
      <c r="FN199" s="117"/>
      <c r="FO199" s="117"/>
      <c r="FP199" s="117"/>
      <c r="FQ199" s="117"/>
      <c r="FR199" s="117"/>
      <c r="FS199" s="117"/>
      <c r="FT199" s="117"/>
      <c r="FU199" s="117"/>
      <c r="FV199" s="117"/>
      <c r="FW199" s="117"/>
      <c r="FX199" s="117"/>
      <c r="FY199" s="117"/>
      <c r="FZ199" s="117"/>
      <c r="GA199" s="117"/>
      <c r="GB199" s="117"/>
      <c r="GC199" s="117"/>
      <c r="GD199" s="117"/>
      <c r="GE199" s="117"/>
      <c r="GF199" s="117"/>
      <c r="GG199" s="117"/>
      <c r="GH199" s="117"/>
      <c r="GI199" s="117"/>
      <c r="GJ199" s="117"/>
      <c r="GK199" s="117"/>
      <c r="GL199" s="117"/>
      <c r="GM199" s="117"/>
      <c r="GN199" s="117"/>
      <c r="GO199" s="117"/>
      <c r="GP199" s="117"/>
      <c r="GQ199" s="117"/>
      <c r="GR199" s="117"/>
      <c r="GS199" s="117"/>
      <c r="GT199" s="117"/>
      <c r="GU199" s="117"/>
      <c r="GV199" s="117"/>
      <c r="GW199" s="117"/>
      <c r="GX199" s="117"/>
      <c r="GY199" s="117"/>
      <c r="GZ199" s="117"/>
      <c r="HA199" s="117"/>
      <c r="HB199" s="117"/>
      <c r="HC199" s="117"/>
      <c r="HD199" s="117"/>
      <c r="HE199" s="117"/>
      <c r="HF199" s="117"/>
      <c r="HG199" s="117"/>
      <c r="HH199" s="117"/>
      <c r="HI199" s="117"/>
      <c r="HJ199" s="117"/>
      <c r="HK199" s="117"/>
      <c r="HL199" s="117"/>
      <c r="HM199" s="117"/>
      <c r="HN199" s="117"/>
      <c r="HO199" s="117"/>
      <c r="HP199" s="117"/>
      <c r="HQ199" s="117"/>
      <c r="HR199" s="117"/>
      <c r="HS199" s="117"/>
      <c r="HT199" s="117"/>
      <c r="HU199" s="117"/>
      <c r="HV199" s="117"/>
      <c r="HW199" s="117"/>
      <c r="HX199" s="117"/>
      <c r="HY199" s="117"/>
      <c r="HZ199" s="117"/>
      <c r="IA199" s="117"/>
      <c r="IB199" s="117"/>
      <c r="IC199" s="117"/>
    </row>
    <row r="200" spans="1:237" ht="13.45" customHeight="1">
      <c r="A200" s="539"/>
      <c r="B200" s="398" t="s">
        <v>141</v>
      </c>
      <c r="C200" s="342"/>
      <c r="D200" s="399"/>
      <c r="E200" s="400"/>
      <c r="F200" s="401">
        <f>Assumptions!H40</f>
        <v>30</v>
      </c>
      <c r="K200" s="402"/>
      <c r="L200" s="397"/>
      <c r="M200" s="397"/>
      <c r="N200" s="39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  <c r="BZ200" s="117"/>
      <c r="CA200" s="117"/>
      <c r="CB200" s="117"/>
      <c r="CC200" s="117"/>
      <c r="CD200" s="117"/>
      <c r="CE200" s="117"/>
      <c r="CF200" s="117"/>
      <c r="CG200" s="117"/>
      <c r="CH200" s="117"/>
      <c r="CI200" s="117"/>
      <c r="CJ200" s="117"/>
      <c r="CK200" s="117"/>
      <c r="CL200" s="117"/>
      <c r="CM200" s="117"/>
      <c r="CN200" s="117"/>
      <c r="CO200" s="117"/>
      <c r="CP200" s="117"/>
      <c r="CQ200" s="117"/>
      <c r="CR200" s="117"/>
      <c r="CS200" s="117"/>
      <c r="CT200" s="117"/>
      <c r="CU200" s="117"/>
      <c r="CV200" s="117"/>
      <c r="CW200" s="117"/>
      <c r="CX200" s="117"/>
      <c r="CY200" s="117"/>
      <c r="CZ200" s="117"/>
      <c r="DA200" s="117"/>
      <c r="DB200" s="117"/>
      <c r="DC200" s="117"/>
      <c r="DD200" s="117"/>
      <c r="DE200" s="117"/>
      <c r="DF200" s="117"/>
      <c r="DG200" s="117"/>
      <c r="DH200" s="117"/>
      <c r="DI200" s="117"/>
      <c r="DJ200" s="117"/>
      <c r="DK200" s="117"/>
      <c r="DL200" s="117"/>
      <c r="DM200" s="117"/>
      <c r="DN200" s="117"/>
      <c r="DO200" s="117"/>
      <c r="DP200" s="117"/>
      <c r="DQ200" s="117"/>
      <c r="DR200" s="117"/>
      <c r="DS200" s="117"/>
      <c r="DT200" s="117"/>
      <c r="DU200" s="117"/>
      <c r="DV200" s="117"/>
      <c r="DW200" s="117"/>
      <c r="DX200" s="117"/>
      <c r="DY200" s="117"/>
      <c r="DZ200" s="117"/>
      <c r="EA200" s="117"/>
      <c r="EB200" s="117"/>
      <c r="EC200" s="117"/>
      <c r="ED200" s="117"/>
      <c r="EE200" s="117"/>
      <c r="EF200" s="117"/>
      <c r="EG200" s="117"/>
      <c r="EH200" s="117"/>
      <c r="EI200" s="117"/>
      <c r="EJ200" s="117"/>
      <c r="EK200" s="117"/>
      <c r="EL200" s="117"/>
      <c r="EM200" s="117"/>
      <c r="EN200" s="117"/>
      <c r="EO200" s="117"/>
      <c r="EP200" s="117"/>
      <c r="EQ200" s="117"/>
      <c r="ER200" s="117"/>
      <c r="ES200" s="117"/>
      <c r="ET200" s="117"/>
      <c r="EU200" s="117"/>
      <c r="EV200" s="117"/>
      <c r="EW200" s="117"/>
      <c r="EX200" s="117"/>
      <c r="EY200" s="117"/>
      <c r="EZ200" s="117"/>
      <c r="FA200" s="117"/>
      <c r="FB200" s="117"/>
      <c r="FC200" s="117"/>
      <c r="FD200" s="117"/>
      <c r="FE200" s="117"/>
      <c r="FF200" s="117"/>
      <c r="FG200" s="117"/>
      <c r="FH200" s="117"/>
      <c r="FI200" s="117"/>
      <c r="FJ200" s="117"/>
      <c r="FK200" s="117"/>
      <c r="FL200" s="117"/>
      <c r="FM200" s="117"/>
      <c r="FN200" s="117"/>
      <c r="FO200" s="117"/>
      <c r="FP200" s="117"/>
      <c r="FQ200" s="117"/>
      <c r="FR200" s="117"/>
      <c r="FS200" s="117"/>
      <c r="FT200" s="117"/>
      <c r="FU200" s="117"/>
      <c r="FV200" s="117"/>
      <c r="FW200" s="117"/>
      <c r="FX200" s="117"/>
      <c r="FY200" s="117"/>
      <c r="FZ200" s="117"/>
      <c r="GA200" s="117"/>
      <c r="GB200" s="117"/>
      <c r="GC200" s="117"/>
      <c r="GD200" s="117"/>
      <c r="GE200" s="117"/>
      <c r="GF200" s="117"/>
      <c r="GG200" s="117"/>
      <c r="GH200" s="117"/>
      <c r="GI200" s="117"/>
      <c r="GJ200" s="117"/>
      <c r="GK200" s="117"/>
      <c r="GL200" s="117"/>
      <c r="GM200" s="117"/>
      <c r="GN200" s="117"/>
      <c r="GO200" s="117"/>
      <c r="GP200" s="117"/>
      <c r="GQ200" s="117"/>
      <c r="GR200" s="117"/>
      <c r="GS200" s="117"/>
      <c r="GT200" s="117"/>
      <c r="GU200" s="117"/>
      <c r="GV200" s="117"/>
      <c r="GW200" s="117"/>
      <c r="GX200" s="117"/>
      <c r="GY200" s="117"/>
      <c r="GZ200" s="117"/>
      <c r="HA200" s="117"/>
      <c r="HB200" s="117"/>
      <c r="HC200" s="117"/>
      <c r="HD200" s="117"/>
      <c r="HE200" s="117"/>
      <c r="HF200" s="117"/>
      <c r="HG200" s="117"/>
      <c r="HH200" s="117"/>
      <c r="HI200" s="117"/>
      <c r="HJ200" s="117"/>
      <c r="HK200" s="117"/>
      <c r="HL200" s="117"/>
      <c r="HM200" s="117"/>
      <c r="HN200" s="117"/>
      <c r="HO200" s="117"/>
      <c r="HP200" s="117"/>
      <c r="HQ200" s="117"/>
      <c r="HR200" s="117"/>
      <c r="HS200" s="117"/>
      <c r="HT200" s="117"/>
      <c r="HU200" s="117"/>
      <c r="HV200" s="117"/>
      <c r="HW200" s="117"/>
      <c r="HX200" s="117"/>
      <c r="HY200" s="117"/>
      <c r="HZ200" s="117"/>
      <c r="IA200" s="117"/>
      <c r="IB200" s="117"/>
      <c r="IC200" s="117"/>
    </row>
    <row r="201" spans="1:237" ht="13.45" customHeight="1">
      <c r="A201" s="539"/>
      <c r="B201" s="403"/>
      <c r="D201" s="404"/>
      <c r="E201" s="405"/>
      <c r="F201" s="406"/>
      <c r="K201" s="402"/>
      <c r="L201" s="397"/>
      <c r="M201" s="397"/>
      <c r="N201" s="39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17"/>
      <c r="BC201" s="117"/>
      <c r="BD201" s="117"/>
      <c r="BE201" s="117"/>
      <c r="BF201" s="117"/>
      <c r="BG201" s="117"/>
      <c r="BH201" s="117"/>
      <c r="BI201" s="117"/>
      <c r="BJ201" s="117"/>
      <c r="BK201" s="117"/>
      <c r="BL201" s="117"/>
      <c r="BM201" s="117"/>
      <c r="BN201" s="117"/>
      <c r="BO201" s="117"/>
      <c r="BP201" s="117"/>
      <c r="BQ201" s="117"/>
      <c r="BR201" s="117"/>
      <c r="BS201" s="117"/>
      <c r="BT201" s="117"/>
      <c r="BU201" s="117"/>
      <c r="BV201" s="117"/>
      <c r="BW201" s="117"/>
      <c r="BX201" s="117"/>
      <c r="BY201" s="117"/>
      <c r="BZ201" s="117"/>
      <c r="CA201" s="117"/>
      <c r="CB201" s="117"/>
      <c r="CC201" s="117"/>
      <c r="CD201" s="117"/>
      <c r="CE201" s="117"/>
      <c r="CF201" s="117"/>
      <c r="CG201" s="117"/>
      <c r="CH201" s="117"/>
      <c r="CI201" s="117"/>
      <c r="CJ201" s="117"/>
      <c r="CK201" s="117"/>
      <c r="CL201" s="117"/>
      <c r="CM201" s="117"/>
      <c r="CN201" s="117"/>
      <c r="CO201" s="117"/>
      <c r="CP201" s="117"/>
      <c r="CQ201" s="117"/>
      <c r="CR201" s="117"/>
      <c r="CS201" s="117"/>
      <c r="CT201" s="117"/>
      <c r="CU201" s="117"/>
      <c r="CV201" s="117"/>
      <c r="CW201" s="117"/>
      <c r="CX201" s="117"/>
      <c r="CY201" s="117"/>
      <c r="CZ201" s="117"/>
      <c r="DA201" s="117"/>
      <c r="DB201" s="117"/>
      <c r="DC201" s="117"/>
      <c r="DD201" s="117"/>
      <c r="DE201" s="117"/>
      <c r="DF201" s="117"/>
      <c r="DG201" s="117"/>
      <c r="DH201" s="117"/>
      <c r="DI201" s="117"/>
      <c r="DJ201" s="117"/>
      <c r="DK201" s="117"/>
      <c r="DL201" s="117"/>
      <c r="DM201" s="117"/>
      <c r="DN201" s="117"/>
      <c r="DO201" s="117"/>
      <c r="DP201" s="117"/>
      <c r="DQ201" s="117"/>
      <c r="DR201" s="117"/>
      <c r="DS201" s="117"/>
      <c r="DT201" s="117"/>
      <c r="DU201" s="117"/>
      <c r="DV201" s="117"/>
      <c r="DW201" s="117"/>
      <c r="DX201" s="117"/>
      <c r="DY201" s="117"/>
      <c r="DZ201" s="117"/>
      <c r="EA201" s="117"/>
      <c r="EB201" s="117"/>
      <c r="EC201" s="117"/>
      <c r="ED201" s="117"/>
      <c r="EE201" s="117"/>
      <c r="EF201" s="117"/>
      <c r="EG201" s="117"/>
      <c r="EH201" s="117"/>
      <c r="EI201" s="117"/>
      <c r="EJ201" s="117"/>
      <c r="EK201" s="117"/>
      <c r="EL201" s="117"/>
      <c r="EM201" s="117"/>
      <c r="EN201" s="117"/>
      <c r="EO201" s="117"/>
      <c r="EP201" s="117"/>
      <c r="EQ201" s="117"/>
      <c r="ER201" s="117"/>
      <c r="ES201" s="117"/>
      <c r="ET201" s="117"/>
      <c r="EU201" s="117"/>
      <c r="EV201" s="117"/>
      <c r="EW201" s="117"/>
      <c r="EX201" s="117"/>
      <c r="EY201" s="117"/>
      <c r="EZ201" s="117"/>
      <c r="FA201" s="117"/>
      <c r="FB201" s="117"/>
      <c r="FC201" s="117"/>
      <c r="FD201" s="117"/>
      <c r="FE201" s="117"/>
      <c r="FF201" s="117"/>
      <c r="FG201" s="117"/>
      <c r="FH201" s="117"/>
      <c r="FI201" s="117"/>
      <c r="FJ201" s="117"/>
      <c r="FK201" s="117"/>
      <c r="FL201" s="117"/>
      <c r="FM201" s="117"/>
      <c r="FN201" s="117"/>
      <c r="FO201" s="117"/>
      <c r="FP201" s="117"/>
      <c r="FQ201" s="117"/>
      <c r="FR201" s="117"/>
      <c r="FS201" s="117"/>
      <c r="FT201" s="117"/>
      <c r="FU201" s="117"/>
      <c r="FV201" s="117"/>
      <c r="FW201" s="117"/>
      <c r="FX201" s="117"/>
      <c r="FY201" s="117"/>
      <c r="FZ201" s="117"/>
      <c r="GA201" s="117"/>
      <c r="GB201" s="117"/>
      <c r="GC201" s="117"/>
      <c r="GD201" s="117"/>
      <c r="GE201" s="117"/>
      <c r="GF201" s="117"/>
      <c r="GG201" s="117"/>
      <c r="GH201" s="117"/>
      <c r="GI201" s="117"/>
      <c r="GJ201" s="117"/>
      <c r="GK201" s="117"/>
      <c r="GL201" s="117"/>
      <c r="GM201" s="117"/>
      <c r="GN201" s="117"/>
      <c r="GO201" s="117"/>
      <c r="GP201" s="117"/>
      <c r="GQ201" s="117"/>
      <c r="GR201" s="117"/>
      <c r="GS201" s="117"/>
      <c r="GT201" s="117"/>
      <c r="GU201" s="117"/>
      <c r="GV201" s="117"/>
      <c r="GW201" s="117"/>
      <c r="GX201" s="117"/>
      <c r="GY201" s="117"/>
      <c r="GZ201" s="117"/>
      <c r="HA201" s="117"/>
      <c r="HB201" s="117"/>
      <c r="HC201" s="117"/>
      <c r="HD201" s="117"/>
      <c r="HE201" s="117"/>
      <c r="HF201" s="117"/>
      <c r="HG201" s="117"/>
      <c r="HH201" s="117"/>
      <c r="HI201" s="117"/>
      <c r="HJ201" s="117"/>
      <c r="HK201" s="117"/>
      <c r="HL201" s="117"/>
      <c r="HM201" s="117"/>
      <c r="HN201" s="117"/>
      <c r="HO201" s="117"/>
      <c r="HP201" s="117"/>
      <c r="HQ201" s="117"/>
      <c r="HR201" s="117"/>
      <c r="HS201" s="117"/>
      <c r="HT201" s="117"/>
      <c r="HU201" s="117"/>
      <c r="HV201" s="117"/>
      <c r="HW201" s="117"/>
      <c r="HX201" s="117"/>
      <c r="HY201" s="117"/>
      <c r="HZ201" s="117"/>
      <c r="IA201" s="117"/>
      <c r="IB201" s="117"/>
      <c r="IC201" s="117"/>
    </row>
    <row r="202" spans="1:237" ht="13.45" customHeight="1">
      <c r="A202" s="539"/>
      <c r="B202" s="403"/>
      <c r="D202" s="407" t="s">
        <v>197</v>
      </c>
      <c r="E202" s="405"/>
      <c r="F202" s="406"/>
      <c r="K202" s="408">
        <f>J216</f>
        <v>397.7</v>
      </c>
      <c r="L202" s="408">
        <f>K216</f>
        <v>397.52533333333332</v>
      </c>
      <c r="M202" s="408">
        <f>L216</f>
        <v>397.80066666666664</v>
      </c>
      <c r="N202" s="408">
        <f>M216</f>
        <v>397.80433333333332</v>
      </c>
      <c r="O202" s="408">
        <f>N216</f>
        <v>397.428</v>
      </c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17"/>
      <c r="BC202" s="117"/>
      <c r="BD202" s="117"/>
      <c r="BE202" s="117"/>
      <c r="BF202" s="117"/>
      <c r="BG202" s="117"/>
      <c r="BH202" s="117"/>
      <c r="BI202" s="117"/>
      <c r="BJ202" s="117"/>
      <c r="BK202" s="117"/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/>
      <c r="BW202" s="117"/>
      <c r="BX202" s="117"/>
      <c r="BY202" s="117"/>
      <c r="BZ202" s="117"/>
      <c r="CA202" s="117"/>
      <c r="CB202" s="117"/>
      <c r="CC202" s="117"/>
      <c r="CD202" s="117"/>
      <c r="CE202" s="117"/>
      <c r="CF202" s="117"/>
      <c r="CG202" s="117"/>
      <c r="CH202" s="117"/>
      <c r="CI202" s="117"/>
      <c r="CJ202" s="117"/>
      <c r="CK202" s="117"/>
      <c r="CL202" s="117"/>
      <c r="CM202" s="117"/>
      <c r="CN202" s="117"/>
      <c r="CO202" s="117"/>
      <c r="CP202" s="117"/>
      <c r="CQ202" s="117"/>
      <c r="CR202" s="117"/>
      <c r="CS202" s="117"/>
      <c r="CT202" s="117"/>
      <c r="CU202" s="117"/>
      <c r="CV202" s="117"/>
      <c r="CW202" s="117"/>
      <c r="CX202" s="117"/>
      <c r="CY202" s="117"/>
      <c r="CZ202" s="117"/>
      <c r="DA202" s="117"/>
      <c r="DB202" s="117"/>
      <c r="DC202" s="117"/>
      <c r="DD202" s="117"/>
      <c r="DE202" s="117"/>
      <c r="DF202" s="117"/>
      <c r="DG202" s="117"/>
      <c r="DH202" s="117"/>
      <c r="DI202" s="117"/>
      <c r="DJ202" s="117"/>
      <c r="DK202" s="117"/>
      <c r="DL202" s="117"/>
      <c r="DM202" s="117"/>
      <c r="DN202" s="117"/>
      <c r="DO202" s="117"/>
      <c r="DP202" s="117"/>
      <c r="DQ202" s="117"/>
      <c r="DR202" s="117"/>
      <c r="DS202" s="117"/>
      <c r="DT202" s="117"/>
      <c r="DU202" s="117"/>
      <c r="DV202" s="117"/>
      <c r="DW202" s="117"/>
      <c r="DX202" s="117"/>
      <c r="DY202" s="117"/>
      <c r="DZ202" s="117"/>
      <c r="EA202" s="117"/>
      <c r="EB202" s="117"/>
      <c r="EC202" s="117"/>
      <c r="ED202" s="117"/>
      <c r="EE202" s="117"/>
      <c r="EF202" s="117"/>
      <c r="EG202" s="117"/>
      <c r="EH202" s="117"/>
      <c r="EI202" s="117"/>
      <c r="EJ202" s="117"/>
      <c r="EK202" s="117"/>
      <c r="EL202" s="117"/>
      <c r="EM202" s="117"/>
      <c r="EN202" s="117"/>
      <c r="EO202" s="117"/>
      <c r="EP202" s="117"/>
      <c r="EQ202" s="117"/>
      <c r="ER202" s="117"/>
      <c r="ES202" s="117"/>
      <c r="ET202" s="117"/>
      <c r="EU202" s="117"/>
      <c r="EV202" s="117"/>
      <c r="EW202" s="117"/>
      <c r="EX202" s="117"/>
      <c r="EY202" s="117"/>
      <c r="EZ202" s="117"/>
      <c r="FA202" s="117"/>
      <c r="FB202" s="117"/>
      <c r="FC202" s="117"/>
      <c r="FD202" s="117"/>
      <c r="FE202" s="117"/>
      <c r="FF202" s="117"/>
      <c r="FG202" s="117"/>
      <c r="FH202" s="117"/>
      <c r="FI202" s="117"/>
      <c r="FJ202" s="117"/>
      <c r="FK202" s="117"/>
      <c r="FL202" s="117"/>
      <c r="FM202" s="117"/>
      <c r="FN202" s="117"/>
      <c r="FO202" s="117"/>
      <c r="FP202" s="117"/>
      <c r="FQ202" s="117"/>
      <c r="FR202" s="117"/>
      <c r="FS202" s="117"/>
      <c r="FT202" s="117"/>
      <c r="FU202" s="117"/>
      <c r="FV202" s="117"/>
      <c r="FW202" s="117"/>
      <c r="FX202" s="117"/>
      <c r="FY202" s="117"/>
      <c r="FZ202" s="117"/>
      <c r="GA202" s="117"/>
      <c r="GB202" s="117"/>
      <c r="GC202" s="117"/>
      <c r="GD202" s="117"/>
      <c r="GE202" s="117"/>
      <c r="GF202" s="117"/>
      <c r="GG202" s="117"/>
      <c r="GH202" s="117"/>
      <c r="GI202" s="117"/>
      <c r="GJ202" s="117"/>
      <c r="GK202" s="117"/>
      <c r="GL202" s="117"/>
      <c r="GM202" s="117"/>
      <c r="GN202" s="117"/>
      <c r="GO202" s="117"/>
      <c r="GP202" s="117"/>
      <c r="GQ202" s="117"/>
      <c r="GR202" s="117"/>
      <c r="GS202" s="117"/>
      <c r="GT202" s="117"/>
      <c r="GU202" s="117"/>
      <c r="GV202" s="117"/>
      <c r="GW202" s="117"/>
      <c r="GX202" s="117"/>
      <c r="GY202" s="117"/>
      <c r="GZ202" s="117"/>
      <c r="HA202" s="117"/>
      <c r="HB202" s="117"/>
      <c r="HC202" s="117"/>
      <c r="HD202" s="117"/>
      <c r="HE202" s="117"/>
      <c r="HF202" s="117"/>
      <c r="HG202" s="117"/>
      <c r="HH202" s="117"/>
      <c r="HI202" s="117"/>
      <c r="HJ202" s="117"/>
      <c r="HK202" s="117"/>
      <c r="HL202" s="117"/>
      <c r="HM202" s="117"/>
      <c r="HN202" s="117"/>
      <c r="HO202" s="117"/>
      <c r="HP202" s="117"/>
      <c r="HQ202" s="117"/>
      <c r="HR202" s="117"/>
      <c r="HS202" s="117"/>
      <c r="HT202" s="117"/>
      <c r="HU202" s="117"/>
      <c r="HV202" s="117"/>
      <c r="HW202" s="117"/>
      <c r="HX202" s="117"/>
      <c r="HY202" s="117"/>
      <c r="HZ202" s="117"/>
      <c r="IA202" s="117"/>
      <c r="IB202" s="117"/>
      <c r="IC202" s="117"/>
    </row>
    <row r="203" spans="1:237" ht="12.75" customHeight="1">
      <c r="D203" t="s">
        <v>198</v>
      </c>
      <c r="F203"/>
      <c r="K203" s="408">
        <f>-K129</f>
        <v>16</v>
      </c>
      <c r="L203" s="408">
        <f>-L129</f>
        <v>17</v>
      </c>
      <c r="M203" s="408">
        <f>-M129</f>
        <v>17.3</v>
      </c>
      <c r="N203" s="408">
        <f>-N129</f>
        <v>17.5</v>
      </c>
      <c r="O203" s="408">
        <f>-O129</f>
        <v>18</v>
      </c>
    </row>
    <row r="204" spans="1:237" ht="12.75" customHeight="1">
      <c r="F204"/>
      <c r="K204" s="409"/>
    </row>
    <row r="205" spans="1:237">
      <c r="D205" t="s">
        <v>41</v>
      </c>
      <c r="F205"/>
      <c r="H205" s="410"/>
      <c r="I205" s="410"/>
      <c r="J205" s="410"/>
      <c r="K205" s="118">
        <f>J163/F199</f>
        <v>15.907999999999999</v>
      </c>
      <c r="L205" s="118">
        <f>K205</f>
        <v>15.907999999999999</v>
      </c>
      <c r="M205" s="118">
        <f>L205</f>
        <v>15.907999999999999</v>
      </c>
      <c r="N205" s="118">
        <f>M205</f>
        <v>15.907999999999999</v>
      </c>
      <c r="O205" s="118">
        <f>N205</f>
        <v>15.907999999999999</v>
      </c>
    </row>
    <row r="206" spans="1:237">
      <c r="F206"/>
    </row>
    <row r="207" spans="1:237">
      <c r="D207" s="411" t="s">
        <v>54</v>
      </c>
      <c r="F207"/>
    </row>
    <row r="208" spans="1:237">
      <c r="D208" s="412">
        <f>K197</f>
        <v>2023</v>
      </c>
      <c r="E208" s="413">
        <f>-SUMIF($K$119:$O$119,D208,$K$129:$O$129)</f>
        <v>16</v>
      </c>
      <c r="F208" s="414"/>
      <c r="H208" s="397"/>
      <c r="I208" s="397"/>
      <c r="J208" s="397"/>
      <c r="K208" s="415">
        <f>IF(K$197=$D208,$E208/$F$200/2,MIN($E208/$F$200,$E208-SUM($J208:J208)))</f>
        <v>0.26666666666666666</v>
      </c>
      <c r="L208" s="415">
        <f>IF(L$197=$D208,$E208/$F$200/2,MIN($E208/$F$200,$E208-SUM($J208:K208)))</f>
        <v>0.53333333333333333</v>
      </c>
      <c r="M208" s="415">
        <f>IF(M$197=$D208,$E208/$F$200/2,MIN($E208/$F$200,$E208-SUM($J208:L208)))</f>
        <v>0.53333333333333333</v>
      </c>
      <c r="N208" s="415">
        <f>IF(N$197=$D208,$E208/$F$200/2,MIN($E208/$F$200,$E208-SUM($J208:M208)))</f>
        <v>0.53333333333333333</v>
      </c>
      <c r="O208" s="415">
        <f>IF(O$197=$D208,$E208/$F$200/2,MIN($E208/$F$200,$E208-SUM($J208:N208)))</f>
        <v>0.53333333333333333</v>
      </c>
    </row>
    <row r="209" spans="1:15">
      <c r="D209" s="412">
        <f>D208+1</f>
        <v>2024</v>
      </c>
      <c r="E209" s="416">
        <f>-SUMIF($K$119:$O$119,D209,$K$129:$O$129)</f>
        <v>17</v>
      </c>
      <c r="F209" s="414"/>
      <c r="H209" s="397"/>
      <c r="I209" s="397"/>
      <c r="J209" s="397"/>
      <c r="K209" s="415"/>
      <c r="L209" s="415">
        <f>IF(L$197=$D209,$E209/$F$200/2,MIN($E209/$F$200,$E209-SUM($J209:K209)))</f>
        <v>0.28333333333333333</v>
      </c>
      <c r="M209" s="415">
        <f>IF(M$197=$D209,$E209/$F$200/2,MIN($E209/$F$200,$E209-SUM($J209:L209)))</f>
        <v>0.56666666666666665</v>
      </c>
      <c r="N209" s="415">
        <f>IF(N$197=$D209,$E209/$F$200/2,MIN($E209/$F$200,$E209-SUM($J209:M209)))</f>
        <v>0.56666666666666665</v>
      </c>
      <c r="O209" s="415">
        <f>IF(O$197=$D209,$E209/$F$200/2,MIN($E209/$F$200,$E209-SUM($J209:N209)))</f>
        <v>0.56666666666666665</v>
      </c>
    </row>
    <row r="210" spans="1:15">
      <c r="D210" s="412">
        <f>D209+1</f>
        <v>2025</v>
      </c>
      <c r="E210" s="416">
        <f>-SUMIF($K$119:$O$119,D210,$K$129:$O$129)</f>
        <v>17.3</v>
      </c>
      <c r="F210" s="414"/>
      <c r="H210" s="301"/>
      <c r="I210" s="301"/>
      <c r="J210" s="301"/>
      <c r="K210" s="415"/>
      <c r="L210" s="415"/>
      <c r="M210" s="415">
        <f>IF(M$197=$D210,$E210/$F$200/2,MIN($E210/$F$200,$E210-SUM($J210:L210)))</f>
        <v>0.28833333333333333</v>
      </c>
      <c r="N210" s="415">
        <f>IF(N$197=$D210,$E210/$F$200/2,MIN($E210/$F$200,$E210-SUM($J210:M210)))</f>
        <v>0.57666666666666666</v>
      </c>
      <c r="O210" s="415">
        <f>IF(O$197=$D210,$E210/$F$200/2,MIN($E210/$F$200,$E210-SUM($J210:N210)))</f>
        <v>0.57666666666666666</v>
      </c>
    </row>
    <row r="211" spans="1:15">
      <c r="D211" s="412">
        <f>D210+1</f>
        <v>2026</v>
      </c>
      <c r="E211" s="416">
        <f>-SUMIF($K$119:$O$119,D211,$K$129:$O$129)</f>
        <v>17.5</v>
      </c>
      <c r="F211" s="341"/>
      <c r="H211" s="301"/>
      <c r="I211" s="301"/>
      <c r="J211" s="301"/>
      <c r="K211" s="415"/>
      <c r="L211" s="415"/>
      <c r="M211" s="415"/>
      <c r="N211" s="415">
        <f>IF(N$197=$D211,$E211/$F$200/2,MIN($E211/$F$200,$E211-SUM($J211:M211)))</f>
        <v>0.29166666666666669</v>
      </c>
      <c r="O211" s="415">
        <f>IF(O$197=$D211,$E211/$F$200/2,MIN($E211/$F$200,$E211-SUM($J211:N211)))</f>
        <v>0.58333333333333337</v>
      </c>
    </row>
    <row r="212" spans="1:15">
      <c r="D212" s="412">
        <f>D211+1</f>
        <v>2027</v>
      </c>
      <c r="E212" s="417">
        <f>-SUMIF($K$119:$O$119,D212,$K$129:$O$129)</f>
        <v>18</v>
      </c>
      <c r="F212" s="414"/>
      <c r="H212" s="301"/>
      <c r="I212" s="301"/>
      <c r="J212" s="301"/>
      <c r="K212" s="415"/>
      <c r="L212" s="415"/>
      <c r="M212" s="415"/>
      <c r="N212" s="415"/>
      <c r="O212" s="415">
        <f>IF(O$197=$D212,$E212/$F$200/2,MIN($E212/$F$200,$E212-SUM($J212:N212)))</f>
        <v>0.3</v>
      </c>
    </row>
    <row r="214" spans="1:15" ht="12.6" thickBot="1">
      <c r="D214" s="407" t="s">
        <v>42</v>
      </c>
      <c r="H214" s="418"/>
      <c r="I214" s="418"/>
      <c r="J214" s="418"/>
      <c r="K214" s="418">
        <f>SUM(K205:K212)</f>
        <v>16.174666666666667</v>
      </c>
      <c r="L214" s="418">
        <f>SUM(L205:L212)</f>
        <v>16.724666666666668</v>
      </c>
      <c r="M214" s="418">
        <f>SUM(M205:M212)</f>
        <v>17.296333333333333</v>
      </c>
      <c r="N214" s="418">
        <f>SUM(N205:N212)</f>
        <v>17.876333333333335</v>
      </c>
      <c r="O214" s="418">
        <f>SUM(O205:O212)</f>
        <v>18.468</v>
      </c>
    </row>
    <row r="215" spans="1:15" ht="12.6" thickTop="1">
      <c r="D215" s="407"/>
      <c r="H215" s="419"/>
      <c r="I215" s="419"/>
      <c r="J215" s="419"/>
      <c r="K215" s="419"/>
      <c r="L215" s="419"/>
      <c r="M215" s="419"/>
      <c r="N215" s="419"/>
      <c r="O215" s="419"/>
    </row>
    <row r="216" spans="1:15">
      <c r="D216" s="407" t="s">
        <v>199</v>
      </c>
      <c r="H216" s="419"/>
      <c r="I216" s="419"/>
      <c r="J216" s="419">
        <f>J163</f>
        <v>397.7</v>
      </c>
      <c r="K216" s="419">
        <f>K202+K203-K214</f>
        <v>397.52533333333332</v>
      </c>
      <c r="L216" s="419">
        <f>L202+L203-L214</f>
        <v>397.80066666666664</v>
      </c>
      <c r="M216" s="419">
        <f>M202+M203-M214</f>
        <v>397.80433333333332</v>
      </c>
      <c r="N216" s="419">
        <f>N202+N203-N214</f>
        <v>397.428</v>
      </c>
      <c r="O216" s="419">
        <f>O202+O203-O214</f>
        <v>396.96</v>
      </c>
    </row>
    <row r="217" spans="1:15">
      <c r="D217" s="407"/>
      <c r="H217" s="419"/>
      <c r="I217" s="419"/>
      <c r="J217" s="419"/>
      <c r="K217" s="419"/>
      <c r="L217" s="419"/>
      <c r="M217" s="419"/>
      <c r="N217" s="419"/>
      <c r="O217" s="419"/>
    </row>
    <row r="218" spans="1:15">
      <c r="B218" s="8"/>
      <c r="C218" s="8"/>
      <c r="D218" s="8"/>
      <c r="E218" s="8"/>
      <c r="F218" s="277"/>
      <c r="G218" s="8"/>
      <c r="H218" s="420"/>
      <c r="I218" s="420"/>
      <c r="J218" s="420"/>
      <c r="K218" s="420"/>
      <c r="L218" s="420"/>
      <c r="M218" s="420"/>
      <c r="N218" s="420"/>
      <c r="O218" s="8"/>
    </row>
    <row r="219" spans="1:15">
      <c r="F219"/>
    </row>
    <row r="220" spans="1:15" ht="12.75" customHeight="1">
      <c r="A220" s="535"/>
      <c r="B220" s="1"/>
      <c r="C220" s="3"/>
      <c r="D220" s="3"/>
      <c r="E220" s="3"/>
      <c r="F220" s="79"/>
      <c r="G220" s="3"/>
      <c r="H220" s="3"/>
      <c r="I220" s="3"/>
      <c r="J220" s="3"/>
      <c r="K220" s="3"/>
      <c r="L220" s="3"/>
      <c r="M220" s="3"/>
      <c r="N220" s="3"/>
      <c r="O220" s="278" t="str">
        <f>$O$1</f>
        <v>CURRENTLY RUNNING: BASE CASE SCENARIO</v>
      </c>
    </row>
    <row r="221" spans="1:15" ht="22.5">
      <c r="B221" s="1" t="str">
        <f>B$2</f>
        <v>Dummy Co.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7.7">
      <c r="B222" s="247" t="s">
        <v>48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3" customHeight="1" thickBot="1">
      <c r="A223" s="536"/>
      <c r="B223" s="250"/>
      <c r="C223" s="251"/>
      <c r="D223" s="251"/>
      <c r="E223" s="251"/>
      <c r="F223" s="252"/>
      <c r="G223" s="251"/>
      <c r="H223" s="251"/>
      <c r="I223" s="251"/>
      <c r="J223" s="251"/>
      <c r="K223" s="251"/>
      <c r="L223" s="251"/>
      <c r="M223" s="251"/>
      <c r="N223" s="251"/>
      <c r="O223" s="251"/>
    </row>
    <row r="224" spans="1:15" ht="12.6">
      <c r="B224" s="311" t="s">
        <v>172</v>
      </c>
      <c r="F224"/>
    </row>
    <row r="225" spans="2:19">
      <c r="F225"/>
      <c r="H225" s="373"/>
      <c r="I225" s="373"/>
      <c r="J225" s="373"/>
      <c r="K225" s="254" t="s">
        <v>2</v>
      </c>
      <c r="L225" s="15"/>
      <c r="M225" s="15"/>
      <c r="N225" s="15"/>
      <c r="O225" s="15"/>
    </row>
    <row r="226" spans="2:19">
      <c r="B226" s="421"/>
      <c r="C226" s="422" t="s">
        <v>95</v>
      </c>
      <c r="D226" s="423"/>
      <c r="E226" s="424">
        <f>Assumptions!N39</f>
        <v>0.35</v>
      </c>
      <c r="F226"/>
      <c r="H226" s="392"/>
      <c r="I226" s="392"/>
      <c r="J226" s="392"/>
      <c r="K226" s="351">
        <f>K$7</f>
        <v>2023</v>
      </c>
      <c r="L226" s="351">
        <f>L$7</f>
        <v>2024</v>
      </c>
      <c r="M226" s="351">
        <f>M$7</f>
        <v>2025</v>
      </c>
      <c r="N226" s="351">
        <f>N$7</f>
        <v>2026</v>
      </c>
      <c r="O226" s="351">
        <f>O$7</f>
        <v>2027</v>
      </c>
    </row>
    <row r="227" spans="2:19">
      <c r="B227" s="421"/>
      <c r="C227" s="256"/>
      <c r="E227" s="425"/>
      <c r="F227"/>
      <c r="H227" s="392"/>
      <c r="I227" s="392"/>
      <c r="J227" s="392"/>
      <c r="K227" s="351"/>
      <c r="L227" s="351"/>
      <c r="M227" s="351"/>
      <c r="N227" s="351"/>
      <c r="O227" s="351"/>
    </row>
    <row r="228" spans="2:19">
      <c r="F228"/>
    </row>
    <row r="229" spans="2:19">
      <c r="D229" s="258" t="s">
        <v>174</v>
      </c>
      <c r="F229"/>
      <c r="H229" s="426" t="s">
        <v>31</v>
      </c>
      <c r="I229" s="397"/>
      <c r="J229" s="397"/>
      <c r="K229" s="427">
        <f>K98</f>
        <v>45.703575268817175</v>
      </c>
      <c r="L229" s="427">
        <f>L98</f>
        <v>19.821305101782293</v>
      </c>
      <c r="M229" s="427">
        <f ca="1">M98</f>
        <v>59.696033995608985</v>
      </c>
      <c r="N229" s="427">
        <f ca="1">N98</f>
        <v>51.259913510222191</v>
      </c>
      <c r="O229" s="427">
        <f ca="1">O98</f>
        <v>29.888278098874157</v>
      </c>
    </row>
    <row r="230" spans="2:19" ht="6" customHeight="1">
      <c r="E230" s="74"/>
      <c r="F230" s="74"/>
      <c r="H230" s="323"/>
      <c r="I230" s="323"/>
      <c r="J230" s="323"/>
      <c r="K230" s="323"/>
      <c r="L230" s="323"/>
      <c r="M230" s="323"/>
      <c r="N230" s="323"/>
      <c r="O230" s="323"/>
    </row>
    <row r="231" spans="2:19" ht="13.8">
      <c r="D231" t="s">
        <v>184</v>
      </c>
      <c r="F231"/>
      <c r="K231" s="428">
        <f>Assumptions!J61</f>
        <v>5</v>
      </c>
      <c r="L231" s="428">
        <f>Assumptions!K61</f>
        <v>5</v>
      </c>
      <c r="M231" s="428">
        <f>Assumptions!L61</f>
        <v>5</v>
      </c>
      <c r="N231" s="428">
        <f>Assumptions!M61</f>
        <v>5</v>
      </c>
      <c r="O231" s="428">
        <f>Assumptions!N61</f>
        <v>5</v>
      </c>
      <c r="S231" s="244"/>
    </row>
    <row r="232" spans="2:19">
      <c r="D232" s="258" t="s">
        <v>175</v>
      </c>
      <c r="F232" s="74"/>
      <c r="H232" s="426" t="s">
        <v>32</v>
      </c>
      <c r="I232" s="429"/>
      <c r="J232" s="429"/>
      <c r="K232" s="427">
        <f>K229-K231</f>
        <v>40.703575268817175</v>
      </c>
      <c r="L232" s="427">
        <f>L229-L231</f>
        <v>14.821305101782293</v>
      </c>
      <c r="M232" s="427">
        <f ca="1">M229-M231</f>
        <v>54.696033995608985</v>
      </c>
      <c r="N232" s="427">
        <f ca="1">N229-N231</f>
        <v>46.259913510222191</v>
      </c>
      <c r="O232" s="427">
        <f ca="1">O229-O231</f>
        <v>24.888278098874157</v>
      </c>
      <c r="S232" s="244"/>
    </row>
    <row r="233" spans="2:19">
      <c r="E233" s="256"/>
      <c r="F233"/>
      <c r="H233" s="397"/>
      <c r="I233" s="397"/>
      <c r="J233" s="397"/>
      <c r="K233" s="415"/>
      <c r="L233" s="415"/>
      <c r="M233" s="415"/>
      <c r="N233" s="415"/>
      <c r="O233" s="415"/>
      <c r="P233" s="102"/>
      <c r="S233" s="245"/>
    </row>
    <row r="234" spans="2:19">
      <c r="D234" s="14" t="str">
        <f>CONCATENATE("Accounting Taxes (",$E$226*100,"% of A)")</f>
        <v>Accounting Taxes (35% of A)</v>
      </c>
      <c r="E234" s="74"/>
      <c r="F234" s="323"/>
      <c r="G234" s="323"/>
      <c r="H234" s="397"/>
      <c r="I234" s="397"/>
      <c r="J234" s="397"/>
      <c r="K234" s="415">
        <f>K229*$E$226</f>
        <v>15.99625134408601</v>
      </c>
      <c r="L234" s="415">
        <f>L229*$E$226</f>
        <v>6.9374567856238025</v>
      </c>
      <c r="M234" s="415">
        <f ca="1">M229*$E$226</f>
        <v>20.893611898463142</v>
      </c>
      <c r="N234" s="415">
        <f ca="1">N229*$E$226</f>
        <v>17.940969728577766</v>
      </c>
      <c r="O234" s="415">
        <f ca="1">O229*$E$226</f>
        <v>10.460897334605955</v>
      </c>
    </row>
    <row r="235" spans="2:19">
      <c r="F235" s="430"/>
      <c r="H235" s="397"/>
      <c r="I235" s="397"/>
      <c r="J235" s="397"/>
      <c r="K235" s="397"/>
      <c r="L235" s="397"/>
      <c r="M235" s="397"/>
      <c r="N235" s="397"/>
      <c r="O235" s="397"/>
    </row>
    <row r="236" spans="2:19">
      <c r="D236" s="333" t="s">
        <v>96</v>
      </c>
      <c r="E236" s="431"/>
      <c r="F236" s="432"/>
      <c r="G236" s="432"/>
      <c r="H236" s="432"/>
      <c r="I236" s="432"/>
      <c r="J236" s="432"/>
      <c r="K236" s="432"/>
      <c r="L236" s="432"/>
      <c r="M236" s="432"/>
      <c r="N236" s="432"/>
      <c r="O236" s="433"/>
    </row>
    <row r="237" spans="2:19">
      <c r="D237" s="434" t="str">
        <f>CONCATENATE("Current Tax (",$E$226*100,"% of B)")</f>
        <v>Current Tax (35% of B)</v>
      </c>
      <c r="E237" s="74"/>
      <c r="F237" s="323"/>
      <c r="G237" s="435"/>
      <c r="H237" s="397"/>
      <c r="I237" s="397"/>
      <c r="J237" s="397"/>
      <c r="K237" s="415">
        <f>K232*$E$226</f>
        <v>14.24625134408601</v>
      </c>
      <c r="L237" s="415">
        <f>L232*$E$226</f>
        <v>5.1874567856238025</v>
      </c>
      <c r="M237" s="415">
        <f ca="1">M232*$E$226</f>
        <v>19.143611898463142</v>
      </c>
      <c r="N237" s="415">
        <f ca="1">N232*$E$226</f>
        <v>16.190969728577766</v>
      </c>
      <c r="O237" s="415">
        <f ca="1">O232*$E$226</f>
        <v>8.7108973346059546</v>
      </c>
    </row>
    <row r="238" spans="2:19">
      <c r="D238" s="338" t="s">
        <v>147</v>
      </c>
      <c r="E238" s="74"/>
      <c r="F238" s="323"/>
      <c r="G238" s="323"/>
      <c r="H238" s="397"/>
      <c r="I238" s="397"/>
      <c r="J238" s="397"/>
      <c r="K238" s="436">
        <f>K239-K237</f>
        <v>1.75</v>
      </c>
      <c r="L238" s="436">
        <f>L239-L237</f>
        <v>1.75</v>
      </c>
      <c r="M238" s="436">
        <f ca="1">M239-M237</f>
        <v>1.75</v>
      </c>
      <c r="N238" s="436">
        <f ca="1">N239-N237</f>
        <v>1.75</v>
      </c>
      <c r="O238" s="436">
        <f ca="1">O239-O237</f>
        <v>1.75</v>
      </c>
    </row>
    <row r="239" spans="2:19">
      <c r="D239" s="437" t="s">
        <v>97</v>
      </c>
      <c r="E239" s="438"/>
      <c r="F239" s="439"/>
      <c r="G239" s="439"/>
      <c r="H239" s="440"/>
      <c r="I239" s="440"/>
      <c r="J239" s="440"/>
      <c r="K239" s="441">
        <f>K234</f>
        <v>15.99625134408601</v>
      </c>
      <c r="L239" s="441">
        <f>L234</f>
        <v>6.9374567856238025</v>
      </c>
      <c r="M239" s="441">
        <f ca="1">M234</f>
        <v>20.893611898463142</v>
      </c>
      <c r="N239" s="441">
        <f ca="1">N234</f>
        <v>17.940969728577766</v>
      </c>
      <c r="O239" s="441">
        <f ca="1">O234</f>
        <v>10.460897334605955</v>
      </c>
    </row>
    <row r="240" spans="2:19">
      <c r="E240" s="74"/>
      <c r="F240" s="323"/>
      <c r="G240" s="323"/>
      <c r="H240" s="323"/>
      <c r="I240" s="323"/>
      <c r="J240" s="323"/>
      <c r="K240" s="323"/>
      <c r="L240" s="323"/>
      <c r="M240" s="323"/>
      <c r="N240" s="323"/>
      <c r="O240" s="323"/>
    </row>
    <row r="241" spans="1:15">
      <c r="C241" s="442" t="s">
        <v>176</v>
      </c>
      <c r="E241" s="74"/>
      <c r="F241" s="323"/>
      <c r="G241" s="323"/>
      <c r="H241" s="323"/>
      <c r="I241" s="323"/>
      <c r="J241" s="323"/>
      <c r="K241" s="323"/>
      <c r="L241" s="323"/>
      <c r="M241" s="323"/>
      <c r="N241" s="323"/>
      <c r="O241" s="323"/>
    </row>
    <row r="242" spans="1:15" ht="6" customHeight="1">
      <c r="B242" s="8"/>
      <c r="C242" s="8"/>
      <c r="D242" s="8"/>
      <c r="E242" s="443"/>
      <c r="F242" s="443"/>
      <c r="G242" s="444"/>
      <c r="H242" s="444"/>
      <c r="I242" s="444"/>
      <c r="J242" s="444"/>
      <c r="K242" s="444"/>
      <c r="L242" s="444"/>
      <c r="M242" s="444"/>
      <c r="N242" s="444"/>
      <c r="O242" s="8"/>
    </row>
    <row r="244" spans="1:15" ht="12.75" customHeight="1">
      <c r="A244" s="535"/>
      <c r="B244" s="1"/>
      <c r="C244" s="3"/>
      <c r="D244" s="3"/>
      <c r="E244" s="3"/>
      <c r="F244" s="79"/>
      <c r="G244" s="3"/>
      <c r="H244" s="3"/>
      <c r="I244" s="3"/>
      <c r="J244" s="3"/>
      <c r="K244" s="3"/>
      <c r="L244" s="3"/>
      <c r="M244" s="3"/>
      <c r="N244" s="3"/>
      <c r="O244" s="278" t="str">
        <f>$O$1</f>
        <v>CURRENTLY RUNNING: BASE CASE SCENARIO</v>
      </c>
    </row>
    <row r="245" spans="1:15" ht="22.5">
      <c r="B245" s="1" t="str">
        <f>B$2</f>
        <v>Dummy Co.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7.7">
      <c r="B246" s="247" t="s">
        <v>49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3" customHeight="1" thickBot="1">
      <c r="A247" s="536"/>
      <c r="B247" s="250"/>
      <c r="C247" s="251"/>
      <c r="D247" s="251"/>
      <c r="E247" s="251"/>
      <c r="F247" s="252"/>
      <c r="G247" s="251"/>
      <c r="H247" s="251"/>
      <c r="I247" s="251"/>
      <c r="J247" s="251"/>
      <c r="K247" s="251"/>
      <c r="L247" s="251"/>
      <c r="M247" s="251"/>
      <c r="N247" s="251"/>
      <c r="O247" s="251"/>
    </row>
    <row r="248" spans="1:15" ht="12.6">
      <c r="B248" s="311" t="s">
        <v>172</v>
      </c>
      <c r="F248"/>
      <c r="O248" s="14"/>
    </row>
    <row r="249" spans="1:15">
      <c r="F249"/>
      <c r="H249" s="3"/>
      <c r="I249" s="3"/>
      <c r="J249" s="3"/>
      <c r="K249" s="254" t="s">
        <v>2</v>
      </c>
      <c r="L249" s="15"/>
      <c r="M249" s="15"/>
      <c r="N249" s="15"/>
      <c r="O249" s="15"/>
    </row>
    <row r="250" spans="1:15" ht="12" customHeight="1">
      <c r="F250"/>
      <c r="G250" s="350"/>
      <c r="H250" s="255">
        <f t="shared" ref="H250:O250" si="37">H$7</f>
        <v>2020</v>
      </c>
      <c r="I250" s="255">
        <f t="shared" si="37"/>
        <v>2021</v>
      </c>
      <c r="J250" s="255">
        <f t="shared" si="37"/>
        <v>2022</v>
      </c>
      <c r="K250" s="351">
        <f t="shared" si="37"/>
        <v>2023</v>
      </c>
      <c r="L250" s="351">
        <f t="shared" si="37"/>
        <v>2024</v>
      </c>
      <c r="M250" s="351">
        <f t="shared" si="37"/>
        <v>2025</v>
      </c>
      <c r="N250" s="351">
        <f t="shared" si="37"/>
        <v>2026</v>
      </c>
      <c r="O250" s="351">
        <f t="shared" si="37"/>
        <v>2027</v>
      </c>
    </row>
    <row r="251" spans="1:15" ht="12" customHeight="1">
      <c r="F251"/>
    </row>
    <row r="252" spans="1:15">
      <c r="A252" s="540"/>
      <c r="B252" s="313" t="s">
        <v>106</v>
      </c>
      <c r="C252" s="314"/>
      <c r="D252" s="314"/>
      <c r="E252" s="314"/>
      <c r="F252" s="445" t="s">
        <v>61</v>
      </c>
      <c r="G252" s="314"/>
      <c r="H252" s="314"/>
      <c r="I252" s="446">
        <f t="shared" ref="I252:O252" si="38">DATE(I250,12,31)-DATE(H250,12,31)</f>
        <v>365</v>
      </c>
      <c r="J252" s="446">
        <f t="shared" si="38"/>
        <v>365</v>
      </c>
      <c r="K252" s="446">
        <f t="shared" si="38"/>
        <v>365</v>
      </c>
      <c r="L252" s="446">
        <f t="shared" si="38"/>
        <v>366</v>
      </c>
      <c r="M252" s="446">
        <f t="shared" si="38"/>
        <v>365</v>
      </c>
      <c r="N252" s="446">
        <f t="shared" si="38"/>
        <v>365</v>
      </c>
      <c r="O252" s="446">
        <f t="shared" si="38"/>
        <v>365</v>
      </c>
    </row>
    <row r="253" spans="1:15">
      <c r="F253" s="259"/>
    </row>
    <row r="254" spans="1:15">
      <c r="A254" s="540"/>
      <c r="B254" s="256" t="s">
        <v>142</v>
      </c>
      <c r="F254" s="259"/>
    </row>
    <row r="255" spans="1:15">
      <c r="C255" t="s">
        <v>3</v>
      </c>
      <c r="F255" s="259" t="s">
        <v>171</v>
      </c>
      <c r="I255" s="94">
        <f>I85</f>
        <v>236.60000000000002</v>
      </c>
      <c r="J255" s="94">
        <f t="shared" ref="J255:O255" si="39">J85</f>
        <v>204.79999999999998</v>
      </c>
      <c r="K255" s="94">
        <f t="shared" si="39"/>
        <v>252.46209677419353</v>
      </c>
      <c r="L255" s="94">
        <f t="shared" si="39"/>
        <v>233.58111483870971</v>
      </c>
      <c r="M255" s="94">
        <f t="shared" ca="1" si="39"/>
        <v>281.23110855638714</v>
      </c>
      <c r="N255" s="94">
        <f t="shared" ca="1" si="39"/>
        <v>281.22955436627001</v>
      </c>
      <c r="O255" s="94">
        <f t="shared" ca="1" si="39"/>
        <v>268.17287049000004</v>
      </c>
    </row>
    <row r="256" spans="1:15">
      <c r="C256" t="s">
        <v>4</v>
      </c>
      <c r="F256" s="259" t="s">
        <v>171</v>
      </c>
      <c r="I256" s="94">
        <f>I87</f>
        <v>164.6</v>
      </c>
      <c r="J256" s="94">
        <f t="shared" ref="J256:O256" si="40">J87</f>
        <v>167.9</v>
      </c>
      <c r="K256" s="94">
        <f t="shared" si="40"/>
        <v>174.68685483870968</v>
      </c>
      <c r="L256" s="94">
        <f t="shared" si="40"/>
        <v>182.49261561290325</v>
      </c>
      <c r="M256" s="94">
        <f t="shared" ca="1" si="40"/>
        <v>190.71666264216776</v>
      </c>
      <c r="N256" s="94">
        <f t="shared" ca="1" si="40"/>
        <v>200.36067077655082</v>
      </c>
      <c r="O256" s="94">
        <f t="shared" ca="1" si="40"/>
        <v>209.56780061099997</v>
      </c>
    </row>
    <row r="257" spans="1:16">
      <c r="F257" s="259"/>
    </row>
    <row r="258" spans="1:16">
      <c r="A258" s="540"/>
      <c r="B258" s="447" t="s">
        <v>27</v>
      </c>
      <c r="C258" s="119"/>
      <c r="E258" s="353"/>
      <c r="F258" s="259"/>
      <c r="I258" s="448"/>
      <c r="P258" s="21"/>
    </row>
    <row r="259" spans="1:16">
      <c r="A259" s="448"/>
      <c r="B259" s="449"/>
      <c r="C259" s="119" t="s">
        <v>14</v>
      </c>
      <c r="F259" s="259" t="s">
        <v>61</v>
      </c>
      <c r="G259" s="121"/>
      <c r="H259" s="122"/>
      <c r="I259" s="94">
        <f>I267/I$255*I$252</f>
        <v>42.886728655959423</v>
      </c>
      <c r="J259" s="94">
        <f>J267/J$255*J$252</f>
        <v>50.437011718750007</v>
      </c>
      <c r="K259" s="450">
        <f>Assumptions!J64</f>
        <v>48</v>
      </c>
      <c r="L259" s="450">
        <f>Assumptions!K64</f>
        <v>44</v>
      </c>
      <c r="M259" s="450">
        <f>Assumptions!L64</f>
        <v>40</v>
      </c>
      <c r="N259" s="450">
        <f>Assumptions!M64</f>
        <v>40</v>
      </c>
      <c r="O259" s="450">
        <f>Assumptions!N64</f>
        <v>40</v>
      </c>
    </row>
    <row r="260" spans="1:16">
      <c r="B260" s="449"/>
      <c r="C260" s="120" t="s">
        <v>28</v>
      </c>
      <c r="F260" s="259" t="s">
        <v>61</v>
      </c>
      <c r="G260" s="121"/>
      <c r="H260" s="122"/>
      <c r="I260" s="94">
        <f>I268/I$256*I$252</f>
        <v>80.051640340218725</v>
      </c>
      <c r="J260" s="94">
        <f>J268/J$256*J$252</f>
        <v>76.304347826086953</v>
      </c>
      <c r="K260" s="450">
        <f>Assumptions!J65</f>
        <v>70</v>
      </c>
      <c r="L260" s="450">
        <f>Assumptions!K65</f>
        <v>65</v>
      </c>
      <c r="M260" s="450">
        <f>Assumptions!L65</f>
        <v>60</v>
      </c>
      <c r="N260" s="450">
        <f>Assumptions!M65</f>
        <v>60</v>
      </c>
      <c r="O260" s="450">
        <f>Assumptions!N65</f>
        <v>55</v>
      </c>
    </row>
    <row r="261" spans="1:16">
      <c r="B261" s="449"/>
      <c r="C261" s="120" t="s">
        <v>164</v>
      </c>
      <c r="F261" s="259" t="s">
        <v>61</v>
      </c>
      <c r="G261" s="121"/>
      <c r="H261" s="122"/>
      <c r="I261" s="94">
        <f t="shared" ref="I261:J264" si="41">I269/I$256*I$252</f>
        <v>31.93195625759417</v>
      </c>
      <c r="J261" s="94">
        <f t="shared" si="41"/>
        <v>32.391304347826086</v>
      </c>
      <c r="K261" s="450">
        <f>Assumptions!J66</f>
        <v>30</v>
      </c>
      <c r="L261" s="450">
        <f>Assumptions!K66</f>
        <v>30</v>
      </c>
      <c r="M261" s="450">
        <f>Assumptions!L66</f>
        <v>30</v>
      </c>
      <c r="N261" s="450">
        <f>Assumptions!M66</f>
        <v>30</v>
      </c>
      <c r="O261" s="450">
        <f>Assumptions!N66</f>
        <v>30</v>
      </c>
    </row>
    <row r="262" spans="1:16">
      <c r="B262" s="449"/>
      <c r="C262" s="120" t="s">
        <v>165</v>
      </c>
      <c r="F262" s="259" t="s">
        <v>61</v>
      </c>
      <c r="G262" s="121"/>
      <c r="H262" s="122"/>
      <c r="I262" s="94">
        <f t="shared" si="41"/>
        <v>3.9914945321992712</v>
      </c>
      <c r="J262" s="94">
        <f t="shared" si="41"/>
        <v>2.6086956521739131</v>
      </c>
      <c r="K262" s="450">
        <f>Assumptions!J67</f>
        <v>3</v>
      </c>
      <c r="L262" s="450">
        <f>Assumptions!K67</f>
        <v>3</v>
      </c>
      <c r="M262" s="450">
        <f>Assumptions!L67</f>
        <v>3</v>
      </c>
      <c r="N262" s="450">
        <f>Assumptions!M67</f>
        <v>3</v>
      </c>
      <c r="O262" s="450">
        <f>Assumptions!N67</f>
        <v>3</v>
      </c>
    </row>
    <row r="263" spans="1:16">
      <c r="B263" s="449"/>
      <c r="C263" s="119" t="s">
        <v>20</v>
      </c>
      <c r="F263" s="259" t="s">
        <v>61</v>
      </c>
      <c r="G263" s="121"/>
      <c r="H263" s="122"/>
      <c r="I263" s="94">
        <f t="shared" si="41"/>
        <v>41.467193195625768</v>
      </c>
      <c r="J263" s="94">
        <f t="shared" si="41"/>
        <v>39.565217391304344</v>
      </c>
      <c r="K263" s="450">
        <f>Assumptions!J68</f>
        <v>40</v>
      </c>
      <c r="L263" s="450">
        <f>Assumptions!K68</f>
        <v>40</v>
      </c>
      <c r="M263" s="450">
        <f>Assumptions!L68</f>
        <v>40</v>
      </c>
      <c r="N263" s="450">
        <f>Assumptions!M68</f>
        <v>40</v>
      </c>
      <c r="O263" s="450">
        <f>Assumptions!N68</f>
        <v>40</v>
      </c>
    </row>
    <row r="264" spans="1:16">
      <c r="B264" s="449"/>
      <c r="C264" s="119" t="s">
        <v>166</v>
      </c>
      <c r="F264" s="259" t="s">
        <v>61</v>
      </c>
      <c r="H264" s="122"/>
      <c r="I264" s="94">
        <f t="shared" si="41"/>
        <v>10.865735115431351</v>
      </c>
      <c r="J264" s="94">
        <f t="shared" si="41"/>
        <v>10.434782608695652</v>
      </c>
      <c r="K264" s="450">
        <f>Assumptions!J69</f>
        <v>10</v>
      </c>
      <c r="L264" s="450">
        <f>Assumptions!K69</f>
        <v>10</v>
      </c>
      <c r="M264" s="450">
        <f>Assumptions!L69</f>
        <v>10</v>
      </c>
      <c r="N264" s="450">
        <f>Assumptions!M69</f>
        <v>10</v>
      </c>
      <c r="O264" s="450">
        <f>Assumptions!N69</f>
        <v>10</v>
      </c>
    </row>
    <row r="265" spans="1:16">
      <c r="B265" s="449"/>
      <c r="C265" s="119"/>
      <c r="D265" s="239"/>
      <c r="F265" s="259"/>
      <c r="H265" s="412"/>
      <c r="I265" s="412"/>
      <c r="J265" s="412"/>
      <c r="K265" s="412"/>
      <c r="L265" s="412"/>
      <c r="M265" s="412"/>
      <c r="N265" s="412"/>
      <c r="O265" s="412"/>
    </row>
    <row r="266" spans="1:16">
      <c r="A266" s="540"/>
      <c r="B266" s="447" t="s">
        <v>29</v>
      </c>
      <c r="C266" s="119"/>
      <c r="F266" s="259"/>
      <c r="H266" s="412"/>
      <c r="I266" s="451"/>
      <c r="J266" s="412"/>
      <c r="K266" s="412"/>
      <c r="L266" s="412"/>
      <c r="M266" s="412"/>
      <c r="N266" s="412"/>
      <c r="O266" s="412"/>
      <c r="P266" s="21"/>
    </row>
    <row r="267" spans="1:16">
      <c r="B267" s="449"/>
      <c r="C267" s="119" t="s">
        <v>14</v>
      </c>
      <c r="F267" s="259" t="s">
        <v>171</v>
      </c>
      <c r="I267" s="94">
        <f t="shared" ref="I267:J270" si="42">I157</f>
        <v>27.8</v>
      </c>
      <c r="J267" s="94">
        <f t="shared" si="42"/>
        <v>28.3</v>
      </c>
      <c r="K267" s="94">
        <f>K$255/K$252*K259</f>
        <v>33.200494918250108</v>
      </c>
      <c r="L267" s="94">
        <f>L$255/L$252*L259</f>
        <v>28.080789762030673</v>
      </c>
      <c r="M267" s="94">
        <f ca="1">M$255/M$252*M259</f>
        <v>30.819847513028726</v>
      </c>
      <c r="N267" s="94">
        <f ca="1">N$255/N$252*N259</f>
        <v>30.819677190824109</v>
      </c>
      <c r="O267" s="94">
        <f ca="1">O$255/O$252*O259</f>
        <v>29.38880772493151</v>
      </c>
    </row>
    <row r="268" spans="1:16">
      <c r="B268" s="449"/>
      <c r="C268" s="120" t="s">
        <v>28</v>
      </c>
      <c r="F268" s="259" t="s">
        <v>171</v>
      </c>
      <c r="I268" s="94">
        <f t="shared" si="42"/>
        <v>36.1</v>
      </c>
      <c r="J268" s="94">
        <f t="shared" si="42"/>
        <v>35.1</v>
      </c>
      <c r="K268" s="94">
        <f>K$256/K$252*K260</f>
        <v>33.501588599204595</v>
      </c>
      <c r="L268" s="94">
        <f>L$256/L$252*L260</f>
        <v>32.409890750925442</v>
      </c>
      <c r="M268" s="94">
        <f ca="1">M$256/M$252*M260</f>
        <v>31.350684269945383</v>
      </c>
      <c r="N268" s="94">
        <f ca="1">N$256/N$252*N260</f>
        <v>32.936000675597391</v>
      </c>
      <c r="O268" s="94">
        <f ca="1">O$256/O$252*O260</f>
        <v>31.578709681109586</v>
      </c>
    </row>
    <row r="269" spans="1:16">
      <c r="B269" s="449"/>
      <c r="C269" s="120" t="s">
        <v>164</v>
      </c>
      <c r="F269" s="259" t="s">
        <v>171</v>
      </c>
      <c r="I269" s="94">
        <f t="shared" si="42"/>
        <v>14.4</v>
      </c>
      <c r="J269" s="94">
        <f t="shared" si="42"/>
        <v>14.9</v>
      </c>
      <c r="K269" s="94">
        <f t="shared" ref="K269:O272" si="43">K$256/K$252*K261</f>
        <v>14.357823685373399</v>
      </c>
      <c r="L269" s="94">
        <f t="shared" si="43"/>
        <v>14.958411115811742</v>
      </c>
      <c r="M269" s="94">
        <f t="shared" ca="1" si="43"/>
        <v>15.675342134972691</v>
      </c>
      <c r="N269" s="94">
        <f t="shared" ca="1" si="43"/>
        <v>16.468000337798696</v>
      </c>
      <c r="O269" s="94">
        <f t="shared" ca="1" si="43"/>
        <v>17.224750735150682</v>
      </c>
    </row>
    <row r="270" spans="1:16">
      <c r="B270" s="449"/>
      <c r="C270" s="120" t="s">
        <v>165</v>
      </c>
      <c r="F270" s="259" t="s">
        <v>171</v>
      </c>
      <c r="I270" s="94">
        <f t="shared" si="42"/>
        <v>1.8</v>
      </c>
      <c r="J270" s="94">
        <f t="shared" si="42"/>
        <v>1.2</v>
      </c>
      <c r="K270" s="94">
        <f t="shared" si="43"/>
        <v>1.4357823685373399</v>
      </c>
      <c r="L270" s="94">
        <f t="shared" si="43"/>
        <v>1.4958411115811741</v>
      </c>
      <c r="M270" s="94">
        <f t="shared" ca="1" si="43"/>
        <v>1.5675342134972692</v>
      </c>
      <c r="N270" s="94">
        <f t="shared" ca="1" si="43"/>
        <v>1.6468000337798698</v>
      </c>
      <c r="O270" s="94">
        <f t="shared" ca="1" si="43"/>
        <v>1.7224750735150685</v>
      </c>
    </row>
    <row r="271" spans="1:16">
      <c r="B271" s="449"/>
      <c r="C271" s="119" t="s">
        <v>20</v>
      </c>
      <c r="F271" s="259" t="s">
        <v>171</v>
      </c>
      <c r="I271" s="93">
        <f>I172</f>
        <v>18.700000000000003</v>
      </c>
      <c r="J271" s="93">
        <f>J172</f>
        <v>18.2</v>
      </c>
      <c r="K271" s="94">
        <f t="shared" si="43"/>
        <v>19.143764913831198</v>
      </c>
      <c r="L271" s="94">
        <f t="shared" si="43"/>
        <v>19.944548154415656</v>
      </c>
      <c r="M271" s="94">
        <f t="shared" ca="1" si="43"/>
        <v>20.900456179963591</v>
      </c>
      <c r="N271" s="94">
        <f t="shared" ca="1" si="43"/>
        <v>21.957333783731595</v>
      </c>
      <c r="O271" s="94">
        <f t="shared" ca="1" si="43"/>
        <v>22.966334313534244</v>
      </c>
    </row>
    <row r="272" spans="1:16">
      <c r="B272" s="449"/>
      <c r="C272" s="119" t="s">
        <v>166</v>
      </c>
      <c r="F272" s="259" t="s">
        <v>171</v>
      </c>
      <c r="I272" s="240">
        <f>I173</f>
        <v>4.9000000000000004</v>
      </c>
      <c r="J272" s="240">
        <f>J173</f>
        <v>4.8</v>
      </c>
      <c r="K272" s="240">
        <f t="shared" si="43"/>
        <v>4.7859412284577996</v>
      </c>
      <c r="L272" s="240">
        <f t="shared" si="43"/>
        <v>4.9861370386039141</v>
      </c>
      <c r="M272" s="240">
        <f t="shared" ca="1" si="43"/>
        <v>5.2251140449908977</v>
      </c>
      <c r="N272" s="240">
        <f t="shared" ca="1" si="43"/>
        <v>5.4893334459328988</v>
      </c>
      <c r="O272" s="240">
        <f t="shared" ca="1" si="43"/>
        <v>5.7415835783835609</v>
      </c>
    </row>
    <row r="273" spans="1:15">
      <c r="B273" s="449"/>
      <c r="C273" s="123" t="s">
        <v>30</v>
      </c>
      <c r="D273" s="256"/>
      <c r="E273" s="256"/>
      <c r="F273" s="274" t="s">
        <v>171</v>
      </c>
      <c r="G273" s="21"/>
      <c r="I273" s="452">
        <f t="shared" ref="I273:O273" si="44">SUM(I267:I270)-SUM(I271:I272)</f>
        <v>56.500000000000007</v>
      </c>
      <c r="J273" s="452">
        <f t="shared" si="44"/>
        <v>56.500000000000014</v>
      </c>
      <c r="K273" s="452">
        <f t="shared" si="44"/>
        <v>58.565983429076446</v>
      </c>
      <c r="L273" s="452">
        <f t="shared" si="44"/>
        <v>52.014247547329461</v>
      </c>
      <c r="M273" s="452">
        <f t="shared" ca="1" si="44"/>
        <v>53.287837906489585</v>
      </c>
      <c r="N273" s="452">
        <f t="shared" ca="1" si="44"/>
        <v>54.423811008335562</v>
      </c>
      <c r="O273" s="452">
        <f t="shared" ca="1" si="44"/>
        <v>51.206825322789044</v>
      </c>
    </row>
    <row r="274" spans="1:15">
      <c r="B274" s="449"/>
      <c r="C274" s="119"/>
      <c r="F274" s="259"/>
      <c r="H274" s="412"/>
      <c r="I274" s="412"/>
      <c r="J274" s="412"/>
      <c r="K274" s="412"/>
      <c r="L274" s="412"/>
      <c r="M274" s="412"/>
      <c r="N274" s="412"/>
      <c r="O274" s="412"/>
    </row>
    <row r="275" spans="1:15" ht="12.6" thickBot="1">
      <c r="A275" s="540"/>
      <c r="B275" s="123" t="s">
        <v>113</v>
      </c>
      <c r="C275" s="449"/>
      <c r="F275" s="274" t="s">
        <v>171</v>
      </c>
      <c r="H275" s="412"/>
      <c r="I275" s="412"/>
      <c r="J275" s="303">
        <f>J273-I273</f>
        <v>0</v>
      </c>
      <c r="K275" s="303">
        <f>J273-K273</f>
        <v>-2.0659834290764323</v>
      </c>
      <c r="L275" s="303">
        <f>K273-L273</f>
        <v>6.5517358817469855</v>
      </c>
      <c r="M275" s="303">
        <f ca="1">L273-M273</f>
        <v>-1.2735903591601243</v>
      </c>
      <c r="N275" s="303">
        <f ca="1">M273-N273</f>
        <v>-1.1359731018459769</v>
      </c>
      <c r="O275" s="303">
        <f ca="1">N273-O273</f>
        <v>3.2169856855465184</v>
      </c>
    </row>
    <row r="276" spans="1:15" ht="12.6" thickTop="1">
      <c r="B276" s="8"/>
      <c r="C276" s="266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8" spans="1:15" ht="12.75" customHeight="1">
      <c r="A278" s="535"/>
      <c r="B278" s="1"/>
      <c r="C278" s="3"/>
      <c r="D278" s="3"/>
      <c r="E278" s="3"/>
      <c r="F278" s="79"/>
      <c r="G278" s="3"/>
      <c r="H278" s="3"/>
      <c r="I278" s="3"/>
      <c r="J278" s="3"/>
      <c r="K278" s="3"/>
      <c r="L278" s="3"/>
      <c r="M278" s="3"/>
      <c r="N278" s="3"/>
      <c r="O278" s="278" t="str">
        <f>$O$1</f>
        <v>CURRENTLY RUNNING: BASE CASE SCENARIO</v>
      </c>
    </row>
    <row r="279" spans="1:15" ht="22.5">
      <c r="B279" s="1" t="str">
        <f>B$2</f>
        <v>Dummy Co.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7.7">
      <c r="B280" s="247" t="s">
        <v>63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3" customHeight="1" thickBot="1">
      <c r="A281" s="536"/>
      <c r="B281" s="250"/>
      <c r="C281" s="251"/>
      <c r="D281" s="251"/>
      <c r="E281" s="251"/>
      <c r="F281" s="252"/>
      <c r="G281" s="251"/>
      <c r="H281" s="251"/>
      <c r="I281" s="251"/>
      <c r="J281" s="251"/>
      <c r="K281" s="251"/>
      <c r="L281" s="251"/>
      <c r="M281" s="251"/>
      <c r="N281" s="251"/>
      <c r="O281" s="251"/>
    </row>
    <row r="282" spans="1:15" ht="12.6">
      <c r="B282" s="311" t="s">
        <v>172</v>
      </c>
      <c r="F282"/>
      <c r="O282" s="14"/>
    </row>
    <row r="283" spans="1:15">
      <c r="F283"/>
      <c r="H283" s="3"/>
      <c r="I283" s="3"/>
      <c r="J283" s="3"/>
      <c r="K283" s="254" t="s">
        <v>2</v>
      </c>
      <c r="L283" s="15"/>
      <c r="M283" s="15"/>
      <c r="N283" s="15"/>
      <c r="O283" s="15"/>
    </row>
    <row r="284" spans="1:15">
      <c r="F284"/>
      <c r="G284" s="350"/>
      <c r="H284" s="453"/>
      <c r="I284" s="453"/>
      <c r="J284" s="255">
        <f t="shared" ref="J284:O284" si="45">J$7</f>
        <v>2022</v>
      </c>
      <c r="K284" s="351">
        <f t="shared" si="45"/>
        <v>2023</v>
      </c>
      <c r="L284" s="351">
        <f t="shared" si="45"/>
        <v>2024</v>
      </c>
      <c r="M284" s="351">
        <f t="shared" si="45"/>
        <v>2025</v>
      </c>
      <c r="N284" s="351">
        <f t="shared" si="45"/>
        <v>2026</v>
      </c>
      <c r="O284" s="351">
        <f t="shared" si="45"/>
        <v>2027</v>
      </c>
    </row>
    <row r="285" spans="1:15" ht="6" customHeight="1"/>
    <row r="286" spans="1:15">
      <c r="B286" s="256" t="s">
        <v>128</v>
      </c>
      <c r="K286" s="454"/>
      <c r="L286" s="454"/>
      <c r="M286" s="454"/>
      <c r="N286" s="454"/>
      <c r="O286" s="454"/>
    </row>
    <row r="287" spans="1:15" ht="6" customHeight="1"/>
    <row r="288" spans="1:15">
      <c r="C288" s="256" t="s">
        <v>13</v>
      </c>
    </row>
    <row r="289" spans="2:18">
      <c r="D289" t="s">
        <v>65</v>
      </c>
      <c r="K289" s="102">
        <f>J291</f>
        <v>0.3</v>
      </c>
      <c r="L289" s="102">
        <f>K291</f>
        <v>-7.2164496600635175E-16</v>
      </c>
      <c r="M289" s="102">
        <f>L291</f>
        <v>-7.2164496600635175E-16</v>
      </c>
      <c r="N289" s="102">
        <f ca="1">M291</f>
        <v>-7.2164496600635175E-16</v>
      </c>
      <c r="O289" s="102">
        <f ca="1">N291</f>
        <v>1.4182194874083927</v>
      </c>
      <c r="R289" s="21"/>
    </row>
    <row r="290" spans="2:18">
      <c r="D290" t="s">
        <v>71</v>
      </c>
      <c r="J290" s="8"/>
      <c r="K290" s="455">
        <f>K142</f>
        <v>-0.30000000000000071</v>
      </c>
      <c r="L290" s="455">
        <f>L142</f>
        <v>0</v>
      </c>
      <c r="M290" s="455">
        <f ca="1">M142</f>
        <v>0</v>
      </c>
      <c r="N290" s="455">
        <f ca="1">N142</f>
        <v>1.4182194874083933</v>
      </c>
      <c r="O290" s="455">
        <f ca="1">O142</f>
        <v>-1.4182194874083933</v>
      </c>
      <c r="R290" s="21"/>
    </row>
    <row r="291" spans="2:18">
      <c r="D291" t="s">
        <v>67</v>
      </c>
      <c r="I291" s="456"/>
      <c r="J291" s="118">
        <f>J156</f>
        <v>0.3</v>
      </c>
      <c r="K291" s="118">
        <f>SUM(K289:K290)</f>
        <v>-7.2164496600635175E-16</v>
      </c>
      <c r="L291" s="118">
        <f>SUM(L289:L290)</f>
        <v>-7.2164496600635175E-16</v>
      </c>
      <c r="M291" s="118">
        <f ca="1">SUM(M289:M290)</f>
        <v>-7.2164496600635175E-16</v>
      </c>
      <c r="N291" s="118">
        <f ca="1">SUM(N289:N290)</f>
        <v>1.4182194874083927</v>
      </c>
      <c r="O291" s="118">
        <f ca="1">SUM(O289:O290)</f>
        <v>0</v>
      </c>
      <c r="R291" s="21"/>
    </row>
    <row r="292" spans="2:18" ht="6" customHeight="1"/>
    <row r="293" spans="2:18">
      <c r="D293" t="s">
        <v>68</v>
      </c>
      <c r="K293" s="457">
        <f>Assumptions!N27</f>
        <v>0.01</v>
      </c>
      <c r="L293" s="458">
        <f>K293</f>
        <v>0.01</v>
      </c>
      <c r="M293" s="458">
        <f>L293</f>
        <v>0.01</v>
      </c>
      <c r="N293" s="458">
        <f>M293</f>
        <v>0.01</v>
      </c>
      <c r="O293" s="458">
        <f>N293</f>
        <v>0.01</v>
      </c>
      <c r="R293" s="21"/>
    </row>
    <row r="294" spans="2:18">
      <c r="D294" s="256" t="s">
        <v>70</v>
      </c>
      <c r="K294" s="459">
        <f>K289*K293</f>
        <v>3.0000000000000001E-3</v>
      </c>
      <c r="L294" s="459">
        <f>L289*L293</f>
        <v>-7.2164496600635178E-18</v>
      </c>
      <c r="M294" s="459">
        <f>M289*M293</f>
        <v>-7.2164496600635178E-18</v>
      </c>
      <c r="N294" s="459">
        <f ca="1">N289*N293</f>
        <v>-7.2164496600635178E-18</v>
      </c>
      <c r="O294" s="459">
        <f ca="1">O289*O293</f>
        <v>1.4182194874083927E-2</v>
      </c>
      <c r="R294" s="21"/>
    </row>
    <row r="295" spans="2:18" ht="6" customHeight="1"/>
    <row r="297" spans="2:18">
      <c r="C297" s="256" t="s">
        <v>130</v>
      </c>
    </row>
    <row r="298" spans="2:18">
      <c r="B298" s="256"/>
      <c r="D298" t="s">
        <v>11</v>
      </c>
      <c r="H298" s="460"/>
      <c r="I298" s="460"/>
      <c r="J298" s="460"/>
      <c r="K298" s="106">
        <f>K125</f>
        <v>45.566007162321398</v>
      </c>
      <c r="L298" s="106">
        <f>L125</f>
        <v>37.910250864572149</v>
      </c>
      <c r="M298" s="106">
        <f ca="1">M125</f>
        <v>56.575165071319049</v>
      </c>
      <c r="N298" s="106">
        <f ca="1">N125</f>
        <v>51.809304013131779</v>
      </c>
      <c r="O298" s="106">
        <f ca="1">O125</f>
        <v>42.862366449814715</v>
      </c>
    </row>
    <row r="299" spans="2:18">
      <c r="B299" s="256"/>
      <c r="D299" t="s">
        <v>103</v>
      </c>
      <c r="H299" s="460"/>
      <c r="I299" s="460"/>
      <c r="J299" s="460"/>
      <c r="K299" s="106">
        <f>K131</f>
        <v>-16</v>
      </c>
      <c r="L299" s="106">
        <f>L131</f>
        <v>-17</v>
      </c>
      <c r="M299" s="106">
        <f>M131</f>
        <v>-17.3</v>
      </c>
      <c r="N299" s="106">
        <f>N131</f>
        <v>-17.5</v>
      </c>
      <c r="O299" s="106">
        <f>O131</f>
        <v>-18</v>
      </c>
    </row>
    <row r="300" spans="2:18">
      <c r="B300" s="256"/>
      <c r="D300" t="s">
        <v>136</v>
      </c>
      <c r="H300" s="460"/>
      <c r="I300" s="460"/>
      <c r="J300" s="460"/>
      <c r="K300" s="106">
        <f>K317</f>
        <v>-25</v>
      </c>
      <c r="L300" s="106">
        <f>L317</f>
        <v>-25</v>
      </c>
      <c r="M300" s="106">
        <f>M317</f>
        <v>-25</v>
      </c>
      <c r="N300" s="106">
        <f>N317</f>
        <v>-25</v>
      </c>
      <c r="O300" s="106">
        <f>O317</f>
        <v>-25</v>
      </c>
    </row>
    <row r="301" spans="2:18">
      <c r="B301" s="256"/>
      <c r="D301" t="s">
        <v>121</v>
      </c>
      <c r="H301" s="460"/>
      <c r="I301" s="460"/>
      <c r="J301" s="460"/>
      <c r="K301" s="106">
        <f>K337</f>
        <v>0</v>
      </c>
      <c r="L301" s="106">
        <f>L337</f>
        <v>0</v>
      </c>
      <c r="M301" s="106">
        <f>M337</f>
        <v>0</v>
      </c>
      <c r="N301" s="106">
        <f>N337</f>
        <v>0</v>
      </c>
      <c r="O301" s="106">
        <f>O337</f>
        <v>0</v>
      </c>
    </row>
    <row r="302" spans="2:18">
      <c r="B302" s="256"/>
      <c r="D302" t="s">
        <v>127</v>
      </c>
      <c r="H302" s="460"/>
      <c r="I302" s="460"/>
      <c r="J302" s="460"/>
      <c r="K302" s="297">
        <f>-K342</f>
        <v>-5.9414647849462332</v>
      </c>
      <c r="L302" s="297">
        <f>-L342</f>
        <v>-2.5767696632316985</v>
      </c>
      <c r="M302" s="297">
        <f ca="1">-M342</f>
        <v>-7.7604844194291687</v>
      </c>
      <c r="N302" s="297">
        <f ca="1">-N342</f>
        <v>-6.6637887563288842</v>
      </c>
      <c r="O302" s="297">
        <f ca="1">-O342</f>
        <v>-3.8854761528536401</v>
      </c>
    </row>
    <row r="303" spans="2:18">
      <c r="D303" s="256" t="s">
        <v>135</v>
      </c>
      <c r="K303" s="331">
        <f>SUM(K298:K302)</f>
        <v>-1.3754576226248352</v>
      </c>
      <c r="L303" s="331">
        <f>SUM(L298:L302)</f>
        <v>-6.66651879865955</v>
      </c>
      <c r="M303" s="331">
        <f ca="1">SUM(M298:M302)</f>
        <v>6.5146806518898828</v>
      </c>
      <c r="N303" s="331">
        <f ca="1">SUM(N298:N302)</f>
        <v>2.645515256802895</v>
      </c>
      <c r="O303" s="331">
        <f ca="1">SUM(O298:O302)</f>
        <v>-4.0231097030389247</v>
      </c>
    </row>
    <row r="304" spans="2:18">
      <c r="C304" s="256"/>
    </row>
    <row r="305" spans="3:17">
      <c r="D305" t="s">
        <v>137</v>
      </c>
      <c r="K305" s="102">
        <f>J307</f>
        <v>0</v>
      </c>
      <c r="L305" s="102">
        <f>K307</f>
        <v>1.0754576226248351</v>
      </c>
      <c r="M305" s="102">
        <f>L307</f>
        <v>7.7419764212843862</v>
      </c>
      <c r="N305" s="102">
        <f ca="1">M307</f>
        <v>1.2272957693945044</v>
      </c>
      <c r="O305" s="102">
        <f ca="1">N307</f>
        <v>0</v>
      </c>
    </row>
    <row r="306" spans="3:17">
      <c r="D306" t="s">
        <v>66</v>
      </c>
      <c r="J306" s="8"/>
      <c r="K306" s="455">
        <f>-MIN((K303+K289),K305)</f>
        <v>1.0754576226248351</v>
      </c>
      <c r="L306" s="455">
        <f>-MIN((L303+L289),L305)</f>
        <v>6.6665187986595509</v>
      </c>
      <c r="M306" s="455">
        <f ca="1">-MIN((M303+M289),M305)</f>
        <v>-6.5146806518898819</v>
      </c>
      <c r="N306" s="455">
        <f ca="1">-MIN((N303+N289),N305)</f>
        <v>-1.2272957693945044</v>
      </c>
      <c r="O306" s="455">
        <f ca="1">-MIN((O303+O289),O305)</f>
        <v>2.6048902156305322</v>
      </c>
    </row>
    <row r="307" spans="3:17">
      <c r="D307" t="s">
        <v>138</v>
      </c>
      <c r="I307" s="456"/>
      <c r="J307" s="118">
        <f>J171</f>
        <v>0</v>
      </c>
      <c r="K307" s="118">
        <f>SUM(K305:K306)</f>
        <v>1.0754576226248351</v>
      </c>
      <c r="L307" s="118">
        <f>SUM(L305:L306)</f>
        <v>7.7419764212843862</v>
      </c>
      <c r="M307" s="118">
        <f ca="1">SUM(M305:M306)</f>
        <v>1.2272957693945044</v>
      </c>
      <c r="N307" s="118">
        <f ca="1">SUM(N305:N306)</f>
        <v>0</v>
      </c>
      <c r="O307" s="118">
        <f ca="1">SUM(O305:O306)</f>
        <v>2.6048902156305322</v>
      </c>
      <c r="Q307" s="241"/>
    </row>
    <row r="308" spans="3:17" ht="6" customHeight="1"/>
    <row r="309" spans="3:17">
      <c r="D309" t="s">
        <v>68</v>
      </c>
      <c r="K309" s="461">
        <f>Assumptions!N28</f>
        <v>0.06</v>
      </c>
      <c r="L309" s="275">
        <f>K309</f>
        <v>0.06</v>
      </c>
      <c r="M309" s="275">
        <f>L309</f>
        <v>0.06</v>
      </c>
      <c r="N309" s="275">
        <f>M309</f>
        <v>0.06</v>
      </c>
      <c r="O309" s="275">
        <f>N309</f>
        <v>0.06</v>
      </c>
    </row>
    <row r="310" spans="3:17">
      <c r="D310" s="256" t="s">
        <v>69</v>
      </c>
      <c r="K310" s="459">
        <f>K309*K305</f>
        <v>0</v>
      </c>
      <c r="L310" s="459">
        <f>L309*L305</f>
        <v>6.4527457357490103E-2</v>
      </c>
      <c r="M310" s="459">
        <f>M309*M305</f>
        <v>0.46451858527706313</v>
      </c>
      <c r="N310" s="459">
        <f ca="1">N309*N305</f>
        <v>7.3637746163670262E-2</v>
      </c>
      <c r="O310" s="459">
        <f ca="1">O309*O305</f>
        <v>0</v>
      </c>
    </row>
    <row r="311" spans="3:17" ht="6" customHeight="1"/>
    <row r="313" spans="3:17">
      <c r="C313" s="256" t="s">
        <v>131</v>
      </c>
    </row>
    <row r="314" spans="3:17">
      <c r="C314" s="256"/>
    </row>
    <row r="315" spans="3:17">
      <c r="D315" t="s">
        <v>200</v>
      </c>
      <c r="F315"/>
      <c r="K315" s="462"/>
      <c r="L315" s="462"/>
      <c r="M315" s="462"/>
      <c r="N315" s="462"/>
      <c r="O315" s="462"/>
    </row>
    <row r="316" spans="3:17">
      <c r="D316" t="s">
        <v>65</v>
      </c>
      <c r="K316" s="102">
        <f>J318</f>
        <v>200</v>
      </c>
      <c r="L316" s="102">
        <f>K318</f>
        <v>175</v>
      </c>
      <c r="M316" s="102">
        <f>L318</f>
        <v>150</v>
      </c>
      <c r="N316" s="102">
        <f>M318</f>
        <v>125</v>
      </c>
      <c r="O316" s="102">
        <f>N318</f>
        <v>100</v>
      </c>
    </row>
    <row r="317" spans="3:17">
      <c r="D317" t="s">
        <v>66</v>
      </c>
      <c r="J317" s="8"/>
      <c r="K317" s="463">
        <f>Assumptions!J73</f>
        <v>-25</v>
      </c>
      <c r="L317" s="463">
        <f>Assumptions!K73</f>
        <v>-25</v>
      </c>
      <c r="M317" s="463">
        <f>Assumptions!L73</f>
        <v>-25</v>
      </c>
      <c r="N317" s="463">
        <f>Assumptions!M73</f>
        <v>-25</v>
      </c>
      <c r="O317" s="463">
        <f>Assumptions!N73</f>
        <v>-25</v>
      </c>
    </row>
    <row r="318" spans="3:17">
      <c r="D318" t="s">
        <v>67</v>
      </c>
      <c r="I318" s="456"/>
      <c r="J318" s="118">
        <f>J177</f>
        <v>200</v>
      </c>
      <c r="K318" s="118">
        <f>SUM(K316:K317)</f>
        <v>175</v>
      </c>
      <c r="L318" s="118">
        <f>SUM(L316:L317)</f>
        <v>150</v>
      </c>
      <c r="M318" s="118">
        <f>SUM(M316:M317)</f>
        <v>125</v>
      </c>
      <c r="N318" s="118">
        <f>SUM(N316:N317)</f>
        <v>100</v>
      </c>
      <c r="O318" s="118">
        <f>SUM(O316:O317)</f>
        <v>75</v>
      </c>
    </row>
    <row r="319" spans="3:17" ht="6" customHeight="1"/>
    <row r="320" spans="3:17">
      <c r="D320" t="s">
        <v>68</v>
      </c>
      <c r="K320" s="461">
        <f>Assumptions!N28</f>
        <v>0.06</v>
      </c>
      <c r="L320" s="275">
        <f>K320</f>
        <v>0.06</v>
      </c>
      <c r="M320" s="275">
        <f>L320</f>
        <v>0.06</v>
      </c>
      <c r="N320" s="275">
        <f>M320</f>
        <v>0.06</v>
      </c>
      <c r="O320" s="275">
        <f>N320</f>
        <v>0.06</v>
      </c>
    </row>
    <row r="321" spans="1:15">
      <c r="D321" s="256" t="s">
        <v>69</v>
      </c>
      <c r="K321" s="459">
        <f>K316*K320</f>
        <v>12</v>
      </c>
      <c r="L321" s="459">
        <f>L316*L320</f>
        <v>10.5</v>
      </c>
      <c r="M321" s="459">
        <f>M316*M320</f>
        <v>9</v>
      </c>
      <c r="N321" s="459">
        <f>N316*N320</f>
        <v>7.5</v>
      </c>
      <c r="O321" s="459">
        <f>O316*O320</f>
        <v>6</v>
      </c>
    </row>
    <row r="324" spans="1:15" ht="12.6" thickBot="1">
      <c r="C324" s="256" t="s">
        <v>74</v>
      </c>
      <c r="K324" s="329">
        <f>K321+K310-K294</f>
        <v>11.997</v>
      </c>
      <c r="L324" s="329">
        <f>L321+L310-L294</f>
        <v>10.564527457357491</v>
      </c>
      <c r="M324" s="329">
        <f>M321+M310-M294</f>
        <v>9.4645185852770624</v>
      </c>
      <c r="N324" s="329">
        <f ca="1">N321+N310-N294</f>
        <v>7.5736377461636701</v>
      </c>
      <c r="O324" s="329">
        <f ca="1">O321+O310-O294</f>
        <v>5.9858178051259161</v>
      </c>
    </row>
    <row r="325" spans="1:15" ht="12.6" thickTop="1">
      <c r="B325" s="8"/>
      <c r="C325" s="8"/>
      <c r="D325" s="8"/>
      <c r="E325" s="8"/>
      <c r="F325" s="277"/>
      <c r="G325" s="8"/>
      <c r="H325" s="8"/>
      <c r="I325" s="8"/>
      <c r="J325" s="8"/>
      <c r="K325" s="8"/>
      <c r="L325" s="8"/>
      <c r="M325" s="8"/>
      <c r="N325" s="8"/>
      <c r="O325" s="8"/>
    </row>
    <row r="327" spans="1:15" ht="12.75" customHeight="1">
      <c r="A327" s="535"/>
      <c r="B327" s="1"/>
      <c r="C327" s="3"/>
      <c r="D327" s="3"/>
      <c r="E327" s="3"/>
      <c r="F327" s="79"/>
      <c r="G327" s="3"/>
      <c r="H327" s="3"/>
      <c r="I327" s="3"/>
      <c r="J327" s="3"/>
      <c r="K327" s="3"/>
      <c r="L327" s="3"/>
      <c r="M327" s="3"/>
      <c r="N327" s="3"/>
      <c r="O327" s="278" t="str">
        <f>$O$1</f>
        <v>CURRENTLY RUNNING: BASE CASE SCENARIO</v>
      </c>
    </row>
    <row r="328" spans="1:15" ht="22.5">
      <c r="B328" s="1" t="str">
        <f>B$2</f>
        <v>Dummy Co.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7.7">
      <c r="B329" s="247" t="s">
        <v>114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3" customHeight="1" thickBot="1">
      <c r="A330" s="536"/>
      <c r="B330" s="250"/>
      <c r="C330" s="251"/>
      <c r="D330" s="251"/>
      <c r="E330" s="251"/>
      <c r="F330" s="252"/>
      <c r="G330" s="251"/>
      <c r="H330" s="251"/>
      <c r="I330" s="251"/>
      <c r="J330" s="251"/>
      <c r="K330" s="251"/>
      <c r="L330" s="251"/>
      <c r="M330" s="251"/>
      <c r="N330" s="251"/>
      <c r="O330" s="251"/>
    </row>
    <row r="331" spans="1:15" ht="12.6">
      <c r="B331" s="311" t="s">
        <v>172</v>
      </c>
      <c r="F331"/>
      <c r="O331" s="14"/>
    </row>
    <row r="332" spans="1:15">
      <c r="F332"/>
      <c r="H332" s="3"/>
      <c r="I332" s="3"/>
      <c r="J332" s="3"/>
      <c r="K332" s="254" t="s">
        <v>2</v>
      </c>
      <c r="L332" s="15"/>
      <c r="M332" s="15"/>
      <c r="N332" s="15"/>
      <c r="O332" s="15"/>
    </row>
    <row r="333" spans="1:15">
      <c r="F333"/>
      <c r="G333" s="350"/>
      <c r="H333" s="453"/>
      <c r="I333" s="453"/>
      <c r="J333" s="255">
        <f t="shared" ref="J333:O333" si="46">J$7</f>
        <v>2022</v>
      </c>
      <c r="K333" s="351">
        <f t="shared" si="46"/>
        <v>2023</v>
      </c>
      <c r="L333" s="351">
        <f t="shared" si="46"/>
        <v>2024</v>
      </c>
      <c r="M333" s="351">
        <f t="shared" si="46"/>
        <v>2025</v>
      </c>
      <c r="N333" s="351">
        <f t="shared" si="46"/>
        <v>2026</v>
      </c>
      <c r="O333" s="351">
        <f t="shared" si="46"/>
        <v>2027</v>
      </c>
    </row>
    <row r="335" spans="1:15" ht="13.45" customHeight="1">
      <c r="B335" s="256"/>
      <c r="C335" s="256" t="s">
        <v>115</v>
      </c>
    </row>
    <row r="336" spans="1:15" ht="13.45" customHeight="1">
      <c r="D336" t="s">
        <v>65</v>
      </c>
      <c r="G336" s="259"/>
      <c r="K336" s="102">
        <f>J338</f>
        <v>120</v>
      </c>
      <c r="L336" s="102">
        <f>K338</f>
        <v>120</v>
      </c>
      <c r="M336" s="102">
        <f>L338</f>
        <v>120</v>
      </c>
      <c r="N336" s="102">
        <f>M338</f>
        <v>120</v>
      </c>
      <c r="O336" s="102">
        <f>N338</f>
        <v>120</v>
      </c>
    </row>
    <row r="337" spans="2:15" ht="13.45" customHeight="1">
      <c r="D337" t="s">
        <v>124</v>
      </c>
      <c r="J337" s="8"/>
      <c r="K337" s="464">
        <f>Assumptions!J74</f>
        <v>0</v>
      </c>
      <c r="L337" s="464">
        <f>Assumptions!K74</f>
        <v>0</v>
      </c>
      <c r="M337" s="464">
        <f>Assumptions!L74</f>
        <v>0</v>
      </c>
      <c r="N337" s="464">
        <f>Assumptions!M74</f>
        <v>0</v>
      </c>
      <c r="O337" s="464">
        <f>Assumptions!N74</f>
        <v>0</v>
      </c>
    </row>
    <row r="338" spans="2:15" ht="13.45" customHeight="1">
      <c r="D338" t="s">
        <v>67</v>
      </c>
      <c r="J338" s="118">
        <f>J182</f>
        <v>120</v>
      </c>
      <c r="K338" s="118">
        <f>SUM(K336:K337)</f>
        <v>120</v>
      </c>
      <c r="L338" s="118">
        <f>SUM(L336:L337)</f>
        <v>120</v>
      </c>
      <c r="M338" s="118">
        <f>SUM(M336:M337)</f>
        <v>120</v>
      </c>
      <c r="N338" s="118">
        <f>SUM(N336:N337)</f>
        <v>120</v>
      </c>
      <c r="O338" s="118">
        <f>SUM(O336:O337)</f>
        <v>120</v>
      </c>
    </row>
    <row r="339" spans="2:15" ht="6" customHeight="1"/>
    <row r="340" spans="2:15" ht="13.45" customHeight="1">
      <c r="D340" t="s">
        <v>116</v>
      </c>
      <c r="K340" s="461">
        <f>Assumptions!N10</f>
        <v>0.2</v>
      </c>
      <c r="L340" s="275">
        <f>K340</f>
        <v>0.2</v>
      </c>
      <c r="M340" s="275">
        <f>L340</f>
        <v>0.2</v>
      </c>
      <c r="N340" s="275">
        <f>M340</f>
        <v>0.2</v>
      </c>
      <c r="O340" s="275">
        <f>N340</f>
        <v>0.2</v>
      </c>
    </row>
    <row r="341" spans="2:15" ht="13.45" customHeight="1">
      <c r="D341" t="s">
        <v>8</v>
      </c>
      <c r="K341" s="102">
        <f>K104</f>
        <v>29.707323924731163</v>
      </c>
      <c r="L341" s="102">
        <f>L104</f>
        <v>12.883848316158492</v>
      </c>
      <c r="M341" s="102">
        <f ca="1">M104</f>
        <v>38.802422097145843</v>
      </c>
      <c r="N341" s="102">
        <f ca="1">N104</f>
        <v>33.318943781644421</v>
      </c>
      <c r="O341" s="102">
        <f ca="1">O104</f>
        <v>19.4273807642682</v>
      </c>
    </row>
    <row r="342" spans="2:15" ht="13.45" customHeight="1">
      <c r="C342" s="256"/>
      <c r="D342" s="256" t="s">
        <v>117</v>
      </c>
      <c r="G342" s="21"/>
      <c r="K342" s="459">
        <f>MAX(K340*K341,0)</f>
        <v>5.9414647849462332</v>
      </c>
      <c r="L342" s="459">
        <f>L340*L341</f>
        <v>2.5767696632316985</v>
      </c>
      <c r="M342" s="459">
        <f ca="1">M340*M341</f>
        <v>7.7604844194291687</v>
      </c>
      <c r="N342" s="459">
        <f ca="1">N340*N341</f>
        <v>6.6637887563288842</v>
      </c>
      <c r="O342" s="459">
        <f ca="1">O340*O341</f>
        <v>3.8854761528536401</v>
      </c>
    </row>
    <row r="345" spans="2:15" ht="13.45" customHeight="1">
      <c r="B345" s="256"/>
      <c r="C345" s="256" t="s">
        <v>118</v>
      </c>
    </row>
    <row r="346" spans="2:15" ht="13.45" customHeight="1">
      <c r="D346" t="s">
        <v>65</v>
      </c>
      <c r="K346" s="102">
        <f>J349</f>
        <v>138.50000000000003</v>
      </c>
      <c r="L346" s="102">
        <f>K349</f>
        <v>162.26585913978496</v>
      </c>
      <c r="M346" s="102">
        <f>L349</f>
        <v>172.57293779271177</v>
      </c>
      <c r="N346" s="102">
        <f ca="1">M349</f>
        <v>203.61487547042844</v>
      </c>
      <c r="O346" s="102">
        <f ca="1">N349</f>
        <v>230.27003049574398</v>
      </c>
    </row>
    <row r="347" spans="2:15" ht="13.45" customHeight="1">
      <c r="D347" t="s">
        <v>8</v>
      </c>
      <c r="K347" s="102">
        <f>K104</f>
        <v>29.707323924731163</v>
      </c>
      <c r="L347" s="102">
        <f>L104</f>
        <v>12.883848316158492</v>
      </c>
      <c r="M347" s="102">
        <f ca="1">M104</f>
        <v>38.802422097145843</v>
      </c>
      <c r="N347" s="102">
        <f ca="1">N104</f>
        <v>33.318943781644421</v>
      </c>
      <c r="O347" s="102">
        <f ca="1">O104</f>
        <v>19.4273807642682</v>
      </c>
    </row>
    <row r="348" spans="2:15" ht="13.45" customHeight="1">
      <c r="D348" t="s">
        <v>117</v>
      </c>
      <c r="J348" s="8"/>
      <c r="K348" s="455">
        <f>-K342</f>
        <v>-5.9414647849462332</v>
      </c>
      <c r="L348" s="455">
        <f>-L342</f>
        <v>-2.5767696632316985</v>
      </c>
      <c r="M348" s="455">
        <f ca="1">-M342</f>
        <v>-7.7604844194291687</v>
      </c>
      <c r="N348" s="455">
        <f ca="1">-N342</f>
        <v>-6.6637887563288842</v>
      </c>
      <c r="O348" s="455">
        <f ca="1">-O342</f>
        <v>-3.8854761528536401</v>
      </c>
    </row>
    <row r="349" spans="2:15" ht="13.45" customHeight="1">
      <c r="D349" s="256" t="s">
        <v>67</v>
      </c>
      <c r="E349" s="256"/>
      <c r="F349" s="298"/>
      <c r="G349" s="256"/>
      <c r="H349" s="256"/>
      <c r="I349" s="256"/>
      <c r="J349" s="331">
        <f>J183</f>
        <v>138.50000000000003</v>
      </c>
      <c r="K349" s="331">
        <f>SUM(K346:K348)</f>
        <v>162.26585913978496</v>
      </c>
      <c r="L349" s="331">
        <f>SUM(L346:L348)</f>
        <v>172.57293779271177</v>
      </c>
      <c r="M349" s="331">
        <f ca="1">SUM(M346:M348)</f>
        <v>203.61487547042844</v>
      </c>
      <c r="N349" s="331">
        <f ca="1">SUM(N346:N348)</f>
        <v>230.27003049574398</v>
      </c>
      <c r="O349" s="331">
        <f ca="1">SUM(O346:O348)</f>
        <v>245.81193510715855</v>
      </c>
    </row>
    <row r="350" spans="2:15">
      <c r="B350" s="8"/>
      <c r="C350" s="8"/>
      <c r="D350" s="8"/>
      <c r="E350" s="8"/>
      <c r="F350" s="277"/>
      <c r="G350" s="8"/>
      <c r="H350" s="8"/>
      <c r="I350" s="8"/>
      <c r="J350" s="8"/>
      <c r="K350" s="8"/>
      <c r="L350" s="8"/>
      <c r="M350" s="8"/>
      <c r="N350" s="8"/>
      <c r="O350" s="8"/>
    </row>
    <row r="352" spans="2:15">
      <c r="F352"/>
    </row>
    <row r="353" spans="1:15" ht="12.75" customHeight="1">
      <c r="A353" s="535"/>
      <c r="B353" s="1"/>
      <c r="C353" s="3"/>
      <c r="D353" s="3"/>
      <c r="E353" s="3"/>
      <c r="F353" s="79"/>
      <c r="G353" s="3"/>
      <c r="H353" s="3"/>
      <c r="I353" s="3"/>
      <c r="J353" s="3"/>
      <c r="K353" s="3"/>
      <c r="L353" s="3"/>
      <c r="M353" s="3"/>
      <c r="N353" s="3"/>
      <c r="O353" s="278"/>
    </row>
    <row r="354" spans="1:15" ht="22.5"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7.7">
      <c r="B355" s="24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3" customHeight="1">
      <c r="A356" s="536"/>
      <c r="B356" s="247"/>
      <c r="C356" s="248"/>
      <c r="D356" s="248"/>
      <c r="E356" s="248"/>
      <c r="F356" s="249"/>
      <c r="G356" s="248"/>
      <c r="H356" s="248"/>
      <c r="I356" s="248"/>
      <c r="J356" s="248"/>
      <c r="K356" s="248"/>
      <c r="L356" s="248"/>
      <c r="M356" s="248"/>
      <c r="N356" s="248"/>
      <c r="O356" s="248"/>
    </row>
    <row r="357" spans="1:15" ht="12.6">
      <c r="B357" s="311"/>
      <c r="F357"/>
      <c r="O357" s="14"/>
    </row>
    <row r="358" spans="1:15">
      <c r="F358"/>
      <c r="H358" s="373"/>
      <c r="I358" s="373"/>
      <c r="J358" s="373"/>
      <c r="K358" s="373"/>
      <c r="L358" s="3"/>
      <c r="M358" s="3"/>
      <c r="N358" s="3"/>
      <c r="O358" s="3"/>
    </row>
    <row r="359" spans="1:15">
      <c r="J359" s="255"/>
      <c r="K359" s="351"/>
      <c r="L359" s="351"/>
      <c r="M359" s="351"/>
      <c r="N359" s="351"/>
      <c r="O359" s="351"/>
    </row>
    <row r="362" spans="1:15">
      <c r="J362" s="102"/>
      <c r="K362" s="102"/>
      <c r="L362" s="102"/>
      <c r="M362" s="102"/>
      <c r="N362" s="102"/>
      <c r="O362" s="102"/>
    </row>
  </sheetData>
  <sheetProtection formatCells="0" formatColumns="0" formatRows="0" insertColumns="0" insertRows="0"/>
  <phoneticPr fontId="0" type="noConversion"/>
  <printOptions horizontalCentered="1"/>
  <pageMargins left="0.23622047244094491" right="0.23622047244094491" top="0.23622047244094491" bottom="0.51181102362204722" header="0.23622047244094491" footer="0.23622047244094491"/>
  <pageSetup scale="95" orientation="landscape" r:id="rId1"/>
  <headerFooter alignWithMargins="0">
    <oddFooter>&amp;L&amp;F&amp;CPage &amp;P of &amp;N&amp;R&amp;D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98D8306A1034782492F3567A273F2" ma:contentTypeVersion="12" ma:contentTypeDescription="Create a new document." ma:contentTypeScope="" ma:versionID="4c5b699968f7936cc9e2b89b7e5f9cbe">
  <xsd:schema xmlns:xsd="http://www.w3.org/2001/XMLSchema" xmlns:xs="http://www.w3.org/2001/XMLSchema" xmlns:p="http://schemas.microsoft.com/office/2006/metadata/properties" xmlns:ns2="90f44690-06d1-49fb-852d-53eb500a6f07" xmlns:ns3="7c7e0179-495a-4ef3-8969-463b3802bcab" targetNamespace="http://schemas.microsoft.com/office/2006/metadata/properties" ma:root="true" ma:fieldsID="dadd706c7ce454de55746a2a3b085249" ns2:_="" ns3:_="">
    <xsd:import namespace="90f44690-06d1-49fb-852d-53eb500a6f07"/>
    <xsd:import namespace="7c7e0179-495a-4ef3-8969-463b3802b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44690-06d1-49fb-852d-53eb500a6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571d408-0d8c-48a4-adcf-444c1a3db9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e0179-495a-4ef3-8969-463b3802b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205484f-7026-451c-87e6-e05ed3f56675}" ma:internalName="TaxCatchAll" ma:showField="CatchAllData" ma:web="7c7e0179-495a-4ef3-8969-463b3802b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44690-06d1-49fb-852d-53eb500a6f07">
      <Terms xmlns="http://schemas.microsoft.com/office/infopath/2007/PartnerControls"/>
    </lcf76f155ced4ddcb4097134ff3c332f>
    <TaxCatchAll xmlns="7c7e0179-495a-4ef3-8969-463b3802bca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7B2F2C-E8EE-4BB5-A717-F68210001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44690-06d1-49fb-852d-53eb500a6f07"/>
    <ds:schemaRef ds:uri="7c7e0179-495a-4ef3-8969-463b3802b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85162E-4F6A-4F9A-AA32-41B2CBEE217C}">
  <ds:schemaRefs>
    <ds:schemaRef ds:uri="http://schemas.microsoft.com/office/2006/metadata/properties"/>
    <ds:schemaRef ds:uri="http://schemas.microsoft.com/office/infopath/2007/PartnerControls"/>
    <ds:schemaRef ds:uri="90f44690-06d1-49fb-852d-53eb500a6f07"/>
    <ds:schemaRef ds:uri="7c7e0179-495a-4ef3-8969-463b3802bcab"/>
  </ds:schemaRefs>
</ds:datastoreItem>
</file>

<file path=customXml/itemProps3.xml><?xml version="1.0" encoding="utf-8"?>
<ds:datastoreItem xmlns:ds="http://schemas.openxmlformats.org/officeDocument/2006/customXml" ds:itemID="{C39E450A-0AD5-4057-8FCE-28839633CB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Cover</vt:lpstr>
      <vt:lpstr>Summary</vt:lpstr>
      <vt:lpstr>Assumptions</vt:lpstr>
      <vt:lpstr>Scenarios</vt:lpstr>
      <vt:lpstr>Model</vt:lpstr>
      <vt:lpstr>Assumptions!Print_Area</vt:lpstr>
      <vt:lpstr>Model!Print_Area</vt:lpstr>
      <vt:lpstr>Scenarios!Print_Area</vt:lpstr>
      <vt:lpstr>Summary!Print_Area</vt:lpstr>
    </vt:vector>
  </TitlesOfParts>
  <Company>Financial Modeling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DLSR</dc:creator>
  <cp:lastModifiedBy>Daniel Lorenzo Sánchez Ramírez</cp:lastModifiedBy>
  <cp:lastPrinted>2023-09-07T16:52:33Z</cp:lastPrinted>
  <dcterms:created xsi:type="dcterms:W3CDTF">2018-03-28T17:44:41Z</dcterms:created>
  <dcterms:modified xsi:type="dcterms:W3CDTF">2023-09-07T16:52:37Z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0x01010023898D8306A1034782492F3567A273F2</vt:lpwstr>
  </property>
</Properties>
</file>